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08" windowWidth="19428" windowHeight="10428"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指标" sheetId="68"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Sheet2" sheetId="69" r:id="rId42"/>
  </sheets>
  <definedNames>
    <definedName name="_xlnm._FilterDatabase" localSheetId="21" hidden="1">'比较法-工业'!$A$1:$L$45</definedName>
    <definedName name="_xlnm._FilterDatabase" localSheetId="18"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H7" i="1" l="1"/>
  <c r="I48" i="39"/>
  <c r="G48" i="39"/>
  <c r="E48" i="39"/>
  <c r="I40" i="39"/>
  <c r="G40" i="39"/>
  <c r="I9" i="39"/>
  <c r="G9" i="39"/>
  <c r="E9" i="39"/>
  <c r="I7" i="39"/>
  <c r="G7" i="39"/>
  <c r="E7" i="39"/>
  <c r="A6" i="1"/>
  <c r="A7" i="1"/>
  <c r="G1" i="15" s="1"/>
  <c r="C1" i="65"/>
  <c r="N1" i="65" s="1"/>
  <c r="B2" i="1"/>
  <c r="C42" i="1"/>
  <c r="F33" i="15"/>
  <c r="L20" i="6"/>
  <c r="T4" i="1"/>
  <c r="A8" i="1"/>
  <c r="S8" i="1"/>
  <c r="A9" i="1"/>
  <c r="S9" i="1"/>
  <c r="A10" i="1"/>
  <c r="S10" i="1"/>
  <c r="A11" i="1"/>
  <c r="S11" i="1"/>
  <c r="A12" i="1"/>
  <c r="S12" i="1"/>
  <c r="A13" i="1"/>
  <c r="S13" i="1"/>
  <c r="F15" i="15"/>
  <c r="F17" i="15"/>
  <c r="F18" i="15"/>
  <c r="F20" i="15"/>
  <c r="H1" i="65"/>
  <c r="B22" i="1"/>
  <c r="F23" i="15"/>
  <c r="F21" i="15"/>
  <c r="K8" i="1"/>
  <c r="M8" i="1"/>
  <c r="O8" i="1" s="1"/>
  <c r="K9" i="1"/>
  <c r="M9" i="1"/>
  <c r="O9" i="1" s="1"/>
  <c r="P9" i="1"/>
  <c r="K10" i="1"/>
  <c r="M10" i="1"/>
  <c r="O10" i="1" s="1"/>
  <c r="K11" i="1"/>
  <c r="M11" i="1"/>
  <c r="O11" i="1" s="1"/>
  <c r="P11" i="1"/>
  <c r="K12" i="1"/>
  <c r="M12" i="1"/>
  <c r="O12" i="1" s="1"/>
  <c r="K13" i="1"/>
  <c r="M13" i="1"/>
  <c r="O13" i="1" s="1"/>
  <c r="P13" i="1"/>
  <c r="F14" i="12"/>
  <c r="F15" i="12"/>
  <c r="C15" i="12"/>
  <c r="E16" i="12"/>
  <c r="F17" i="12"/>
  <c r="E19" i="12"/>
  <c r="E21" i="12"/>
  <c r="E22" i="12"/>
  <c r="F23" i="12"/>
  <c r="F24" i="12"/>
  <c r="B24" i="1"/>
  <c r="F25" i="12"/>
  <c r="C25" i="12"/>
  <c r="D83" i="39"/>
  <c r="E83" i="39" s="1"/>
  <c r="F83" i="39" s="1"/>
  <c r="G83" i="39" s="1"/>
  <c r="H83" i="39" s="1"/>
  <c r="D7" i="1"/>
  <c r="D6" i="1"/>
  <c r="D8" i="1"/>
  <c r="F8" i="1"/>
  <c r="G8" i="1"/>
  <c r="D9" i="1"/>
  <c r="F9" i="1"/>
  <c r="G9" i="1" s="1"/>
  <c r="D10" i="1"/>
  <c r="F10" i="1"/>
  <c r="G10" i="1"/>
  <c r="D11" i="1"/>
  <c r="F11" i="1"/>
  <c r="G11" i="1" s="1"/>
  <c r="D12" i="1"/>
  <c r="F12" i="1"/>
  <c r="G12" i="1"/>
  <c r="D13" i="1"/>
  <c r="F13" i="1"/>
  <c r="G13" i="1" s="1"/>
  <c r="C9" i="39"/>
  <c r="C70" i="39"/>
  <c r="C72" i="39" s="1"/>
  <c r="D70" i="39"/>
  <c r="D72" i="39" s="1"/>
  <c r="E70" i="39"/>
  <c r="E72" i="39" s="1"/>
  <c r="F70" i="39"/>
  <c r="F72" i="39" s="1"/>
  <c r="G70" i="39"/>
  <c r="G72" i="39" s="1"/>
  <c r="H70" i="39"/>
  <c r="H72" i="39" s="1"/>
  <c r="I70" i="39"/>
  <c r="I72" i="39" s="1"/>
  <c r="J70" i="39"/>
  <c r="J72" i="39" s="1"/>
  <c r="K70" i="39"/>
  <c r="K72" i="39" s="1"/>
  <c r="L70" i="39"/>
  <c r="L72" i="39" s="1"/>
  <c r="M70" i="39"/>
  <c r="M72" i="39" s="1"/>
  <c r="N70" i="39"/>
  <c r="N72" i="39" s="1"/>
  <c r="R48" i="39"/>
  <c r="E40" i="39"/>
  <c r="T48" i="39"/>
  <c r="V48" i="39"/>
  <c r="H59" i="39"/>
  <c r="I59" i="39" s="1"/>
  <c r="C59" i="39" s="1"/>
  <c r="H60" i="39"/>
  <c r="I60" i="39"/>
  <c r="C60" i="39" s="1"/>
  <c r="H61" i="39"/>
  <c r="I61" i="39" s="1"/>
  <c r="C61" i="39" s="1"/>
  <c r="H62" i="39"/>
  <c r="I62" i="39"/>
  <c r="C62" i="39" s="1"/>
  <c r="H63" i="39"/>
  <c r="I63" i="39" s="1"/>
  <c r="C63" i="39" s="1"/>
  <c r="H64" i="39"/>
  <c r="I64" i="39"/>
  <c r="C64" i="39" s="1"/>
  <c r="H65" i="39"/>
  <c r="I65" i="39" s="1"/>
  <c r="C65" i="39" s="1"/>
  <c r="H66" i="39"/>
  <c r="I66" i="39"/>
  <c r="C66" i="39" s="1"/>
  <c r="H67" i="39"/>
  <c r="I67" i="39" s="1"/>
  <c r="C67" i="39" s="1"/>
  <c r="C17" i="9"/>
  <c r="D17" i="9"/>
  <c r="C18" i="9" s="1"/>
  <c r="K5" i="3"/>
  <c r="G20" i="6" s="1"/>
  <c r="E20" i="6" s="1"/>
  <c r="K7" i="1" s="1"/>
  <c r="M7" i="1" s="1"/>
  <c r="O7" i="1" s="1"/>
  <c r="B43" i="1"/>
  <c r="B41" i="1" s="1"/>
  <c r="BB13" i="3"/>
  <c r="BC13" i="3"/>
  <c r="BD13" i="3"/>
  <c r="BE13" i="3"/>
  <c r="BF13" i="3"/>
  <c r="BG13" i="3"/>
  <c r="BH13" i="3"/>
  <c r="BI13" i="3"/>
  <c r="BJ13" i="3"/>
  <c r="BK13" i="3"/>
  <c r="BA13" i="3"/>
  <c r="BM13" i="3"/>
  <c r="BN13" i="3"/>
  <c r="BO13" i="3"/>
  <c r="BP13" i="3"/>
  <c r="AL13" i="3"/>
  <c r="BQ13" i="3"/>
  <c r="BR13" i="3"/>
  <c r="BS13" i="3"/>
  <c r="BT13" i="3"/>
  <c r="BL13" i="3"/>
  <c r="BB14" i="3"/>
  <c r="BC14" i="3"/>
  <c r="BD14" i="3"/>
  <c r="BE14" i="3"/>
  <c r="BF14" i="3"/>
  <c r="BG14" i="3"/>
  <c r="BH14" i="3"/>
  <c r="BI14" i="3"/>
  <c r="BJ14" i="3"/>
  <c r="BK14" i="3"/>
  <c r="BA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A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D77" i="3"/>
  <c r="BE77" i="3"/>
  <c r="BF77" i="3"/>
  <c r="BG77" i="3"/>
  <c r="BH77" i="3"/>
  <c r="BI77" i="3"/>
  <c r="BJ77" i="3"/>
  <c r="BK77" i="3"/>
  <c r="BA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L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L80" i="3"/>
  <c r="BB81" i="3"/>
  <c r="BC81" i="3"/>
  <c r="BD81" i="3"/>
  <c r="BE81" i="3"/>
  <c r="BF81" i="3"/>
  <c r="BG81" i="3"/>
  <c r="BH81" i="3"/>
  <c r="BI81" i="3"/>
  <c r="BJ81" i="3"/>
  <c r="BK81" i="3"/>
  <c r="BA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L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L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L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L88" i="3"/>
  <c r="BB89" i="3"/>
  <c r="BC89" i="3"/>
  <c r="BD89" i="3"/>
  <c r="BE89" i="3"/>
  <c r="BF89" i="3"/>
  <c r="BG89" i="3"/>
  <c r="BH89" i="3"/>
  <c r="BI89" i="3"/>
  <c r="BJ89" i="3"/>
  <c r="BK89" i="3"/>
  <c r="BA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L92" i="3"/>
  <c r="BB93" i="3"/>
  <c r="BC93" i="3"/>
  <c r="BD93" i="3"/>
  <c r="BE93" i="3"/>
  <c r="BF93" i="3"/>
  <c r="BG93" i="3"/>
  <c r="BH93" i="3"/>
  <c r="BI93" i="3"/>
  <c r="BJ93" i="3"/>
  <c r="BK93" i="3"/>
  <c r="BA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L96" i="3"/>
  <c r="BB97" i="3"/>
  <c r="BC97" i="3"/>
  <c r="BD97" i="3"/>
  <c r="BE97" i="3"/>
  <c r="BF97" i="3"/>
  <c r="BG97" i="3"/>
  <c r="BH97" i="3"/>
  <c r="BI97" i="3"/>
  <c r="BJ97" i="3"/>
  <c r="BK97" i="3"/>
  <c r="BA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L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L100" i="3"/>
  <c r="BB101" i="3"/>
  <c r="BC101" i="3"/>
  <c r="BD101" i="3"/>
  <c r="BE101" i="3"/>
  <c r="BF101" i="3"/>
  <c r="BG101" i="3"/>
  <c r="BH101" i="3"/>
  <c r="BI101" i="3"/>
  <c r="BJ101" i="3"/>
  <c r="BK101" i="3"/>
  <c r="BA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L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L104" i="3"/>
  <c r="BB105" i="3"/>
  <c r="BC105" i="3"/>
  <c r="BD105" i="3"/>
  <c r="BE105" i="3"/>
  <c r="BF105" i="3"/>
  <c r="BG105" i="3"/>
  <c r="BH105" i="3"/>
  <c r="BI105" i="3"/>
  <c r="BJ105" i="3"/>
  <c r="BK105" i="3"/>
  <c r="BA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L108" i="3"/>
  <c r="BB109" i="3"/>
  <c r="BC109" i="3"/>
  <c r="BD109" i="3"/>
  <c r="BE109" i="3"/>
  <c r="BF109" i="3"/>
  <c r="BG109" i="3"/>
  <c r="BH109" i="3"/>
  <c r="BI109" i="3"/>
  <c r="BJ109" i="3"/>
  <c r="BK109" i="3"/>
  <c r="BA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L112" i="3"/>
  <c r="BB113" i="3"/>
  <c r="BC113" i="3"/>
  <c r="BD113" i="3"/>
  <c r="BE113" i="3"/>
  <c r="BF113" i="3"/>
  <c r="BG113" i="3"/>
  <c r="BH113" i="3"/>
  <c r="BI113" i="3"/>
  <c r="BJ113" i="3"/>
  <c r="BK113" i="3"/>
  <c r="BA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L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L116" i="3"/>
  <c r="BB117" i="3"/>
  <c r="BC117" i="3"/>
  <c r="BD117" i="3"/>
  <c r="BE117" i="3"/>
  <c r="BF117" i="3"/>
  <c r="BG117" i="3"/>
  <c r="BH117" i="3"/>
  <c r="BI117" i="3"/>
  <c r="BJ117" i="3"/>
  <c r="BK117" i="3"/>
  <c r="BA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L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L120" i="3"/>
  <c r="BB121" i="3"/>
  <c r="BC121" i="3"/>
  <c r="BD121" i="3"/>
  <c r="BE121" i="3"/>
  <c r="BF121" i="3"/>
  <c r="BG121" i="3"/>
  <c r="BH121" i="3"/>
  <c r="BI121" i="3"/>
  <c r="BJ121" i="3"/>
  <c r="BK121" i="3"/>
  <c r="BA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L124" i="3"/>
  <c r="BB125" i="3"/>
  <c r="BC125" i="3"/>
  <c r="BD125" i="3"/>
  <c r="BE125" i="3"/>
  <c r="BF125" i="3"/>
  <c r="BG125" i="3"/>
  <c r="BH125" i="3"/>
  <c r="BI125" i="3"/>
  <c r="BJ125" i="3"/>
  <c r="BK125" i="3"/>
  <c r="BA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L128" i="3"/>
  <c r="BB129" i="3"/>
  <c r="BC129" i="3"/>
  <c r="BD129" i="3"/>
  <c r="BE129" i="3"/>
  <c r="BF129" i="3"/>
  <c r="BG129" i="3"/>
  <c r="BH129" i="3"/>
  <c r="BI129" i="3"/>
  <c r="BJ129" i="3"/>
  <c r="BK129" i="3"/>
  <c r="BA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L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L132" i="3"/>
  <c r="BB133" i="3"/>
  <c r="BC133" i="3"/>
  <c r="BD133" i="3"/>
  <c r="BE133" i="3"/>
  <c r="BF133" i="3"/>
  <c r="BG133" i="3"/>
  <c r="BH133" i="3"/>
  <c r="BI133" i="3"/>
  <c r="BJ133" i="3"/>
  <c r="BK133" i="3"/>
  <c r="BA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L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L136" i="3"/>
  <c r="BB137" i="3"/>
  <c r="BC137" i="3"/>
  <c r="BD137" i="3"/>
  <c r="BE137" i="3"/>
  <c r="BF137" i="3"/>
  <c r="BG137" i="3"/>
  <c r="BH137" i="3"/>
  <c r="BI137" i="3"/>
  <c r="BJ137" i="3"/>
  <c r="BK137" i="3"/>
  <c r="BA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L140" i="3"/>
  <c r="BB141" i="3"/>
  <c r="BC141" i="3"/>
  <c r="BD141" i="3"/>
  <c r="BE141" i="3"/>
  <c r="BF141" i="3"/>
  <c r="BG141" i="3"/>
  <c r="BH141" i="3"/>
  <c r="BI141" i="3"/>
  <c r="BJ141" i="3"/>
  <c r="BK141" i="3"/>
  <c r="BA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A143" i="3"/>
  <c r="BM143" i="3"/>
  <c r="BN143" i="3"/>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L144" i="3"/>
  <c r="BB145" i="3"/>
  <c r="BC145" i="3"/>
  <c r="BD145" i="3"/>
  <c r="BE145" i="3"/>
  <c r="BF145" i="3"/>
  <c r="BG145" i="3"/>
  <c r="BH145" i="3"/>
  <c r="BI145" i="3"/>
  <c r="BJ145" i="3"/>
  <c r="BK145" i="3"/>
  <c r="BA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L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A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L152" i="3"/>
  <c r="BB153" i="3"/>
  <c r="BC153" i="3"/>
  <c r="BD153" i="3"/>
  <c r="BE153" i="3"/>
  <c r="BF153" i="3"/>
  <c r="BG153" i="3"/>
  <c r="BH153" i="3"/>
  <c r="BI153" i="3"/>
  <c r="BJ153" i="3"/>
  <c r="BK153" i="3"/>
  <c r="BA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L156" i="3"/>
  <c r="BB157" i="3"/>
  <c r="BC157" i="3"/>
  <c r="BD157" i="3"/>
  <c r="BE157" i="3"/>
  <c r="BF157" i="3"/>
  <c r="BG157" i="3"/>
  <c r="BH157" i="3"/>
  <c r="BI157" i="3"/>
  <c r="BJ157" i="3"/>
  <c r="BK157" i="3"/>
  <c r="BA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L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A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L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L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L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L168" i="3"/>
  <c r="BB169" i="3"/>
  <c r="BC169" i="3"/>
  <c r="BD169" i="3"/>
  <c r="BE169" i="3"/>
  <c r="BF169" i="3"/>
  <c r="BG169" i="3"/>
  <c r="BH169" i="3"/>
  <c r="BI169" i="3"/>
  <c r="BJ169" i="3"/>
  <c r="BK169" i="3"/>
  <c r="BA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L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L172" i="3"/>
  <c r="BB173" i="3"/>
  <c r="BC173" i="3"/>
  <c r="BD173" i="3"/>
  <c r="BE173" i="3"/>
  <c r="BF173" i="3"/>
  <c r="BG173" i="3"/>
  <c r="BH173" i="3"/>
  <c r="BI173" i="3"/>
  <c r="BJ173" i="3"/>
  <c r="BK173" i="3"/>
  <c r="BA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L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L176" i="3"/>
  <c r="BB177" i="3"/>
  <c r="BC177" i="3"/>
  <c r="BD177" i="3"/>
  <c r="BE177" i="3"/>
  <c r="BF177" i="3"/>
  <c r="BG177" i="3"/>
  <c r="BH177" i="3"/>
  <c r="BI177" i="3"/>
  <c r="BJ177" i="3"/>
  <c r="BK177" i="3"/>
  <c r="BA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L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L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O182" i="3"/>
  <c r="BP182" i="3"/>
  <c r="BQ182" i="3"/>
  <c r="BR182" i="3"/>
  <c r="BS182" i="3"/>
  <c r="BT182" i="3"/>
  <c r="BL182" i="3"/>
  <c r="BB183" i="3"/>
  <c r="BC183" i="3"/>
  <c r="BD183" i="3"/>
  <c r="BE183" i="3"/>
  <c r="BF183" i="3"/>
  <c r="BG183" i="3"/>
  <c r="BH183" i="3"/>
  <c r="BI183" i="3"/>
  <c r="BJ183" i="3"/>
  <c r="BK183" i="3"/>
  <c r="BA183" i="3"/>
  <c r="BM183" i="3"/>
  <c r="BN183" i="3"/>
  <c r="BO183" i="3"/>
  <c r="BP183" i="3"/>
  <c r="BQ183" i="3"/>
  <c r="BR183" i="3"/>
  <c r="BS183" i="3"/>
  <c r="BT183" i="3"/>
  <c r="BB184" i="3"/>
  <c r="BC184" i="3"/>
  <c r="BD184" i="3"/>
  <c r="BE184" i="3"/>
  <c r="BF184" i="3"/>
  <c r="BG184" i="3"/>
  <c r="BH184" i="3"/>
  <c r="BI184" i="3"/>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O186" i="3"/>
  <c r="BP186" i="3"/>
  <c r="BQ186" i="3"/>
  <c r="BR186" i="3"/>
  <c r="BS186" i="3"/>
  <c r="BT186" i="3"/>
  <c r="BL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L188" i="3"/>
  <c r="BB189" i="3"/>
  <c r="BC189" i="3"/>
  <c r="BD189" i="3"/>
  <c r="BE189" i="3"/>
  <c r="BF189" i="3"/>
  <c r="BG189" i="3"/>
  <c r="BH189" i="3"/>
  <c r="BI189" i="3"/>
  <c r="BJ189" i="3"/>
  <c r="BK189" i="3"/>
  <c r="BA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L190" i="3"/>
  <c r="BB191" i="3"/>
  <c r="BC191" i="3"/>
  <c r="BD191" i="3"/>
  <c r="BE191" i="3"/>
  <c r="BF191" i="3"/>
  <c r="BG191" i="3"/>
  <c r="BH191" i="3"/>
  <c r="BI191" i="3"/>
  <c r="BJ191" i="3"/>
  <c r="BK191" i="3"/>
  <c r="BA191" i="3"/>
  <c r="BM191" i="3"/>
  <c r="BN191" i="3"/>
  <c r="BO191" i="3"/>
  <c r="BP191" i="3"/>
  <c r="BQ191" i="3"/>
  <c r="BR191" i="3"/>
  <c r="BS191" i="3"/>
  <c r="BT191" i="3"/>
  <c r="BB192" i="3"/>
  <c r="BC192" i="3"/>
  <c r="BD192" i="3"/>
  <c r="BE192" i="3"/>
  <c r="BF192" i="3"/>
  <c r="BG192" i="3"/>
  <c r="BH192" i="3"/>
  <c r="BI192" i="3"/>
  <c r="BJ192" i="3"/>
  <c r="BK192" i="3"/>
  <c r="BM192" i="3"/>
  <c r="BN192" i="3"/>
  <c r="BO192" i="3"/>
  <c r="BP192" i="3"/>
  <c r="BQ192" i="3"/>
  <c r="BR192" i="3"/>
  <c r="BS192" i="3"/>
  <c r="BT192" i="3"/>
  <c r="BL192" i="3"/>
  <c r="BB193" i="3"/>
  <c r="BC193" i="3"/>
  <c r="BD193" i="3"/>
  <c r="BE193" i="3"/>
  <c r="BF193" i="3"/>
  <c r="BG193" i="3"/>
  <c r="BH193" i="3"/>
  <c r="BI193" i="3"/>
  <c r="BJ193" i="3"/>
  <c r="BK193" i="3"/>
  <c r="BA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L194" i="3"/>
  <c r="BB195" i="3"/>
  <c r="BC195" i="3"/>
  <c r="BD195" i="3"/>
  <c r="BE195" i="3"/>
  <c r="BF195" i="3"/>
  <c r="BG195" i="3"/>
  <c r="BH195" i="3"/>
  <c r="BI195" i="3"/>
  <c r="BJ195" i="3"/>
  <c r="BK195" i="3"/>
  <c r="BA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D197" i="3"/>
  <c r="BE197" i="3"/>
  <c r="BF197" i="3"/>
  <c r="BG197" i="3"/>
  <c r="BH197" i="3"/>
  <c r="BI197" i="3"/>
  <c r="BJ197" i="3"/>
  <c r="BK197" i="3"/>
  <c r="BA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L198" i="3"/>
  <c r="BB199" i="3"/>
  <c r="BC199" i="3"/>
  <c r="BD199" i="3"/>
  <c r="BE199" i="3"/>
  <c r="BF199" i="3"/>
  <c r="BG199" i="3"/>
  <c r="BH199" i="3"/>
  <c r="BI199" i="3"/>
  <c r="BJ199" i="3"/>
  <c r="BK199" i="3"/>
  <c r="BA199" i="3"/>
  <c r="BM199" i="3"/>
  <c r="BN199" i="3"/>
  <c r="BO199" i="3"/>
  <c r="BP199" i="3"/>
  <c r="BQ199" i="3"/>
  <c r="BR199" i="3"/>
  <c r="BS199" i="3"/>
  <c r="BT199" i="3"/>
  <c r="BB200" i="3"/>
  <c r="BC200" i="3"/>
  <c r="BD200" i="3"/>
  <c r="BE200" i="3"/>
  <c r="BF200" i="3"/>
  <c r="BG200" i="3"/>
  <c r="BH200" i="3"/>
  <c r="BI200" i="3"/>
  <c r="BJ200" i="3"/>
  <c r="BK200" i="3"/>
  <c r="BM200" i="3"/>
  <c r="BN200" i="3"/>
  <c r="BO200" i="3"/>
  <c r="BP200" i="3"/>
  <c r="BQ200" i="3"/>
  <c r="BR200" i="3"/>
  <c r="BS200" i="3"/>
  <c r="BT200" i="3"/>
  <c r="BL200" i="3"/>
  <c r="BB201" i="3"/>
  <c r="BC201" i="3"/>
  <c r="BD201" i="3"/>
  <c r="BE201" i="3"/>
  <c r="BF201" i="3"/>
  <c r="BG201" i="3"/>
  <c r="BH201" i="3"/>
  <c r="BI201" i="3"/>
  <c r="BJ201" i="3"/>
  <c r="BK201" i="3"/>
  <c r="BA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D203" i="3"/>
  <c r="BE203" i="3"/>
  <c r="BF203" i="3"/>
  <c r="BG203" i="3"/>
  <c r="BH203" i="3"/>
  <c r="BI203" i="3"/>
  <c r="BJ203" i="3"/>
  <c r="BK203" i="3"/>
  <c r="BA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L204" i="3"/>
  <c r="BB205" i="3"/>
  <c r="BC205" i="3"/>
  <c r="BD205" i="3"/>
  <c r="BE205" i="3"/>
  <c r="BF205" i="3"/>
  <c r="BG205" i="3"/>
  <c r="BH205" i="3"/>
  <c r="BI205" i="3"/>
  <c r="BJ205" i="3"/>
  <c r="BK205" i="3"/>
  <c r="BA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A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B212" i="3"/>
  <c r="BC212" i="3"/>
  <c r="BD212" i="3"/>
  <c r="BE212" i="3"/>
  <c r="BF212" i="3"/>
  <c r="BG212" i="3"/>
  <c r="BH212" i="3"/>
  <c r="BI212" i="3"/>
  <c r="BJ212" i="3"/>
  <c r="BK212" i="3"/>
  <c r="BM212" i="3"/>
  <c r="BN212" i="3"/>
  <c r="BO212" i="3"/>
  <c r="BP212" i="3"/>
  <c r="BQ212" i="3"/>
  <c r="BR212" i="3"/>
  <c r="BS212" i="3"/>
  <c r="BT212" i="3"/>
  <c r="BL212" i="3"/>
  <c r="BB213" i="3"/>
  <c r="BC213" i="3"/>
  <c r="BD213" i="3"/>
  <c r="BE213" i="3"/>
  <c r="BF213" i="3"/>
  <c r="BG213" i="3"/>
  <c r="BH213" i="3"/>
  <c r="BI213" i="3"/>
  <c r="BJ213" i="3"/>
  <c r="BK213" i="3"/>
  <c r="BA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O223" i="3"/>
  <c r="BP223" i="3"/>
  <c r="BQ223" i="3"/>
  <c r="BR223" i="3"/>
  <c r="BS223" i="3"/>
  <c r="BT223" i="3"/>
  <c r="BB224" i="3"/>
  <c r="BC224" i="3"/>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O231" i="3"/>
  <c r="BP231" i="3"/>
  <c r="BQ231" i="3"/>
  <c r="BR231" i="3"/>
  <c r="BS231" i="3"/>
  <c r="BT231" i="3"/>
  <c r="BB232" i="3"/>
  <c r="BC232" i="3"/>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O243" i="3"/>
  <c r="BP243" i="3"/>
  <c r="BQ243" i="3"/>
  <c r="BR243" i="3"/>
  <c r="BS243" i="3"/>
  <c r="BT243" i="3"/>
  <c r="BB244" i="3"/>
  <c r="BC244" i="3"/>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O251" i="3"/>
  <c r="BP251" i="3"/>
  <c r="BQ251" i="3"/>
  <c r="BR251" i="3"/>
  <c r="BS251" i="3"/>
  <c r="BT251" i="3"/>
  <c r="BB252" i="3"/>
  <c r="BC252" i="3"/>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O255" i="3"/>
  <c r="BP255" i="3"/>
  <c r="BQ255" i="3"/>
  <c r="BR255" i="3"/>
  <c r="BS255" i="3"/>
  <c r="BT255" i="3"/>
  <c r="BB256" i="3"/>
  <c r="BC256" i="3"/>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A410" i="3" s="1"/>
  <c r="AZ410" i="3" s="1"/>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L411" i="3" s="1"/>
  <c r="AZ411" i="3" s="1"/>
  <c r="BO411" i="3"/>
  <c r="BP411" i="3"/>
  <c r="BQ411" i="3"/>
  <c r="BR411" i="3"/>
  <c r="BS411" i="3"/>
  <c r="BT411" i="3"/>
  <c r="BB412" i="3"/>
  <c r="BC412" i="3"/>
  <c r="BA412" i="3" s="1"/>
  <c r="AZ412" i="3" s="1"/>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L413" i="3" s="1"/>
  <c r="AZ413" i="3" s="1"/>
  <c r="BO413" i="3"/>
  <c r="BP413" i="3"/>
  <c r="BQ413" i="3"/>
  <c r="BR413" i="3"/>
  <c r="BS413" i="3"/>
  <c r="BT413" i="3"/>
  <c r="BB414" i="3"/>
  <c r="BC414" i="3"/>
  <c r="BA414" i="3" s="1"/>
  <c r="AZ414" i="3" s="1"/>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L415" i="3" s="1"/>
  <c r="AZ415" i="3" s="1"/>
  <c r="BO415" i="3"/>
  <c r="BP415" i="3"/>
  <c r="BQ415" i="3"/>
  <c r="BR415" i="3"/>
  <c r="BS415" i="3"/>
  <c r="BT415" i="3"/>
  <c r="BB416" i="3"/>
  <c r="BC416" i="3"/>
  <c r="BA416" i="3" s="1"/>
  <c r="AZ416" i="3" s="1"/>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L417" i="3" s="1"/>
  <c r="AZ417" i="3" s="1"/>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A428" i="3"/>
  <c r="BM428" i="3"/>
  <c r="BN428" i="3"/>
  <c r="BL428" i="3" s="1"/>
  <c r="AZ428" i="3" s="1"/>
  <c r="BO428" i="3"/>
  <c r="BP428" i="3"/>
  <c r="BQ428" i="3"/>
  <c r="BR428" i="3"/>
  <c r="BS428" i="3"/>
  <c r="BT428" i="3"/>
  <c r="BB429" i="3"/>
  <c r="BC429" i="3"/>
  <c r="BA429" i="3" s="1"/>
  <c r="AZ429" i="3" s="1"/>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L430" i="3" s="1"/>
  <c r="AZ430" i="3" s="1"/>
  <c r="BO430" i="3"/>
  <c r="BP430" i="3"/>
  <c r="BQ430" i="3"/>
  <c r="BR430" i="3"/>
  <c r="BS430" i="3"/>
  <c r="BT430" i="3"/>
  <c r="BB431" i="3"/>
  <c r="BC431" i="3"/>
  <c r="BA431" i="3" s="1"/>
  <c r="AZ431" i="3" s="1"/>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A433" i="3" s="1"/>
  <c r="AZ433" i="3" s="1"/>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A435" i="3" s="1"/>
  <c r="AZ435" i="3" s="1"/>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L436" i="3" s="1"/>
  <c r="AZ436" i="3" s="1"/>
  <c r="BO436" i="3"/>
  <c r="BP436" i="3"/>
  <c r="BQ436" i="3"/>
  <c r="BR436" i="3"/>
  <c r="BS436" i="3"/>
  <c r="BT436" i="3"/>
  <c r="BB437" i="3"/>
  <c r="BC437" i="3"/>
  <c r="BA437" i="3" s="1"/>
  <c r="AZ437" i="3" s="1"/>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L438" i="3" s="1"/>
  <c r="AZ438" i="3" s="1"/>
  <c r="BO438" i="3"/>
  <c r="BP438" i="3"/>
  <c r="BQ438" i="3"/>
  <c r="BR438" i="3"/>
  <c r="BS438" i="3"/>
  <c r="BT438" i="3"/>
  <c r="BB439" i="3"/>
  <c r="BC439" i="3"/>
  <c r="BA439" i="3" s="1"/>
  <c r="AZ439" i="3" s="1"/>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L440" i="3" s="1"/>
  <c r="AZ440" i="3" s="1"/>
  <c r="BO440" i="3"/>
  <c r="BP440" i="3"/>
  <c r="BQ440" i="3"/>
  <c r="BR440" i="3"/>
  <c r="BS440" i="3"/>
  <c r="BT440" i="3"/>
  <c r="BB441" i="3"/>
  <c r="BC441" i="3"/>
  <c r="BA441" i="3" s="1"/>
  <c r="AZ441" i="3" s="1"/>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L442" i="3" s="1"/>
  <c r="AZ442" i="3" s="1"/>
  <c r="BO442" i="3"/>
  <c r="BP442" i="3"/>
  <c r="BQ442" i="3"/>
  <c r="BR442" i="3"/>
  <c r="BS442" i="3"/>
  <c r="BT442" i="3"/>
  <c r="BB443" i="3"/>
  <c r="BC443" i="3"/>
  <c r="BA443" i="3" s="1"/>
  <c r="AZ443" i="3" s="1"/>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L444" i="3" s="1"/>
  <c r="AZ444" i="3" s="1"/>
  <c r="BO444" i="3"/>
  <c r="BP444" i="3"/>
  <c r="BQ444" i="3"/>
  <c r="BR444" i="3"/>
  <c r="BS444" i="3"/>
  <c r="BT444" i="3"/>
  <c r="BB445" i="3"/>
  <c r="BC445" i="3"/>
  <c r="BA445" i="3" s="1"/>
  <c r="AZ445" i="3" s="1"/>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L446" i="3" s="1"/>
  <c r="AZ446" i="3" s="1"/>
  <c r="BO446" i="3"/>
  <c r="BP446" i="3"/>
  <c r="BQ446" i="3"/>
  <c r="BR446" i="3"/>
  <c r="BS446" i="3"/>
  <c r="BT446" i="3"/>
  <c r="BB447" i="3"/>
  <c r="BC447" i="3"/>
  <c r="BA447" i="3" s="1"/>
  <c r="AZ447" i="3" s="1"/>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L448" i="3" s="1"/>
  <c r="AZ448" i="3" s="1"/>
  <c r="BO448" i="3"/>
  <c r="BP448" i="3"/>
  <c r="BQ448" i="3"/>
  <c r="BR448" i="3"/>
  <c r="BS448" i="3"/>
  <c r="BT448" i="3"/>
  <c r="BB449" i="3"/>
  <c r="BC449" i="3"/>
  <c r="BA449" i="3" s="1"/>
  <c r="AZ449" i="3" s="1"/>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L450" i="3" s="1"/>
  <c r="AZ450" i="3" s="1"/>
  <c r="BO450" i="3"/>
  <c r="BP450" i="3"/>
  <c r="BQ450" i="3"/>
  <c r="BR450" i="3"/>
  <c r="BS450" i="3"/>
  <c r="BT450" i="3"/>
  <c r="BB451" i="3"/>
  <c r="BC451" i="3"/>
  <c r="BA451" i="3" s="1"/>
  <c r="AZ451" i="3" s="1"/>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L452" i="3" s="1"/>
  <c r="AZ452" i="3" s="1"/>
  <c r="BO452" i="3"/>
  <c r="BP452" i="3"/>
  <c r="BQ452" i="3"/>
  <c r="BR452" i="3"/>
  <c r="BS452" i="3"/>
  <c r="BT452" i="3"/>
  <c r="BB453" i="3"/>
  <c r="BC453" i="3"/>
  <c r="BA453" i="3" s="1"/>
  <c r="AZ453" i="3" s="1"/>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L454" i="3" s="1"/>
  <c r="AZ454" i="3" s="1"/>
  <c r="BO454" i="3"/>
  <c r="BP454" i="3"/>
  <c r="BQ454" i="3"/>
  <c r="BR454" i="3"/>
  <c r="BS454" i="3"/>
  <c r="BT454" i="3"/>
  <c r="BB455" i="3"/>
  <c r="BC455" i="3"/>
  <c r="BA455" i="3" s="1"/>
  <c r="AZ455" i="3" s="1"/>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L456" i="3" s="1"/>
  <c r="AZ456" i="3" s="1"/>
  <c r="BO456" i="3"/>
  <c r="BP456" i="3"/>
  <c r="BQ456" i="3"/>
  <c r="BR456" i="3"/>
  <c r="BS456" i="3"/>
  <c r="BT456" i="3"/>
  <c r="BB457" i="3"/>
  <c r="BC457" i="3"/>
  <c r="BA457" i="3" s="1"/>
  <c r="AZ457" i="3" s="1"/>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A459" i="3" s="1"/>
  <c r="AZ459" i="3" s="1"/>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A461" i="3" s="1"/>
  <c r="AZ461" i="3" s="1"/>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L462" i="3" s="1"/>
  <c r="AZ462" i="3" s="1"/>
  <c r="BO462" i="3"/>
  <c r="BP462" i="3"/>
  <c r="BQ462" i="3"/>
  <c r="BR462" i="3"/>
  <c r="BS462" i="3"/>
  <c r="BT462" i="3"/>
  <c r="BB463" i="3"/>
  <c r="BC463" i="3"/>
  <c r="BA463" i="3" s="1"/>
  <c r="AZ463" i="3" s="1"/>
  <c r="BD463" i="3"/>
  <c r="BE463" i="3"/>
  <c r="BF463" i="3"/>
  <c r="BG463" i="3"/>
  <c r="BH463" i="3"/>
  <c r="BI463" i="3"/>
  <c r="BJ463" i="3"/>
  <c r="BK463" i="3"/>
  <c r="BM463" i="3"/>
  <c r="BN463" i="3"/>
  <c r="BO463" i="3"/>
  <c r="BP463" i="3"/>
  <c r="BQ463" i="3"/>
  <c r="BR463" i="3"/>
  <c r="BS463" i="3"/>
  <c r="BT463" i="3"/>
  <c r="BL463" i="3"/>
  <c r="BB464" i="3"/>
  <c r="BC464" i="3"/>
  <c r="BD464" i="3"/>
  <c r="BE464" i="3"/>
  <c r="BF464" i="3"/>
  <c r="BG464" i="3"/>
  <c r="BH464" i="3"/>
  <c r="BI464" i="3"/>
  <c r="BJ464" i="3"/>
  <c r="BK464" i="3"/>
  <c r="BA464" i="3"/>
  <c r="BM464" i="3"/>
  <c r="BN464" i="3"/>
  <c r="BL464" i="3" s="1"/>
  <c r="AZ464" i="3" s="1"/>
  <c r="BO464" i="3"/>
  <c r="BP464" i="3"/>
  <c r="BQ464" i="3"/>
  <c r="BR464" i="3"/>
  <c r="BS464" i="3"/>
  <c r="BT464" i="3"/>
  <c r="BB465" i="3"/>
  <c r="BC465" i="3"/>
  <c r="BA465" i="3" s="1"/>
  <c r="AZ465" i="3" s="1"/>
  <c r="BD465" i="3"/>
  <c r="BE465" i="3"/>
  <c r="BF465" i="3"/>
  <c r="BG465" i="3"/>
  <c r="BH465" i="3"/>
  <c r="BI465" i="3"/>
  <c r="BJ465" i="3"/>
  <c r="BK465" i="3"/>
  <c r="BM465" i="3"/>
  <c r="BN465" i="3"/>
  <c r="BO465" i="3"/>
  <c r="BP465" i="3"/>
  <c r="BQ465" i="3"/>
  <c r="BR465" i="3"/>
  <c r="BS465" i="3"/>
  <c r="BT465" i="3"/>
  <c r="BL465" i="3"/>
  <c r="BB466" i="3"/>
  <c r="BC466" i="3"/>
  <c r="BD466" i="3"/>
  <c r="BE466" i="3"/>
  <c r="BF466" i="3"/>
  <c r="BG466" i="3"/>
  <c r="BH466" i="3"/>
  <c r="BI466" i="3"/>
  <c r="BJ466" i="3"/>
  <c r="BK466" i="3"/>
  <c r="BA466" i="3"/>
  <c r="BM466" i="3"/>
  <c r="BN466" i="3"/>
  <c r="BL466" i="3" s="1"/>
  <c r="AZ466" i="3" s="1"/>
  <c r="BO466" i="3"/>
  <c r="BP466" i="3"/>
  <c r="BQ466" i="3"/>
  <c r="BR466" i="3"/>
  <c r="BS466" i="3"/>
  <c r="BT466" i="3"/>
  <c r="BB467" i="3"/>
  <c r="BC467" i="3"/>
  <c r="BA467" i="3" s="1"/>
  <c r="AZ467" i="3" s="1"/>
  <c r="BD467" i="3"/>
  <c r="BE467" i="3"/>
  <c r="BF467" i="3"/>
  <c r="BG467" i="3"/>
  <c r="BH467" i="3"/>
  <c r="BI467" i="3"/>
  <c r="BJ467" i="3"/>
  <c r="BK467" i="3"/>
  <c r="BM467" i="3"/>
  <c r="BN467" i="3"/>
  <c r="BO467" i="3"/>
  <c r="BP467" i="3"/>
  <c r="BQ467" i="3"/>
  <c r="BR467" i="3"/>
  <c r="BS467" i="3"/>
  <c r="BT467" i="3"/>
  <c r="BL467" i="3"/>
  <c r="BB468" i="3"/>
  <c r="BC468" i="3"/>
  <c r="BD468" i="3"/>
  <c r="BE468" i="3"/>
  <c r="BF468" i="3"/>
  <c r="BG468" i="3"/>
  <c r="BH468" i="3"/>
  <c r="BI468" i="3"/>
  <c r="BJ468" i="3"/>
  <c r="BK468" i="3"/>
  <c r="BA468" i="3"/>
  <c r="BM468" i="3"/>
  <c r="BN468" i="3"/>
  <c r="BL468" i="3" s="1"/>
  <c r="AZ468" i="3" s="1"/>
  <c r="BO468" i="3"/>
  <c r="BP468" i="3"/>
  <c r="BQ468" i="3"/>
  <c r="BR468" i="3"/>
  <c r="BS468" i="3"/>
  <c r="BT468" i="3"/>
  <c r="BB469" i="3"/>
  <c r="BC469" i="3"/>
  <c r="BA469" i="3" s="1"/>
  <c r="AZ469" i="3" s="1"/>
  <c r="BD469" i="3"/>
  <c r="BE469" i="3"/>
  <c r="BF469" i="3"/>
  <c r="BG469" i="3"/>
  <c r="BH469" i="3"/>
  <c r="BI469" i="3"/>
  <c r="BJ469" i="3"/>
  <c r="BK469" i="3"/>
  <c r="BM469" i="3"/>
  <c r="BN469" i="3"/>
  <c r="BO469" i="3"/>
  <c r="BP469" i="3"/>
  <c r="BQ469" i="3"/>
  <c r="BR469" i="3"/>
  <c r="BS469" i="3"/>
  <c r="BT469" i="3"/>
  <c r="BL469" i="3"/>
  <c r="BB470" i="3"/>
  <c r="BC470" i="3"/>
  <c r="BD470" i="3"/>
  <c r="BE470" i="3"/>
  <c r="BF470" i="3"/>
  <c r="BG470" i="3"/>
  <c r="BH470" i="3"/>
  <c r="BI470" i="3"/>
  <c r="BJ470" i="3"/>
  <c r="BK470" i="3"/>
  <c r="BA470" i="3"/>
  <c r="BM470" i="3"/>
  <c r="BN470" i="3"/>
  <c r="BL470" i="3" s="1"/>
  <c r="AZ470" i="3" s="1"/>
  <c r="BO470" i="3"/>
  <c r="BP470" i="3"/>
  <c r="BQ470" i="3"/>
  <c r="BR470" i="3"/>
  <c r="BS470" i="3"/>
  <c r="BT470" i="3"/>
  <c r="BB471" i="3"/>
  <c r="BC471" i="3"/>
  <c r="BA471" i="3" s="1"/>
  <c r="AZ471" i="3" s="1"/>
  <c r="BD471" i="3"/>
  <c r="BE471" i="3"/>
  <c r="BF471" i="3"/>
  <c r="BG471" i="3"/>
  <c r="BH471" i="3"/>
  <c r="BI471" i="3"/>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L472" i="3" s="1"/>
  <c r="AZ472" i="3" s="1"/>
  <c r="BO472" i="3"/>
  <c r="BP472" i="3"/>
  <c r="BQ472" i="3"/>
  <c r="BR472" i="3"/>
  <c r="BS472" i="3"/>
  <c r="BT472" i="3"/>
  <c r="BB473" i="3"/>
  <c r="BC473" i="3"/>
  <c r="BA473" i="3" s="1"/>
  <c r="AZ473" i="3" s="1"/>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A474" i="3"/>
  <c r="BM474" i="3"/>
  <c r="BN474" i="3"/>
  <c r="BL474" i="3" s="1"/>
  <c r="AZ474" i="3" s="1"/>
  <c r="BO474" i="3"/>
  <c r="BP474" i="3"/>
  <c r="BQ474" i="3"/>
  <c r="BR474" i="3"/>
  <c r="BS474" i="3"/>
  <c r="BT474" i="3"/>
  <c r="BB475" i="3"/>
  <c r="BC475" i="3"/>
  <c r="BA475" i="3" s="1"/>
  <c r="AZ475" i="3" s="1"/>
  <c r="BD475" i="3"/>
  <c r="BE475" i="3"/>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A477" i="3" s="1"/>
  <c r="AZ477" i="3" s="1"/>
  <c r="BD477" i="3"/>
  <c r="BE477" i="3"/>
  <c r="BF477" i="3"/>
  <c r="BG477" i="3"/>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A479" i="3" s="1"/>
  <c r="AZ479" i="3" s="1"/>
  <c r="BD479" i="3"/>
  <c r="BE479" i="3"/>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A481" i="3" s="1"/>
  <c r="AZ481" i="3" s="1"/>
  <c r="BD481" i="3"/>
  <c r="BE481" i="3"/>
  <c r="BF481" i="3"/>
  <c r="BG481" i="3"/>
  <c r="BH481" i="3"/>
  <c r="BI481" i="3"/>
  <c r="BJ481" i="3"/>
  <c r="BK481" i="3"/>
  <c r="BM481" i="3"/>
  <c r="BN481" i="3"/>
  <c r="BO481" i="3"/>
  <c r="BP481" i="3"/>
  <c r="BQ481" i="3"/>
  <c r="BR481" i="3"/>
  <c r="BS481" i="3"/>
  <c r="BT481" i="3"/>
  <c r="BL481" i="3"/>
  <c r="BB482" i="3"/>
  <c r="BC482" i="3"/>
  <c r="BD482" i="3"/>
  <c r="BE482" i="3"/>
  <c r="BF482" i="3"/>
  <c r="BG482" i="3"/>
  <c r="BH482" i="3"/>
  <c r="BI482" i="3"/>
  <c r="BJ482" i="3"/>
  <c r="BK482" i="3"/>
  <c r="BA482" i="3"/>
  <c r="BM482" i="3"/>
  <c r="BN482" i="3"/>
  <c r="BL482" i="3" s="1"/>
  <c r="AZ482" i="3" s="1"/>
  <c r="BO482" i="3"/>
  <c r="BP482" i="3"/>
  <c r="BQ482" i="3"/>
  <c r="BR482" i="3"/>
  <c r="BS482" i="3"/>
  <c r="BT482" i="3"/>
  <c r="BB483" i="3"/>
  <c r="BC483" i="3"/>
  <c r="BA483" i="3" s="1"/>
  <c r="AZ483" i="3" s="1"/>
  <c r="BD483" i="3"/>
  <c r="BE483" i="3"/>
  <c r="BF483" i="3"/>
  <c r="BG483" i="3"/>
  <c r="BH483" i="3"/>
  <c r="BI483" i="3"/>
  <c r="BJ483" i="3"/>
  <c r="BK483" i="3"/>
  <c r="BM483" i="3"/>
  <c r="BN483" i="3"/>
  <c r="BO483" i="3"/>
  <c r="BP483" i="3"/>
  <c r="BQ483" i="3"/>
  <c r="BR483" i="3"/>
  <c r="BS483" i="3"/>
  <c r="BT483" i="3"/>
  <c r="BL483" i="3"/>
  <c r="BB484" i="3"/>
  <c r="BC484" i="3"/>
  <c r="BD484" i="3"/>
  <c r="BE484" i="3"/>
  <c r="BF484" i="3"/>
  <c r="BG484" i="3"/>
  <c r="BH484" i="3"/>
  <c r="BI484" i="3"/>
  <c r="BJ484" i="3"/>
  <c r="BK484" i="3"/>
  <c r="BA484" i="3"/>
  <c r="BM484" i="3"/>
  <c r="BN484" i="3"/>
  <c r="BL484" i="3" s="1"/>
  <c r="AZ484" i="3" s="1"/>
  <c r="BO484" i="3"/>
  <c r="BP484" i="3"/>
  <c r="BQ484" i="3"/>
  <c r="BR484" i="3"/>
  <c r="BS484" i="3"/>
  <c r="BT484" i="3"/>
  <c r="BB485" i="3"/>
  <c r="BC485" i="3"/>
  <c r="BA485" i="3" s="1"/>
  <c r="AZ485" i="3" s="1"/>
  <c r="BD485" i="3"/>
  <c r="BE485" i="3"/>
  <c r="BF485" i="3"/>
  <c r="BG485" i="3"/>
  <c r="BH485" i="3"/>
  <c r="BI485" i="3"/>
  <c r="BJ485" i="3"/>
  <c r="BK485" i="3"/>
  <c r="BM485" i="3"/>
  <c r="BN485" i="3"/>
  <c r="BO485" i="3"/>
  <c r="BP485" i="3"/>
  <c r="BQ485" i="3"/>
  <c r="BR485" i="3"/>
  <c r="BS485" i="3"/>
  <c r="BT485" i="3"/>
  <c r="BL485" i="3"/>
  <c r="BB486" i="3"/>
  <c r="BC486" i="3"/>
  <c r="BD486" i="3"/>
  <c r="BE486" i="3"/>
  <c r="BF486" i="3"/>
  <c r="BG486" i="3"/>
  <c r="BH486" i="3"/>
  <c r="BI486" i="3"/>
  <c r="BJ486" i="3"/>
  <c r="BK486" i="3"/>
  <c r="BA486" i="3"/>
  <c r="BM486" i="3"/>
  <c r="BN486" i="3"/>
  <c r="BL486" i="3" s="1"/>
  <c r="AZ486" i="3" s="1"/>
  <c r="BO486" i="3"/>
  <c r="BP486" i="3"/>
  <c r="BQ486" i="3"/>
  <c r="BR486" i="3"/>
  <c r="BS486" i="3"/>
  <c r="BT486" i="3"/>
  <c r="BB487" i="3"/>
  <c r="BC487" i="3"/>
  <c r="BA487" i="3" s="1"/>
  <c r="AZ487" i="3" s="1"/>
  <c r="BD487" i="3"/>
  <c r="BE487" i="3"/>
  <c r="BF487" i="3"/>
  <c r="BG487" i="3"/>
  <c r="BH487" i="3"/>
  <c r="BI487" i="3"/>
  <c r="BJ487" i="3"/>
  <c r="BK487" i="3"/>
  <c r="BM487" i="3"/>
  <c r="BN487" i="3"/>
  <c r="BO487" i="3"/>
  <c r="BP487" i="3"/>
  <c r="BQ487" i="3"/>
  <c r="BR487" i="3"/>
  <c r="BS487" i="3"/>
  <c r="BT487" i="3"/>
  <c r="BL487" i="3"/>
  <c r="BB488" i="3"/>
  <c r="BC488" i="3"/>
  <c r="BD488" i="3"/>
  <c r="BE488" i="3"/>
  <c r="BF488" i="3"/>
  <c r="BG488" i="3"/>
  <c r="BH488" i="3"/>
  <c r="BI488" i="3"/>
  <c r="BJ488" i="3"/>
  <c r="BK488" i="3"/>
  <c r="BA488" i="3"/>
  <c r="BM488" i="3"/>
  <c r="BN488" i="3"/>
  <c r="BL488" i="3" s="1"/>
  <c r="AZ488" i="3" s="1"/>
  <c r="BO488" i="3"/>
  <c r="BP488" i="3"/>
  <c r="BQ488" i="3"/>
  <c r="BR488" i="3"/>
  <c r="BS488" i="3"/>
  <c r="BT488" i="3"/>
  <c r="BB489" i="3"/>
  <c r="BC489" i="3"/>
  <c r="BA489" i="3" s="1"/>
  <c r="AZ489" i="3" s="1"/>
  <c r="BD489" i="3"/>
  <c r="BE489" i="3"/>
  <c r="BF489" i="3"/>
  <c r="BG489" i="3"/>
  <c r="BH489" i="3"/>
  <c r="BI489" i="3"/>
  <c r="BJ489" i="3"/>
  <c r="BK489" i="3"/>
  <c r="BM489" i="3"/>
  <c r="BN489" i="3"/>
  <c r="BO489" i="3"/>
  <c r="BP489" i="3"/>
  <c r="BQ489" i="3"/>
  <c r="BR489" i="3"/>
  <c r="BS489" i="3"/>
  <c r="BT489" i="3"/>
  <c r="BL489" i="3"/>
  <c r="BB490" i="3"/>
  <c r="BC490" i="3"/>
  <c r="BD490" i="3"/>
  <c r="BE490" i="3"/>
  <c r="BF490" i="3"/>
  <c r="BG490" i="3"/>
  <c r="BH490" i="3"/>
  <c r="BI490" i="3"/>
  <c r="BJ490" i="3"/>
  <c r="BK490" i="3"/>
  <c r="BA490" i="3"/>
  <c r="BM490" i="3"/>
  <c r="BN490" i="3"/>
  <c r="BL490" i="3" s="1"/>
  <c r="AZ490" i="3" s="1"/>
  <c r="BO490" i="3"/>
  <c r="BP490" i="3"/>
  <c r="BQ490" i="3"/>
  <c r="BR490" i="3"/>
  <c r="BS490" i="3"/>
  <c r="BT490" i="3"/>
  <c r="BB491" i="3"/>
  <c r="BC491" i="3"/>
  <c r="BA491" i="3" s="1"/>
  <c r="AZ491" i="3" s="1"/>
  <c r="BD491" i="3"/>
  <c r="BE491" i="3"/>
  <c r="BF491" i="3"/>
  <c r="BG491" i="3"/>
  <c r="BH491" i="3"/>
  <c r="BI491" i="3"/>
  <c r="BJ491" i="3"/>
  <c r="BK491" i="3"/>
  <c r="BM491" i="3"/>
  <c r="BN491" i="3"/>
  <c r="BO491" i="3"/>
  <c r="BP491" i="3"/>
  <c r="BQ491" i="3"/>
  <c r="BR491" i="3"/>
  <c r="BS491" i="3"/>
  <c r="BT491" i="3"/>
  <c r="BL491" i="3"/>
  <c r="BB492" i="3"/>
  <c r="BC492" i="3"/>
  <c r="BD492" i="3"/>
  <c r="BE492" i="3"/>
  <c r="BF492" i="3"/>
  <c r="BG492" i="3"/>
  <c r="BH492" i="3"/>
  <c r="BI492" i="3"/>
  <c r="BJ492" i="3"/>
  <c r="BK492" i="3"/>
  <c r="BA492" i="3"/>
  <c r="BM492" i="3"/>
  <c r="BN492" i="3"/>
  <c r="BL492" i="3" s="1"/>
  <c r="AZ492" i="3" s="1"/>
  <c r="BO492" i="3"/>
  <c r="BP492" i="3"/>
  <c r="BQ492" i="3"/>
  <c r="BR492" i="3"/>
  <c r="BS492" i="3"/>
  <c r="BT492" i="3"/>
  <c r="BB493" i="3"/>
  <c r="BC493" i="3"/>
  <c r="BA493" i="3" s="1"/>
  <c r="AZ493" i="3" s="1"/>
  <c r="BD493" i="3"/>
  <c r="BE493" i="3"/>
  <c r="BF493" i="3"/>
  <c r="BG493" i="3"/>
  <c r="BH493" i="3"/>
  <c r="BI493" i="3"/>
  <c r="BJ493" i="3"/>
  <c r="BK493" i="3"/>
  <c r="BM493" i="3"/>
  <c r="BN493" i="3"/>
  <c r="BO493" i="3"/>
  <c r="BP493" i="3"/>
  <c r="BQ493" i="3"/>
  <c r="BR493" i="3"/>
  <c r="BS493" i="3"/>
  <c r="BT493" i="3"/>
  <c r="BL493" i="3"/>
  <c r="BB494" i="3"/>
  <c r="BC494" i="3"/>
  <c r="BD494" i="3"/>
  <c r="BE494" i="3"/>
  <c r="BF494" i="3"/>
  <c r="BG494" i="3"/>
  <c r="BH494" i="3"/>
  <c r="BI494" i="3"/>
  <c r="BJ494" i="3"/>
  <c r="BK494" i="3"/>
  <c r="BA494" i="3"/>
  <c r="BM494" i="3"/>
  <c r="BN494" i="3"/>
  <c r="BL494" i="3" s="1"/>
  <c r="AZ494" i="3" s="1"/>
  <c r="BO494" i="3"/>
  <c r="BP494" i="3"/>
  <c r="BQ494" i="3"/>
  <c r="BR494" i="3"/>
  <c r="BS494" i="3"/>
  <c r="BT494" i="3"/>
  <c r="BB495" i="3"/>
  <c r="BC495" i="3"/>
  <c r="BA495" i="3" s="1"/>
  <c r="AZ495" i="3" s="1"/>
  <c r="BD495" i="3"/>
  <c r="BE495" i="3"/>
  <c r="BF495" i="3"/>
  <c r="BG495" i="3"/>
  <c r="BH495" i="3"/>
  <c r="BI495" i="3"/>
  <c r="BJ495" i="3"/>
  <c r="BK495" i="3"/>
  <c r="BM495" i="3"/>
  <c r="BN495" i="3"/>
  <c r="BO495" i="3"/>
  <c r="BP495" i="3"/>
  <c r="BQ495" i="3"/>
  <c r="BR495" i="3"/>
  <c r="BS495" i="3"/>
  <c r="BT495" i="3"/>
  <c r="BL495" i="3"/>
  <c r="BB496" i="3"/>
  <c r="BC496" i="3"/>
  <c r="BD496" i="3"/>
  <c r="BE496" i="3"/>
  <c r="BF496" i="3"/>
  <c r="BG496" i="3"/>
  <c r="BH496" i="3"/>
  <c r="BI496" i="3"/>
  <c r="BJ496" i="3"/>
  <c r="BK496" i="3"/>
  <c r="BA496" i="3"/>
  <c r="BM496" i="3"/>
  <c r="BN496" i="3"/>
  <c r="BL496" i="3" s="1"/>
  <c r="AZ496" i="3" s="1"/>
  <c r="BO496" i="3"/>
  <c r="BP496" i="3"/>
  <c r="BQ496" i="3"/>
  <c r="BR496" i="3"/>
  <c r="BS496" i="3"/>
  <c r="BT496" i="3"/>
  <c r="BB497" i="3"/>
  <c r="BC497" i="3"/>
  <c r="BA497" i="3" s="1"/>
  <c r="AZ497" i="3" s="1"/>
  <c r="BD497" i="3"/>
  <c r="BE497" i="3"/>
  <c r="BF497" i="3"/>
  <c r="BG497" i="3"/>
  <c r="BH497" i="3"/>
  <c r="BI497" i="3"/>
  <c r="BJ497" i="3"/>
  <c r="BK497" i="3"/>
  <c r="BM497" i="3"/>
  <c r="BN497" i="3"/>
  <c r="BO497" i="3"/>
  <c r="BP497" i="3"/>
  <c r="BQ497" i="3"/>
  <c r="BR497" i="3"/>
  <c r="BS497" i="3"/>
  <c r="BT497" i="3"/>
  <c r="BL497" i="3"/>
  <c r="BB498" i="3"/>
  <c r="BC498" i="3"/>
  <c r="BD498" i="3"/>
  <c r="BE498" i="3"/>
  <c r="BF498" i="3"/>
  <c r="BG498" i="3"/>
  <c r="BH498" i="3"/>
  <c r="BI498" i="3"/>
  <c r="BJ498" i="3"/>
  <c r="BK498" i="3"/>
  <c r="BA498" i="3"/>
  <c r="BM498" i="3"/>
  <c r="BN498" i="3"/>
  <c r="BL498" i="3" s="1"/>
  <c r="AZ498" i="3" s="1"/>
  <c r="BO498" i="3"/>
  <c r="BP498" i="3"/>
  <c r="BQ498" i="3"/>
  <c r="BR498" i="3"/>
  <c r="BS498" i="3"/>
  <c r="BT498" i="3"/>
  <c r="BB499" i="3"/>
  <c r="BC499" i="3"/>
  <c r="BA499" i="3" s="1"/>
  <c r="AZ499" i="3" s="1"/>
  <c r="BD499" i="3"/>
  <c r="BE499" i="3"/>
  <c r="BF499" i="3"/>
  <c r="BG499" i="3"/>
  <c r="BH499" i="3"/>
  <c r="BI499" i="3"/>
  <c r="BJ499" i="3"/>
  <c r="BK499" i="3"/>
  <c r="BM499" i="3"/>
  <c r="BN499" i="3"/>
  <c r="BO499" i="3"/>
  <c r="BP499" i="3"/>
  <c r="BQ499" i="3"/>
  <c r="BR499" i="3"/>
  <c r="BS499" i="3"/>
  <c r="BT499" i="3"/>
  <c r="BL499" i="3"/>
  <c r="BB500" i="3"/>
  <c r="BC500" i="3"/>
  <c r="BD500" i="3"/>
  <c r="BE500" i="3"/>
  <c r="BF500" i="3"/>
  <c r="BG500" i="3"/>
  <c r="BH500" i="3"/>
  <c r="BI500" i="3"/>
  <c r="BJ500" i="3"/>
  <c r="BK500" i="3"/>
  <c r="BA500" i="3"/>
  <c r="BM500" i="3"/>
  <c r="BN500" i="3"/>
  <c r="BL500" i="3" s="1"/>
  <c r="AZ500" i="3" s="1"/>
  <c r="BO500" i="3"/>
  <c r="BP500" i="3"/>
  <c r="BQ500" i="3"/>
  <c r="BR500" i="3"/>
  <c r="BS500" i="3"/>
  <c r="BT500" i="3"/>
  <c r="BB501" i="3"/>
  <c r="BC501" i="3"/>
  <c r="BA501" i="3" s="1"/>
  <c r="AZ501" i="3" s="1"/>
  <c r="BD501" i="3"/>
  <c r="BE501" i="3"/>
  <c r="BF501" i="3"/>
  <c r="BG501" i="3"/>
  <c r="BH501" i="3"/>
  <c r="BI501" i="3"/>
  <c r="BJ501" i="3"/>
  <c r="BK501" i="3"/>
  <c r="BM501" i="3"/>
  <c r="BN501" i="3"/>
  <c r="BO501" i="3"/>
  <c r="BP501" i="3"/>
  <c r="BQ501" i="3"/>
  <c r="BR501" i="3"/>
  <c r="BS501" i="3"/>
  <c r="BT501" i="3"/>
  <c r="BL501" i="3"/>
  <c r="BB502" i="3"/>
  <c r="BC502" i="3"/>
  <c r="BD502" i="3"/>
  <c r="BE502" i="3"/>
  <c r="BF502" i="3"/>
  <c r="BG502" i="3"/>
  <c r="BH502" i="3"/>
  <c r="BI502" i="3"/>
  <c r="BJ502" i="3"/>
  <c r="BK502" i="3"/>
  <c r="BA502" i="3"/>
  <c r="BM502" i="3"/>
  <c r="BN502" i="3"/>
  <c r="BL502" i="3" s="1"/>
  <c r="AZ502" i="3" s="1"/>
  <c r="BO502" i="3"/>
  <c r="BP502" i="3"/>
  <c r="BQ502" i="3"/>
  <c r="BR502" i="3"/>
  <c r="BS502" i="3"/>
  <c r="BT502" i="3"/>
  <c r="BB503" i="3"/>
  <c r="BC503" i="3"/>
  <c r="BA503" i="3" s="1"/>
  <c r="AZ503" i="3" s="1"/>
  <c r="BD503" i="3"/>
  <c r="BE503" i="3"/>
  <c r="BF503" i="3"/>
  <c r="BG503" i="3"/>
  <c r="BH503" i="3"/>
  <c r="BI503" i="3"/>
  <c r="BJ503" i="3"/>
  <c r="BK503" i="3"/>
  <c r="BM503" i="3"/>
  <c r="BN503" i="3"/>
  <c r="BO503" i="3"/>
  <c r="BP503" i="3"/>
  <c r="BQ503" i="3"/>
  <c r="BR503" i="3"/>
  <c r="BS503" i="3"/>
  <c r="BT503" i="3"/>
  <c r="BL503" i="3"/>
  <c r="BB504" i="3"/>
  <c r="BC504" i="3"/>
  <c r="BD504" i="3"/>
  <c r="BE504" i="3"/>
  <c r="BF504" i="3"/>
  <c r="BG504" i="3"/>
  <c r="BH504" i="3"/>
  <c r="BI504" i="3"/>
  <c r="BJ504" i="3"/>
  <c r="BK504" i="3"/>
  <c r="BA504" i="3"/>
  <c r="BM504" i="3"/>
  <c r="BN504" i="3"/>
  <c r="BL504" i="3" s="1"/>
  <c r="AZ504" i="3" s="1"/>
  <c r="BO504" i="3"/>
  <c r="BP504" i="3"/>
  <c r="BQ504" i="3"/>
  <c r="BR504" i="3"/>
  <c r="BS504" i="3"/>
  <c r="BT504" i="3"/>
  <c r="BB505" i="3"/>
  <c r="BC505" i="3"/>
  <c r="BA505" i="3" s="1"/>
  <c r="AZ505" i="3" s="1"/>
  <c r="BD505" i="3"/>
  <c r="BE505" i="3"/>
  <c r="BF505" i="3"/>
  <c r="BG505" i="3"/>
  <c r="BH505" i="3"/>
  <c r="BI505" i="3"/>
  <c r="BJ505" i="3"/>
  <c r="BK505" i="3"/>
  <c r="BM505" i="3"/>
  <c r="BN505" i="3"/>
  <c r="BO505" i="3"/>
  <c r="BP505" i="3"/>
  <c r="BQ505" i="3"/>
  <c r="BR505" i="3"/>
  <c r="BS505" i="3"/>
  <c r="BT505" i="3"/>
  <c r="BL505" i="3"/>
  <c r="BB506" i="3"/>
  <c r="BC506" i="3"/>
  <c r="BD506" i="3"/>
  <c r="BE506" i="3"/>
  <c r="BF506" i="3"/>
  <c r="BG506" i="3"/>
  <c r="BH506" i="3"/>
  <c r="BI506" i="3"/>
  <c r="BJ506" i="3"/>
  <c r="BK506" i="3"/>
  <c r="BA506" i="3"/>
  <c r="BM506" i="3"/>
  <c r="BN506" i="3"/>
  <c r="BL506" i="3" s="1"/>
  <c r="AZ506" i="3" s="1"/>
  <c r="BO506" i="3"/>
  <c r="BP506" i="3"/>
  <c r="BQ506" i="3"/>
  <c r="BR506" i="3"/>
  <c r="BS506" i="3"/>
  <c r="BT506" i="3"/>
  <c r="BB507" i="3"/>
  <c r="BC507" i="3"/>
  <c r="BA507" i="3" s="1"/>
  <c r="AZ507" i="3" s="1"/>
  <c r="BD507" i="3"/>
  <c r="BE507" i="3"/>
  <c r="BF507" i="3"/>
  <c r="BG507" i="3"/>
  <c r="BH507" i="3"/>
  <c r="BI507" i="3"/>
  <c r="BJ507" i="3"/>
  <c r="BK507" i="3"/>
  <c r="BM507" i="3"/>
  <c r="BN507" i="3"/>
  <c r="BO507" i="3"/>
  <c r="BP507" i="3"/>
  <c r="BQ507" i="3"/>
  <c r="BR507" i="3"/>
  <c r="BS507" i="3"/>
  <c r="BT507" i="3"/>
  <c r="BL507" i="3"/>
  <c r="BB508" i="3"/>
  <c r="BC508" i="3"/>
  <c r="BD508" i="3"/>
  <c r="BE508" i="3"/>
  <c r="BF508" i="3"/>
  <c r="BG508" i="3"/>
  <c r="BH508" i="3"/>
  <c r="BI508" i="3"/>
  <c r="BJ508" i="3"/>
  <c r="BK508" i="3"/>
  <c r="BA508" i="3"/>
  <c r="BM508" i="3"/>
  <c r="BN508" i="3"/>
  <c r="BL508" i="3" s="1"/>
  <c r="AZ508" i="3" s="1"/>
  <c r="BO508" i="3"/>
  <c r="BP508" i="3"/>
  <c r="BQ508" i="3"/>
  <c r="BR508" i="3"/>
  <c r="BS508" i="3"/>
  <c r="BT508" i="3"/>
  <c r="BB509" i="3"/>
  <c r="BC509" i="3"/>
  <c r="BA509" i="3" s="1"/>
  <c r="AZ509" i="3" s="1"/>
  <c r="BD509" i="3"/>
  <c r="BE509" i="3"/>
  <c r="BF509" i="3"/>
  <c r="BG509" i="3"/>
  <c r="BH509" i="3"/>
  <c r="BI509" i="3"/>
  <c r="BJ509" i="3"/>
  <c r="BK509" i="3"/>
  <c r="BM509" i="3"/>
  <c r="BN509" i="3"/>
  <c r="BO509" i="3"/>
  <c r="BP509" i="3"/>
  <c r="BQ509" i="3"/>
  <c r="BR509" i="3"/>
  <c r="BS509" i="3"/>
  <c r="BT509" i="3"/>
  <c r="BL509" i="3"/>
  <c r="BB510" i="3"/>
  <c r="BC510" i="3"/>
  <c r="BD510" i="3"/>
  <c r="BE510" i="3"/>
  <c r="BF510" i="3"/>
  <c r="BG510" i="3"/>
  <c r="BH510" i="3"/>
  <c r="BI510" i="3"/>
  <c r="BJ510" i="3"/>
  <c r="BK510" i="3"/>
  <c r="BA510" i="3"/>
  <c r="BM510" i="3"/>
  <c r="BN510" i="3"/>
  <c r="BL510" i="3" s="1"/>
  <c r="AZ510" i="3" s="1"/>
  <c r="BO510" i="3"/>
  <c r="BP510" i="3"/>
  <c r="BQ510" i="3"/>
  <c r="BR510" i="3"/>
  <c r="BS510" i="3"/>
  <c r="BT510" i="3"/>
  <c r="BB511" i="3"/>
  <c r="BC511" i="3"/>
  <c r="BA511" i="3" s="1"/>
  <c r="AZ511" i="3" s="1"/>
  <c r="BD511" i="3"/>
  <c r="BE511" i="3"/>
  <c r="BF511" i="3"/>
  <c r="BG511" i="3"/>
  <c r="BH511" i="3"/>
  <c r="BI511" i="3"/>
  <c r="BJ511" i="3"/>
  <c r="BK511" i="3"/>
  <c r="BM511" i="3"/>
  <c r="BN511" i="3"/>
  <c r="BO511" i="3"/>
  <c r="BP511" i="3"/>
  <c r="BQ511" i="3"/>
  <c r="BR511" i="3"/>
  <c r="BS511" i="3"/>
  <c r="BT511" i="3"/>
  <c r="BL511" i="3"/>
  <c r="BB512" i="3"/>
  <c r="BC512" i="3"/>
  <c r="BD512" i="3"/>
  <c r="BE512" i="3"/>
  <c r="BF512" i="3"/>
  <c r="BG512" i="3"/>
  <c r="BH512" i="3"/>
  <c r="BI512" i="3"/>
  <c r="BJ512" i="3"/>
  <c r="BK512" i="3"/>
  <c r="BA512" i="3"/>
  <c r="BM512" i="3"/>
  <c r="BN512" i="3"/>
  <c r="BL512" i="3" s="1"/>
  <c r="AZ512" i="3" s="1"/>
  <c r="BO512" i="3"/>
  <c r="BP512" i="3"/>
  <c r="BQ512" i="3"/>
  <c r="BR512" i="3"/>
  <c r="BS512" i="3"/>
  <c r="BT512" i="3"/>
  <c r="BB513" i="3"/>
  <c r="BC513" i="3"/>
  <c r="BA513" i="3" s="1"/>
  <c r="AZ513" i="3" s="1"/>
  <c r="BD513" i="3"/>
  <c r="BE513" i="3"/>
  <c r="BF513" i="3"/>
  <c r="BG513" i="3"/>
  <c r="BH513" i="3"/>
  <c r="BI513" i="3"/>
  <c r="BJ513" i="3"/>
  <c r="BK513" i="3"/>
  <c r="BM513" i="3"/>
  <c r="BN513" i="3"/>
  <c r="BO513" i="3"/>
  <c r="BP513" i="3"/>
  <c r="BQ513" i="3"/>
  <c r="BR513" i="3"/>
  <c r="BS513" i="3"/>
  <c r="BT513" i="3"/>
  <c r="BL513" i="3"/>
  <c r="BB514" i="3"/>
  <c r="BC514" i="3"/>
  <c r="BD514" i="3"/>
  <c r="BE514" i="3"/>
  <c r="BF514" i="3"/>
  <c r="BG514" i="3"/>
  <c r="BH514" i="3"/>
  <c r="BI514" i="3"/>
  <c r="BJ514" i="3"/>
  <c r="BK514" i="3"/>
  <c r="BA514" i="3"/>
  <c r="BM514" i="3"/>
  <c r="BN514" i="3"/>
  <c r="BL514" i="3" s="1"/>
  <c r="AZ514" i="3" s="1"/>
  <c r="BO514" i="3"/>
  <c r="BP514" i="3"/>
  <c r="BQ514" i="3"/>
  <c r="BR514" i="3"/>
  <c r="BS514" i="3"/>
  <c r="BT514" i="3"/>
  <c r="BB515" i="3"/>
  <c r="BC515" i="3"/>
  <c r="BA515" i="3" s="1"/>
  <c r="AZ515" i="3" s="1"/>
  <c r="BD515" i="3"/>
  <c r="BE515" i="3"/>
  <c r="BF515" i="3"/>
  <c r="BG515" i="3"/>
  <c r="BH515" i="3"/>
  <c r="BI515" i="3"/>
  <c r="BJ515" i="3"/>
  <c r="BK515" i="3"/>
  <c r="BM515" i="3"/>
  <c r="BN515" i="3"/>
  <c r="BO515" i="3"/>
  <c r="BP515" i="3"/>
  <c r="BQ515" i="3"/>
  <c r="BR515" i="3"/>
  <c r="BS515" i="3"/>
  <c r="BT515" i="3"/>
  <c r="BL515" i="3"/>
  <c r="BB516" i="3"/>
  <c r="BC516" i="3"/>
  <c r="BD516" i="3"/>
  <c r="BE516" i="3"/>
  <c r="BF516" i="3"/>
  <c r="BG516" i="3"/>
  <c r="BH516" i="3"/>
  <c r="BI516" i="3"/>
  <c r="BJ516" i="3"/>
  <c r="BK516" i="3"/>
  <c r="BA516" i="3"/>
  <c r="BM516" i="3"/>
  <c r="BN516" i="3"/>
  <c r="BL516" i="3" s="1"/>
  <c r="AZ516" i="3" s="1"/>
  <c r="BO516" i="3"/>
  <c r="BP516" i="3"/>
  <c r="BQ516" i="3"/>
  <c r="BR516" i="3"/>
  <c r="BS516" i="3"/>
  <c r="BT516" i="3"/>
  <c r="BB517" i="3"/>
  <c r="BC517" i="3"/>
  <c r="BA517" i="3" s="1"/>
  <c r="AZ517" i="3" s="1"/>
  <c r="BD517" i="3"/>
  <c r="BE517" i="3"/>
  <c r="BF517" i="3"/>
  <c r="BG517" i="3"/>
  <c r="BH517" i="3"/>
  <c r="BI517" i="3"/>
  <c r="BJ517" i="3"/>
  <c r="BK517" i="3"/>
  <c r="BM517" i="3"/>
  <c r="BN517" i="3"/>
  <c r="BO517" i="3"/>
  <c r="BP517" i="3"/>
  <c r="BQ517" i="3"/>
  <c r="BR517" i="3"/>
  <c r="BS517" i="3"/>
  <c r="BT517" i="3"/>
  <c r="BL517" i="3"/>
  <c r="BB518" i="3"/>
  <c r="BC518" i="3"/>
  <c r="BD518" i="3"/>
  <c r="BE518" i="3"/>
  <c r="BF518" i="3"/>
  <c r="BG518" i="3"/>
  <c r="BH518" i="3"/>
  <c r="BI518" i="3"/>
  <c r="BJ518" i="3"/>
  <c r="BK518" i="3"/>
  <c r="BA518" i="3"/>
  <c r="BM518" i="3"/>
  <c r="BN518" i="3"/>
  <c r="BL518" i="3" s="1"/>
  <c r="AZ518" i="3" s="1"/>
  <c r="BO518" i="3"/>
  <c r="BP518" i="3"/>
  <c r="BQ518" i="3"/>
  <c r="BR518" i="3"/>
  <c r="BS518" i="3"/>
  <c r="BT518" i="3"/>
  <c r="BB519" i="3"/>
  <c r="BC519" i="3"/>
  <c r="BA519" i="3" s="1"/>
  <c r="AZ519" i="3" s="1"/>
  <c r="BD519" i="3"/>
  <c r="BE519" i="3"/>
  <c r="BF519" i="3"/>
  <c r="BG519" i="3"/>
  <c r="BH519" i="3"/>
  <c r="BI519" i="3"/>
  <c r="BJ519" i="3"/>
  <c r="BK519" i="3"/>
  <c r="BM519" i="3"/>
  <c r="BN519" i="3"/>
  <c r="BO519" i="3"/>
  <c r="BP519" i="3"/>
  <c r="BQ519" i="3"/>
  <c r="BR519" i="3"/>
  <c r="BS519" i="3"/>
  <c r="BT519" i="3"/>
  <c r="BL519" i="3"/>
  <c r="BB520" i="3"/>
  <c r="BC520" i="3"/>
  <c r="BD520" i="3"/>
  <c r="BE520" i="3"/>
  <c r="BF520" i="3"/>
  <c r="BG520" i="3"/>
  <c r="BH520" i="3"/>
  <c r="BI520" i="3"/>
  <c r="BJ520" i="3"/>
  <c r="BK520" i="3"/>
  <c r="BA520" i="3"/>
  <c r="BM520" i="3"/>
  <c r="BN520" i="3"/>
  <c r="BL520" i="3" s="1"/>
  <c r="AZ520" i="3" s="1"/>
  <c r="BO520" i="3"/>
  <c r="BP520" i="3"/>
  <c r="BQ520" i="3"/>
  <c r="BR520" i="3"/>
  <c r="BS520" i="3"/>
  <c r="BT520" i="3"/>
  <c r="BB521" i="3"/>
  <c r="BC521" i="3"/>
  <c r="BA521" i="3" s="1"/>
  <c r="AZ521" i="3" s="1"/>
  <c r="BD521" i="3"/>
  <c r="BE521" i="3"/>
  <c r="BF521" i="3"/>
  <c r="BG521" i="3"/>
  <c r="BH521" i="3"/>
  <c r="BI521" i="3"/>
  <c r="BJ521" i="3"/>
  <c r="BK521" i="3"/>
  <c r="BM521" i="3"/>
  <c r="BN521" i="3"/>
  <c r="BO521" i="3"/>
  <c r="BP521" i="3"/>
  <c r="BQ521" i="3"/>
  <c r="BR521" i="3"/>
  <c r="BS521" i="3"/>
  <c r="BT521" i="3"/>
  <c r="BL521" i="3"/>
  <c r="BB522" i="3"/>
  <c r="BC522" i="3"/>
  <c r="BD522" i="3"/>
  <c r="BE522" i="3"/>
  <c r="BF522" i="3"/>
  <c r="BG522" i="3"/>
  <c r="BH522" i="3"/>
  <c r="BI522" i="3"/>
  <c r="BJ522" i="3"/>
  <c r="BK522" i="3"/>
  <c r="BA522" i="3"/>
  <c r="BM522" i="3"/>
  <c r="BN522" i="3"/>
  <c r="BL522" i="3" s="1"/>
  <c r="AZ522" i="3" s="1"/>
  <c r="BO522" i="3"/>
  <c r="BP522" i="3"/>
  <c r="BQ522" i="3"/>
  <c r="BR522" i="3"/>
  <c r="BS522" i="3"/>
  <c r="BT522" i="3"/>
  <c r="BB523" i="3"/>
  <c r="BC523" i="3"/>
  <c r="BA523" i="3" s="1"/>
  <c r="AZ523" i="3" s="1"/>
  <c r="BD523" i="3"/>
  <c r="BE523" i="3"/>
  <c r="BF523" i="3"/>
  <c r="BG523" i="3"/>
  <c r="BH523" i="3"/>
  <c r="BI523" i="3"/>
  <c r="BJ523" i="3"/>
  <c r="BK523" i="3"/>
  <c r="BM523" i="3"/>
  <c r="BN523" i="3"/>
  <c r="BO523" i="3"/>
  <c r="BP523" i="3"/>
  <c r="BQ523" i="3"/>
  <c r="BR523" i="3"/>
  <c r="BS523" i="3"/>
  <c r="BT523" i="3"/>
  <c r="BL523" i="3"/>
  <c r="BB524" i="3"/>
  <c r="BC524" i="3"/>
  <c r="BD524" i="3"/>
  <c r="BE524" i="3"/>
  <c r="BF524" i="3"/>
  <c r="BG524" i="3"/>
  <c r="BH524" i="3"/>
  <c r="BI524" i="3"/>
  <c r="BJ524" i="3"/>
  <c r="BK524" i="3"/>
  <c r="BA524" i="3"/>
  <c r="BM524" i="3"/>
  <c r="BN524" i="3"/>
  <c r="BL524" i="3" s="1"/>
  <c r="AZ524" i="3" s="1"/>
  <c r="BO524" i="3"/>
  <c r="BP524" i="3"/>
  <c r="BQ524" i="3"/>
  <c r="BR524" i="3"/>
  <c r="BS524" i="3"/>
  <c r="BT524" i="3"/>
  <c r="BB525" i="3"/>
  <c r="BC525" i="3"/>
  <c r="BA525" i="3" s="1"/>
  <c r="AZ525" i="3" s="1"/>
  <c r="BD525" i="3"/>
  <c r="BE525" i="3"/>
  <c r="BF525" i="3"/>
  <c r="BG525" i="3"/>
  <c r="BH525" i="3"/>
  <c r="BI525" i="3"/>
  <c r="BJ525" i="3"/>
  <c r="BK525" i="3"/>
  <c r="BM525" i="3"/>
  <c r="BN525" i="3"/>
  <c r="BO525" i="3"/>
  <c r="BP525" i="3"/>
  <c r="BQ525" i="3"/>
  <c r="BR525" i="3"/>
  <c r="BS525" i="3"/>
  <c r="BT525" i="3"/>
  <c r="BL525" i="3"/>
  <c r="BB526" i="3"/>
  <c r="BC526" i="3"/>
  <c r="BD526" i="3"/>
  <c r="BE526" i="3"/>
  <c r="BF526" i="3"/>
  <c r="BG526" i="3"/>
  <c r="BH526" i="3"/>
  <c r="BI526" i="3"/>
  <c r="BJ526" i="3"/>
  <c r="BK526" i="3"/>
  <c r="BA526" i="3"/>
  <c r="BM526" i="3"/>
  <c r="BN526" i="3"/>
  <c r="BL526" i="3" s="1"/>
  <c r="AZ526" i="3" s="1"/>
  <c r="BO526" i="3"/>
  <c r="BP526" i="3"/>
  <c r="BQ526" i="3"/>
  <c r="BR526" i="3"/>
  <c r="BS526" i="3"/>
  <c r="BT526" i="3"/>
  <c r="BB527" i="3"/>
  <c r="BC527" i="3"/>
  <c r="BA527" i="3" s="1"/>
  <c r="AZ527" i="3" s="1"/>
  <c r="BD527" i="3"/>
  <c r="BE527" i="3"/>
  <c r="BF527" i="3"/>
  <c r="BG527" i="3"/>
  <c r="BH527" i="3"/>
  <c r="BI527" i="3"/>
  <c r="BJ527" i="3"/>
  <c r="BK527" i="3"/>
  <c r="BM527" i="3"/>
  <c r="BN527" i="3"/>
  <c r="BO527" i="3"/>
  <c r="BP527" i="3"/>
  <c r="BQ527" i="3"/>
  <c r="BR527" i="3"/>
  <c r="BS527" i="3"/>
  <c r="BT527" i="3"/>
  <c r="BL527" i="3"/>
  <c r="BB528" i="3"/>
  <c r="BC528" i="3"/>
  <c r="BD528" i="3"/>
  <c r="BE528" i="3"/>
  <c r="BF528" i="3"/>
  <c r="BG528" i="3"/>
  <c r="BH528" i="3"/>
  <c r="BI528" i="3"/>
  <c r="BJ528" i="3"/>
  <c r="BK528" i="3"/>
  <c r="BA528" i="3"/>
  <c r="BM528" i="3"/>
  <c r="BN528" i="3"/>
  <c r="BL528" i="3" s="1"/>
  <c r="AZ528" i="3" s="1"/>
  <c r="BO528" i="3"/>
  <c r="BP528" i="3"/>
  <c r="BQ528" i="3"/>
  <c r="BR528" i="3"/>
  <c r="BS528" i="3"/>
  <c r="BT528" i="3"/>
  <c r="BB529" i="3"/>
  <c r="BC529" i="3"/>
  <c r="BA529" i="3" s="1"/>
  <c r="AZ529" i="3" s="1"/>
  <c r="BD529" i="3"/>
  <c r="BE529" i="3"/>
  <c r="BF529" i="3"/>
  <c r="BG529" i="3"/>
  <c r="BH529" i="3"/>
  <c r="BI529" i="3"/>
  <c r="BJ529" i="3"/>
  <c r="BK529" i="3"/>
  <c r="BM529" i="3"/>
  <c r="BN529" i="3"/>
  <c r="BO529" i="3"/>
  <c r="BP529" i="3"/>
  <c r="BQ529" i="3"/>
  <c r="BR529" i="3"/>
  <c r="BS529" i="3"/>
  <c r="BT529" i="3"/>
  <c r="BL529" i="3"/>
  <c r="BB530" i="3"/>
  <c r="BC530" i="3"/>
  <c r="BD530" i="3"/>
  <c r="BE530" i="3"/>
  <c r="BF530" i="3"/>
  <c r="BG530" i="3"/>
  <c r="BH530" i="3"/>
  <c r="BI530" i="3"/>
  <c r="BJ530" i="3"/>
  <c r="BK530" i="3"/>
  <c r="BA530" i="3"/>
  <c r="BM530" i="3"/>
  <c r="BN530" i="3"/>
  <c r="BL530" i="3" s="1"/>
  <c r="AZ530" i="3" s="1"/>
  <c r="BO530" i="3"/>
  <c r="BP530" i="3"/>
  <c r="BQ530" i="3"/>
  <c r="BR530" i="3"/>
  <c r="BS530" i="3"/>
  <c r="BT530" i="3"/>
  <c r="BB531" i="3"/>
  <c r="BC531" i="3"/>
  <c r="BA531" i="3" s="1"/>
  <c r="AZ531" i="3" s="1"/>
  <c r="BD531" i="3"/>
  <c r="BE531" i="3"/>
  <c r="BF531" i="3"/>
  <c r="BG531" i="3"/>
  <c r="BH531" i="3"/>
  <c r="BI531" i="3"/>
  <c r="BJ531" i="3"/>
  <c r="BK531" i="3"/>
  <c r="BM531" i="3"/>
  <c r="BN531" i="3"/>
  <c r="BO531" i="3"/>
  <c r="BP531" i="3"/>
  <c r="BQ531" i="3"/>
  <c r="BR531" i="3"/>
  <c r="BS531" i="3"/>
  <c r="BT531" i="3"/>
  <c r="BL531" i="3"/>
  <c r="BB532" i="3"/>
  <c r="BC532" i="3"/>
  <c r="BD532" i="3"/>
  <c r="BE532" i="3"/>
  <c r="BF532" i="3"/>
  <c r="BG532" i="3"/>
  <c r="BH532" i="3"/>
  <c r="BI532" i="3"/>
  <c r="BJ532" i="3"/>
  <c r="BK532" i="3"/>
  <c r="BA532" i="3"/>
  <c r="BM532" i="3"/>
  <c r="BN532" i="3"/>
  <c r="BL532" i="3" s="1"/>
  <c r="AZ532" i="3" s="1"/>
  <c r="BO532" i="3"/>
  <c r="BP532" i="3"/>
  <c r="BQ532" i="3"/>
  <c r="BR532" i="3"/>
  <c r="BS532" i="3"/>
  <c r="BT532" i="3"/>
  <c r="BB533" i="3"/>
  <c r="BC533" i="3"/>
  <c r="BA533" i="3" s="1"/>
  <c r="AZ533" i="3" s="1"/>
  <c r="BD533" i="3"/>
  <c r="BE533" i="3"/>
  <c r="BF533" i="3"/>
  <c r="BG533" i="3"/>
  <c r="BH533" i="3"/>
  <c r="BI533" i="3"/>
  <c r="BJ533" i="3"/>
  <c r="BK533" i="3"/>
  <c r="BM533" i="3"/>
  <c r="BN533" i="3"/>
  <c r="BO533" i="3"/>
  <c r="BP533" i="3"/>
  <c r="BQ533" i="3"/>
  <c r="BR533" i="3"/>
  <c r="BS533" i="3"/>
  <c r="BT533" i="3"/>
  <c r="BL533" i="3"/>
  <c r="BB534" i="3"/>
  <c r="BC534" i="3"/>
  <c r="BD534" i="3"/>
  <c r="BE534" i="3"/>
  <c r="BF534" i="3"/>
  <c r="BG534" i="3"/>
  <c r="BH534" i="3"/>
  <c r="BI534" i="3"/>
  <c r="BJ534" i="3"/>
  <c r="BK534" i="3"/>
  <c r="BA534" i="3"/>
  <c r="BM534" i="3"/>
  <c r="BN534" i="3"/>
  <c r="BL534" i="3" s="1"/>
  <c r="AZ534" i="3" s="1"/>
  <c r="BO534" i="3"/>
  <c r="BP534" i="3"/>
  <c r="BQ534" i="3"/>
  <c r="BR534" i="3"/>
  <c r="BS534" i="3"/>
  <c r="BT534" i="3"/>
  <c r="BB535" i="3"/>
  <c r="BC535" i="3"/>
  <c r="BA535" i="3" s="1"/>
  <c r="AZ535" i="3" s="1"/>
  <c r="BD535" i="3"/>
  <c r="BE535" i="3"/>
  <c r="BF535" i="3"/>
  <c r="BG535" i="3"/>
  <c r="BH535" i="3"/>
  <c r="BI535" i="3"/>
  <c r="BJ535" i="3"/>
  <c r="BK535" i="3"/>
  <c r="BM535" i="3"/>
  <c r="BN535" i="3"/>
  <c r="BO535" i="3"/>
  <c r="BP535" i="3"/>
  <c r="BQ535" i="3"/>
  <c r="BR535" i="3"/>
  <c r="BS535" i="3"/>
  <c r="BT535" i="3"/>
  <c r="BL535" i="3"/>
  <c r="BB536" i="3"/>
  <c r="BC536" i="3"/>
  <c r="BD536" i="3"/>
  <c r="BE536" i="3"/>
  <c r="BF536" i="3"/>
  <c r="BG536" i="3"/>
  <c r="BH536" i="3"/>
  <c r="BI536" i="3"/>
  <c r="BJ536" i="3"/>
  <c r="BK536" i="3"/>
  <c r="BA536" i="3"/>
  <c r="BM536" i="3"/>
  <c r="BN536" i="3"/>
  <c r="BL536" i="3" s="1"/>
  <c r="AZ536" i="3" s="1"/>
  <c r="BO536" i="3"/>
  <c r="BP536" i="3"/>
  <c r="BQ536" i="3"/>
  <c r="BR536" i="3"/>
  <c r="BS536" i="3"/>
  <c r="BT536" i="3"/>
  <c r="BB537" i="3"/>
  <c r="BC537" i="3"/>
  <c r="BA537" i="3" s="1"/>
  <c r="AZ537" i="3" s="1"/>
  <c r="BD537" i="3"/>
  <c r="BE537" i="3"/>
  <c r="BF537" i="3"/>
  <c r="BG537" i="3"/>
  <c r="BH537" i="3"/>
  <c r="BI537" i="3"/>
  <c r="BJ537" i="3"/>
  <c r="BK537" i="3"/>
  <c r="BM537" i="3"/>
  <c r="BN537" i="3"/>
  <c r="BO537" i="3"/>
  <c r="BP537" i="3"/>
  <c r="BQ537" i="3"/>
  <c r="BR537" i="3"/>
  <c r="BS537" i="3"/>
  <c r="BT537" i="3"/>
  <c r="BL537" i="3"/>
  <c r="BB538" i="3"/>
  <c r="BC538" i="3"/>
  <c r="BD538" i="3"/>
  <c r="BE538" i="3"/>
  <c r="BF538" i="3"/>
  <c r="BG538" i="3"/>
  <c r="BH538" i="3"/>
  <c r="BI538" i="3"/>
  <c r="BJ538" i="3"/>
  <c r="BK538" i="3"/>
  <c r="BA538" i="3"/>
  <c r="BM538" i="3"/>
  <c r="BN538" i="3"/>
  <c r="BL538" i="3" s="1"/>
  <c r="AZ538" i="3" s="1"/>
  <c r="BO538" i="3"/>
  <c r="BP538" i="3"/>
  <c r="BQ538" i="3"/>
  <c r="BR538" i="3"/>
  <c r="BS538" i="3"/>
  <c r="BT538" i="3"/>
  <c r="BB539" i="3"/>
  <c r="BC539" i="3"/>
  <c r="BA539" i="3" s="1"/>
  <c r="AZ539" i="3" s="1"/>
  <c r="BD539" i="3"/>
  <c r="BE539" i="3"/>
  <c r="BF539" i="3"/>
  <c r="BG539" i="3"/>
  <c r="BH539" i="3"/>
  <c r="BI539" i="3"/>
  <c r="BJ539" i="3"/>
  <c r="BK539" i="3"/>
  <c r="BM539" i="3"/>
  <c r="BN539" i="3"/>
  <c r="BO539" i="3"/>
  <c r="BP539" i="3"/>
  <c r="BQ539" i="3"/>
  <c r="BR539" i="3"/>
  <c r="BS539" i="3"/>
  <c r="BT539" i="3"/>
  <c r="BL539" i="3"/>
  <c r="BB540" i="3"/>
  <c r="BC540" i="3"/>
  <c r="BD540" i="3"/>
  <c r="BE540" i="3"/>
  <c r="BF540" i="3"/>
  <c r="BG540" i="3"/>
  <c r="BH540" i="3"/>
  <c r="BI540" i="3"/>
  <c r="BJ540" i="3"/>
  <c r="BK540" i="3"/>
  <c r="BA540" i="3"/>
  <c r="BM540" i="3"/>
  <c r="BN540" i="3"/>
  <c r="BL540" i="3" s="1"/>
  <c r="AZ540" i="3" s="1"/>
  <c r="BO540" i="3"/>
  <c r="BP540" i="3"/>
  <c r="BQ540" i="3"/>
  <c r="BR540" i="3"/>
  <c r="BS540" i="3"/>
  <c r="BT540" i="3"/>
  <c r="BB541" i="3"/>
  <c r="BC541" i="3"/>
  <c r="BA541" i="3" s="1"/>
  <c r="AZ541" i="3" s="1"/>
  <c r="BD541" i="3"/>
  <c r="BE541" i="3"/>
  <c r="BF541" i="3"/>
  <c r="BG541" i="3"/>
  <c r="BH541" i="3"/>
  <c r="BI541" i="3"/>
  <c r="BJ541" i="3"/>
  <c r="BK541" i="3"/>
  <c r="BM541" i="3"/>
  <c r="BN541" i="3"/>
  <c r="BO541" i="3"/>
  <c r="BP541" i="3"/>
  <c r="BQ541" i="3"/>
  <c r="BR541" i="3"/>
  <c r="BS541" i="3"/>
  <c r="BT541" i="3"/>
  <c r="BL541" i="3"/>
  <c r="BB542" i="3"/>
  <c r="BC542" i="3"/>
  <c r="BD542" i="3"/>
  <c r="BE542" i="3"/>
  <c r="BF542" i="3"/>
  <c r="BG542" i="3"/>
  <c r="BH542" i="3"/>
  <c r="BI542" i="3"/>
  <c r="BJ542" i="3"/>
  <c r="BK542" i="3"/>
  <c r="BA542" i="3"/>
  <c r="BM542" i="3"/>
  <c r="BN542" i="3"/>
  <c r="BL542" i="3" s="1"/>
  <c r="AZ542" i="3" s="1"/>
  <c r="BO542" i="3"/>
  <c r="BP542" i="3"/>
  <c r="BQ542" i="3"/>
  <c r="BR542" i="3"/>
  <c r="BS542" i="3"/>
  <c r="BT542" i="3"/>
  <c r="BB543" i="3"/>
  <c r="BC543" i="3"/>
  <c r="BA543" i="3" s="1"/>
  <c r="AZ543" i="3" s="1"/>
  <c r="BD543" i="3"/>
  <c r="BE543" i="3"/>
  <c r="BF543" i="3"/>
  <c r="BG543" i="3"/>
  <c r="BH543" i="3"/>
  <c r="BI543" i="3"/>
  <c r="BJ543" i="3"/>
  <c r="BK543" i="3"/>
  <c r="BM543" i="3"/>
  <c r="BN543" i="3"/>
  <c r="BO543" i="3"/>
  <c r="BP543" i="3"/>
  <c r="BQ543" i="3"/>
  <c r="BR543" i="3"/>
  <c r="BS543" i="3"/>
  <c r="BT543" i="3"/>
  <c r="BL543" i="3"/>
  <c r="BB544" i="3"/>
  <c r="BC544" i="3"/>
  <c r="BD544" i="3"/>
  <c r="BE544" i="3"/>
  <c r="BF544" i="3"/>
  <c r="BG544" i="3"/>
  <c r="BH544" i="3"/>
  <c r="BI544" i="3"/>
  <c r="BJ544" i="3"/>
  <c r="BK544" i="3"/>
  <c r="BA544" i="3"/>
  <c r="BM544" i="3"/>
  <c r="BN544" i="3"/>
  <c r="BL544" i="3" s="1"/>
  <c r="AZ544" i="3" s="1"/>
  <c r="BO544" i="3"/>
  <c r="BP544" i="3"/>
  <c r="BQ544" i="3"/>
  <c r="BR544" i="3"/>
  <c r="BS544" i="3"/>
  <c r="BT544" i="3"/>
  <c r="BB545" i="3"/>
  <c r="BC545" i="3"/>
  <c r="BA545" i="3" s="1"/>
  <c r="AZ545" i="3" s="1"/>
  <c r="BD545" i="3"/>
  <c r="BE545" i="3"/>
  <c r="BF545" i="3"/>
  <c r="BG545" i="3"/>
  <c r="BH545" i="3"/>
  <c r="BI545" i="3"/>
  <c r="BJ545" i="3"/>
  <c r="BK545" i="3"/>
  <c r="BM545" i="3"/>
  <c r="BN545" i="3"/>
  <c r="BO545" i="3"/>
  <c r="BP545" i="3"/>
  <c r="BQ545" i="3"/>
  <c r="BR545" i="3"/>
  <c r="BS545" i="3"/>
  <c r="BT545" i="3"/>
  <c r="BL545" i="3"/>
  <c r="BB546" i="3"/>
  <c r="BC546" i="3"/>
  <c r="BD546" i="3"/>
  <c r="BE546" i="3"/>
  <c r="BF546" i="3"/>
  <c r="BG546" i="3"/>
  <c r="BH546" i="3"/>
  <c r="BI546" i="3"/>
  <c r="BJ546" i="3"/>
  <c r="BK546" i="3"/>
  <c r="BA546" i="3"/>
  <c r="BM546" i="3"/>
  <c r="BN546" i="3"/>
  <c r="BL546" i="3" s="1"/>
  <c r="AZ546" i="3" s="1"/>
  <c r="BO546" i="3"/>
  <c r="BP546" i="3"/>
  <c r="BQ546" i="3"/>
  <c r="BR546" i="3"/>
  <c r="BS546" i="3"/>
  <c r="BT546" i="3"/>
  <c r="BB547" i="3"/>
  <c r="BC547" i="3"/>
  <c r="BA547" i="3" s="1"/>
  <c r="AZ547" i="3" s="1"/>
  <c r="BD547" i="3"/>
  <c r="BE547" i="3"/>
  <c r="BF547" i="3"/>
  <c r="BG547" i="3"/>
  <c r="BH547" i="3"/>
  <c r="BI547" i="3"/>
  <c r="BJ547" i="3"/>
  <c r="BK547" i="3"/>
  <c r="BM547" i="3"/>
  <c r="BN547" i="3"/>
  <c r="BO547" i="3"/>
  <c r="BP547" i="3"/>
  <c r="BQ547" i="3"/>
  <c r="BR547" i="3"/>
  <c r="BS547" i="3"/>
  <c r="BT547" i="3"/>
  <c r="BL547" i="3"/>
  <c r="BB548" i="3"/>
  <c r="BC548" i="3"/>
  <c r="BD548" i="3"/>
  <c r="BE548" i="3"/>
  <c r="BF548" i="3"/>
  <c r="BG548" i="3"/>
  <c r="BH548" i="3"/>
  <c r="BI548" i="3"/>
  <c r="BJ548" i="3"/>
  <c r="BK548" i="3"/>
  <c r="BA548" i="3"/>
  <c r="BM548" i="3"/>
  <c r="BN548" i="3"/>
  <c r="BL548" i="3" s="1"/>
  <c r="AZ548" i="3" s="1"/>
  <c r="BO548" i="3"/>
  <c r="BP548" i="3"/>
  <c r="BQ548" i="3"/>
  <c r="BR548" i="3"/>
  <c r="BS548" i="3"/>
  <c r="BT548" i="3"/>
  <c r="BB549" i="3"/>
  <c r="BC549" i="3"/>
  <c r="BA549" i="3" s="1"/>
  <c r="AZ549" i="3" s="1"/>
  <c r="BD549" i="3"/>
  <c r="BE549" i="3"/>
  <c r="BF549" i="3"/>
  <c r="BG549" i="3"/>
  <c r="BH549" i="3"/>
  <c r="BI549" i="3"/>
  <c r="BJ549" i="3"/>
  <c r="BK549" i="3"/>
  <c r="BM549" i="3"/>
  <c r="BN549" i="3"/>
  <c r="BO549" i="3"/>
  <c r="BP549" i="3"/>
  <c r="BQ549" i="3"/>
  <c r="BR549" i="3"/>
  <c r="BS549" i="3"/>
  <c r="BT549" i="3"/>
  <c r="BL549" i="3"/>
  <c r="BB550" i="3"/>
  <c r="BC550" i="3"/>
  <c r="BD550" i="3"/>
  <c r="BE550" i="3"/>
  <c r="BF550" i="3"/>
  <c r="BG550" i="3"/>
  <c r="BH550" i="3"/>
  <c r="BI550" i="3"/>
  <c r="BJ550" i="3"/>
  <c r="BK550" i="3"/>
  <c r="BA550" i="3"/>
  <c r="BM550" i="3"/>
  <c r="BN550" i="3"/>
  <c r="BL550" i="3" s="1"/>
  <c r="AZ550" i="3" s="1"/>
  <c r="BO550" i="3"/>
  <c r="BP550" i="3"/>
  <c r="BQ550" i="3"/>
  <c r="BR550" i="3"/>
  <c r="BS550" i="3"/>
  <c r="BT550" i="3"/>
  <c r="BB551" i="3"/>
  <c r="BC551" i="3"/>
  <c r="BA551" i="3" s="1"/>
  <c r="AZ551" i="3" s="1"/>
  <c r="BD551" i="3"/>
  <c r="BE551" i="3"/>
  <c r="BF551" i="3"/>
  <c r="BG551" i="3"/>
  <c r="BH551" i="3"/>
  <c r="BI551" i="3"/>
  <c r="BJ551" i="3"/>
  <c r="BK551" i="3"/>
  <c r="BM551" i="3"/>
  <c r="BN551" i="3"/>
  <c r="BO551" i="3"/>
  <c r="BP551" i="3"/>
  <c r="BQ551" i="3"/>
  <c r="BR551" i="3"/>
  <c r="BS551" i="3"/>
  <c r="BT551" i="3"/>
  <c r="BL551" i="3"/>
  <c r="BB552" i="3"/>
  <c r="BC552" i="3"/>
  <c r="BD552" i="3"/>
  <c r="BE552" i="3"/>
  <c r="BF552" i="3"/>
  <c r="BG552" i="3"/>
  <c r="BH552" i="3"/>
  <c r="BI552" i="3"/>
  <c r="BJ552" i="3"/>
  <c r="BK552" i="3"/>
  <c r="BA552" i="3"/>
  <c r="BM552" i="3"/>
  <c r="BN552" i="3"/>
  <c r="BL552" i="3" s="1"/>
  <c r="AZ552" i="3" s="1"/>
  <c r="BO552" i="3"/>
  <c r="BP552" i="3"/>
  <c r="BQ552" i="3"/>
  <c r="BR552" i="3"/>
  <c r="BS552" i="3"/>
  <c r="BT552" i="3"/>
  <c r="BB553" i="3"/>
  <c r="BC553" i="3"/>
  <c r="BA553" i="3" s="1"/>
  <c r="AZ553" i="3" s="1"/>
  <c r="BD553" i="3"/>
  <c r="BE553" i="3"/>
  <c r="BF553" i="3"/>
  <c r="BG553" i="3"/>
  <c r="BH553" i="3"/>
  <c r="BI553" i="3"/>
  <c r="BJ553" i="3"/>
  <c r="BK553" i="3"/>
  <c r="BM553" i="3"/>
  <c r="BN553" i="3"/>
  <c r="BO553" i="3"/>
  <c r="BP553" i="3"/>
  <c r="BQ553" i="3"/>
  <c r="BR553" i="3"/>
  <c r="BS553" i="3"/>
  <c r="BT553" i="3"/>
  <c r="BL553" i="3"/>
  <c r="BB554" i="3"/>
  <c r="BC554" i="3"/>
  <c r="BD554" i="3"/>
  <c r="BE554" i="3"/>
  <c r="BF554" i="3"/>
  <c r="BG554" i="3"/>
  <c r="BH554" i="3"/>
  <c r="BI554" i="3"/>
  <c r="BJ554" i="3"/>
  <c r="BK554" i="3"/>
  <c r="BA554" i="3"/>
  <c r="BM554" i="3"/>
  <c r="BN554" i="3"/>
  <c r="BL554" i="3" s="1"/>
  <c r="AZ554" i="3" s="1"/>
  <c r="BO554" i="3"/>
  <c r="BP554" i="3"/>
  <c r="BQ554" i="3"/>
  <c r="BR554" i="3"/>
  <c r="BS554" i="3"/>
  <c r="BT554" i="3"/>
  <c r="BB555" i="3"/>
  <c r="BC555" i="3"/>
  <c r="BA555" i="3" s="1"/>
  <c r="AZ555" i="3" s="1"/>
  <c r="BD555" i="3"/>
  <c r="BE555" i="3"/>
  <c r="BF555" i="3"/>
  <c r="BG555" i="3"/>
  <c r="BH555" i="3"/>
  <c r="BI555" i="3"/>
  <c r="BJ555" i="3"/>
  <c r="BK555" i="3"/>
  <c r="BM555" i="3"/>
  <c r="BN555" i="3"/>
  <c r="BO555" i="3"/>
  <c r="BP555" i="3"/>
  <c r="BQ555" i="3"/>
  <c r="BR555" i="3"/>
  <c r="BS555" i="3"/>
  <c r="BT555" i="3"/>
  <c r="BL555" i="3"/>
  <c r="BB556" i="3"/>
  <c r="BC556" i="3"/>
  <c r="BD556" i="3"/>
  <c r="BE556" i="3"/>
  <c r="BF556" i="3"/>
  <c r="BG556" i="3"/>
  <c r="BH556" i="3"/>
  <c r="BI556" i="3"/>
  <c r="BJ556" i="3"/>
  <c r="BK556" i="3"/>
  <c r="BA556" i="3"/>
  <c r="BM556" i="3"/>
  <c r="BN556" i="3"/>
  <c r="BL556" i="3" s="1"/>
  <c r="AZ556" i="3" s="1"/>
  <c r="BO556" i="3"/>
  <c r="BP556" i="3"/>
  <c r="BQ556" i="3"/>
  <c r="BR556" i="3"/>
  <c r="BS556" i="3"/>
  <c r="BT556" i="3"/>
  <c r="BB557" i="3"/>
  <c r="BC557" i="3"/>
  <c r="BA557" i="3" s="1"/>
  <c r="AZ557" i="3" s="1"/>
  <c r="BD557" i="3"/>
  <c r="BE557" i="3"/>
  <c r="BF557" i="3"/>
  <c r="BG557" i="3"/>
  <c r="BH557" i="3"/>
  <c r="BI557" i="3"/>
  <c r="BJ557" i="3"/>
  <c r="BK557" i="3"/>
  <c r="BM557" i="3"/>
  <c r="BN557" i="3"/>
  <c r="BO557" i="3"/>
  <c r="BP557" i="3"/>
  <c r="BQ557" i="3"/>
  <c r="BR557" i="3"/>
  <c r="BS557" i="3"/>
  <c r="BT557" i="3"/>
  <c r="BL557" i="3"/>
  <c r="BB558" i="3"/>
  <c r="BC558" i="3"/>
  <c r="BD558" i="3"/>
  <c r="BE558" i="3"/>
  <c r="BF558" i="3"/>
  <c r="BG558" i="3"/>
  <c r="BH558" i="3"/>
  <c r="BI558" i="3"/>
  <c r="BJ558" i="3"/>
  <c r="BK558" i="3"/>
  <c r="BA558" i="3"/>
  <c r="BM558" i="3"/>
  <c r="BN558" i="3"/>
  <c r="BL558" i="3" s="1"/>
  <c r="AZ558" i="3" s="1"/>
  <c r="BO558" i="3"/>
  <c r="BP558" i="3"/>
  <c r="BQ558" i="3"/>
  <c r="BR558" i="3"/>
  <c r="BS558" i="3"/>
  <c r="BT558" i="3"/>
  <c r="BB559" i="3"/>
  <c r="BC559" i="3"/>
  <c r="BA559" i="3" s="1"/>
  <c r="AZ559" i="3" s="1"/>
  <c r="BD559" i="3"/>
  <c r="BE559" i="3"/>
  <c r="BF559" i="3"/>
  <c r="BG559" i="3"/>
  <c r="BH559" i="3"/>
  <c r="BI559" i="3"/>
  <c r="BJ559" i="3"/>
  <c r="BK559" i="3"/>
  <c r="BM559" i="3"/>
  <c r="BN559" i="3"/>
  <c r="BO559" i="3"/>
  <c r="BP559" i="3"/>
  <c r="BQ559" i="3"/>
  <c r="BR559" i="3"/>
  <c r="BS559" i="3"/>
  <c r="BT559" i="3"/>
  <c r="BL559" i="3"/>
  <c r="BB560" i="3"/>
  <c r="BC560" i="3"/>
  <c r="BD560" i="3"/>
  <c r="BE560" i="3"/>
  <c r="BF560" i="3"/>
  <c r="BG560" i="3"/>
  <c r="BH560" i="3"/>
  <c r="BI560" i="3"/>
  <c r="BJ560" i="3"/>
  <c r="BK560" i="3"/>
  <c r="BA560" i="3"/>
  <c r="BM560" i="3"/>
  <c r="BN560" i="3"/>
  <c r="BL560" i="3" s="1"/>
  <c r="AZ560" i="3" s="1"/>
  <c r="BO560" i="3"/>
  <c r="BP560" i="3"/>
  <c r="BQ560" i="3"/>
  <c r="BR560" i="3"/>
  <c r="BS560" i="3"/>
  <c r="BT560" i="3"/>
  <c r="BB561" i="3"/>
  <c r="BC561" i="3"/>
  <c r="BA561" i="3" s="1"/>
  <c r="AZ561" i="3" s="1"/>
  <c r="BD561" i="3"/>
  <c r="BE561" i="3"/>
  <c r="BF561" i="3"/>
  <c r="BG561" i="3"/>
  <c r="BH561" i="3"/>
  <c r="BI561" i="3"/>
  <c r="BJ561" i="3"/>
  <c r="BK561" i="3"/>
  <c r="BM561" i="3"/>
  <c r="BN561" i="3"/>
  <c r="BO561" i="3"/>
  <c r="BP561" i="3"/>
  <c r="BQ561" i="3"/>
  <c r="BR561" i="3"/>
  <c r="BS561" i="3"/>
  <c r="BT561" i="3"/>
  <c r="BL561" i="3"/>
  <c r="BB562" i="3"/>
  <c r="BC562" i="3"/>
  <c r="BD562" i="3"/>
  <c r="BE562" i="3"/>
  <c r="BF562" i="3"/>
  <c r="BG562" i="3"/>
  <c r="BH562" i="3"/>
  <c r="BI562" i="3"/>
  <c r="BJ562" i="3"/>
  <c r="BK562" i="3"/>
  <c r="BA562" i="3"/>
  <c r="BM562" i="3"/>
  <c r="BN562" i="3"/>
  <c r="BL562" i="3" s="1"/>
  <c r="AZ562" i="3" s="1"/>
  <c r="BO562" i="3"/>
  <c r="BP562" i="3"/>
  <c r="BQ562" i="3"/>
  <c r="BR562" i="3"/>
  <c r="BS562" i="3"/>
  <c r="BT562" i="3"/>
  <c r="BB563" i="3"/>
  <c r="BC563" i="3"/>
  <c r="BA563" i="3" s="1"/>
  <c r="AZ563" i="3" s="1"/>
  <c r="BD563" i="3"/>
  <c r="BE563" i="3"/>
  <c r="BF563" i="3"/>
  <c r="BG563" i="3"/>
  <c r="BH563" i="3"/>
  <c r="BI563" i="3"/>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L564" i="3" s="1"/>
  <c r="AZ564" i="3" s="1"/>
  <c r="BO564" i="3"/>
  <c r="BP564" i="3"/>
  <c r="BQ564" i="3"/>
  <c r="BR564" i="3"/>
  <c r="BS564" i="3"/>
  <c r="BT564" i="3"/>
  <c r="BB565" i="3"/>
  <c r="BC565" i="3"/>
  <c r="BA565" i="3" s="1"/>
  <c r="AZ565" i="3" s="1"/>
  <c r="BD565" i="3"/>
  <c r="BE565" i="3"/>
  <c r="BF565" i="3"/>
  <c r="BG565" i="3"/>
  <c r="BH565" i="3"/>
  <c r="BI565" i="3"/>
  <c r="BJ565" i="3"/>
  <c r="BK565" i="3"/>
  <c r="BM565" i="3"/>
  <c r="BN565" i="3"/>
  <c r="BO565" i="3"/>
  <c r="BP565" i="3"/>
  <c r="BQ565" i="3"/>
  <c r="BR565" i="3"/>
  <c r="BS565" i="3"/>
  <c r="BT565" i="3"/>
  <c r="BL565" i="3"/>
  <c r="BB566" i="3"/>
  <c r="BC566" i="3"/>
  <c r="BD566" i="3"/>
  <c r="BE566" i="3"/>
  <c r="BF566" i="3"/>
  <c r="BG566" i="3"/>
  <c r="BH566" i="3"/>
  <c r="BI566" i="3"/>
  <c r="BJ566" i="3"/>
  <c r="BK566" i="3"/>
  <c r="BA566" i="3"/>
  <c r="BM566" i="3"/>
  <c r="BN566" i="3"/>
  <c r="BL566" i="3" s="1"/>
  <c r="AZ566" i="3" s="1"/>
  <c r="BO566" i="3"/>
  <c r="BP566" i="3"/>
  <c r="BQ566" i="3"/>
  <c r="BR566" i="3"/>
  <c r="BS566" i="3"/>
  <c r="BT566" i="3"/>
  <c r="BB567" i="3"/>
  <c r="BC567" i="3"/>
  <c r="BA567" i="3" s="1"/>
  <c r="AZ567" i="3" s="1"/>
  <c r="BD567" i="3"/>
  <c r="BE567" i="3"/>
  <c r="BF567" i="3"/>
  <c r="BG567" i="3"/>
  <c r="BH567" i="3"/>
  <c r="BI567" i="3"/>
  <c r="BJ567" i="3"/>
  <c r="BK567" i="3"/>
  <c r="BM567" i="3"/>
  <c r="BN567" i="3"/>
  <c r="BO567" i="3"/>
  <c r="BP567" i="3"/>
  <c r="BQ567" i="3"/>
  <c r="BR567" i="3"/>
  <c r="BS567" i="3"/>
  <c r="BT567" i="3"/>
  <c r="BL567" i="3"/>
  <c r="BB568" i="3"/>
  <c r="BC568" i="3"/>
  <c r="BD568" i="3"/>
  <c r="BE568" i="3"/>
  <c r="BF568" i="3"/>
  <c r="BG568" i="3"/>
  <c r="BH568" i="3"/>
  <c r="BI568" i="3"/>
  <c r="BJ568" i="3"/>
  <c r="BK568" i="3"/>
  <c r="BA568" i="3"/>
  <c r="BM568" i="3"/>
  <c r="BN568" i="3"/>
  <c r="BL568" i="3" s="1"/>
  <c r="AZ568" i="3" s="1"/>
  <c r="BO568" i="3"/>
  <c r="BP568" i="3"/>
  <c r="BQ568" i="3"/>
  <c r="BR568" i="3"/>
  <c r="BS568" i="3"/>
  <c r="BT568" i="3"/>
  <c r="BB569" i="3"/>
  <c r="BC569" i="3"/>
  <c r="BA569" i="3" s="1"/>
  <c r="AZ569" i="3" s="1"/>
  <c r="BD569" i="3"/>
  <c r="BE569" i="3"/>
  <c r="BF569" i="3"/>
  <c r="BG569" i="3"/>
  <c r="BH569" i="3"/>
  <c r="BI569" i="3"/>
  <c r="BJ569" i="3"/>
  <c r="BK569" i="3"/>
  <c r="BM569" i="3"/>
  <c r="BN569" i="3"/>
  <c r="BO569" i="3"/>
  <c r="BP569" i="3"/>
  <c r="BQ569" i="3"/>
  <c r="BR569" i="3"/>
  <c r="BS569" i="3"/>
  <c r="BT569" i="3"/>
  <c r="BL569" i="3"/>
  <c r="BB570" i="3"/>
  <c r="BC570" i="3"/>
  <c r="BD570" i="3"/>
  <c r="BE570" i="3"/>
  <c r="BF570" i="3"/>
  <c r="BG570" i="3"/>
  <c r="BH570" i="3"/>
  <c r="BI570" i="3"/>
  <c r="BJ570" i="3"/>
  <c r="BK570" i="3"/>
  <c r="BA570" i="3"/>
  <c r="BM570" i="3"/>
  <c r="BN570" i="3"/>
  <c r="BL570" i="3" s="1"/>
  <c r="AZ570" i="3" s="1"/>
  <c r="BO570" i="3"/>
  <c r="BP570" i="3"/>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L571" i="3"/>
  <c r="BB572" i="3"/>
  <c r="BC572" i="3"/>
  <c r="BD572" i="3"/>
  <c r="BE572" i="3"/>
  <c r="BF572" i="3"/>
  <c r="BG572" i="3"/>
  <c r="BH572" i="3"/>
  <c r="BI572" i="3"/>
  <c r="BJ572" i="3"/>
  <c r="BK572" i="3"/>
  <c r="BA572" i="3"/>
  <c r="BM572" i="3"/>
  <c r="BN572" i="3"/>
  <c r="BL572" i="3" s="1"/>
  <c r="AZ572" i="3" s="1"/>
  <c r="BO572" i="3"/>
  <c r="BP572" i="3"/>
  <c r="BQ572" i="3"/>
  <c r="BR572" i="3"/>
  <c r="BS572" i="3"/>
  <c r="BT572"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c r="H94" i="3"/>
  <c r="AC94" i="3"/>
  <c r="G94" i="3" s="1"/>
  <c r="H95" i="3"/>
  <c r="AC95" i="3"/>
  <c r="G95" i="3"/>
  <c r="H96" i="3"/>
  <c r="AC96" i="3"/>
  <c r="G96" i="3" s="1"/>
  <c r="H97" i="3"/>
  <c r="AC97" i="3"/>
  <c r="G97" i="3"/>
  <c r="H98" i="3"/>
  <c r="AC98" i="3"/>
  <c r="G98" i="3" s="1"/>
  <c r="H99" i="3"/>
  <c r="AC99" i="3"/>
  <c r="G99" i="3"/>
  <c r="H100" i="3"/>
  <c r="AC100" i="3"/>
  <c r="G100" i="3" s="1"/>
  <c r="H101" i="3"/>
  <c r="AC101" i="3"/>
  <c r="G101" i="3"/>
  <c r="H102" i="3"/>
  <c r="AC102" i="3"/>
  <c r="G102" i="3" s="1"/>
  <c r="H103" i="3"/>
  <c r="AC103" i="3"/>
  <c r="G103" i="3"/>
  <c r="H104" i="3"/>
  <c r="AC104" i="3"/>
  <c r="G104" i="3" s="1"/>
  <c r="H105" i="3"/>
  <c r="AC105" i="3"/>
  <c r="G105" i="3"/>
  <c r="H106" i="3"/>
  <c r="AC106" i="3"/>
  <c r="G106" i="3" s="1"/>
  <c r="H107" i="3"/>
  <c r="AC107" i="3"/>
  <c r="G107" i="3"/>
  <c r="H108" i="3"/>
  <c r="AC108" i="3"/>
  <c r="G108" i="3" s="1"/>
  <c r="H109" i="3"/>
  <c r="AC109" i="3"/>
  <c r="G109" i="3"/>
  <c r="H110" i="3"/>
  <c r="AC110" i="3"/>
  <c r="G110" i="3" s="1"/>
  <c r="H111" i="3"/>
  <c r="AC111" i="3"/>
  <c r="G111" i="3"/>
  <c r="H112" i="3"/>
  <c r="AC112" i="3"/>
  <c r="G112" i="3" s="1"/>
  <c r="H113" i="3"/>
  <c r="AC113" i="3"/>
  <c r="G113" i="3"/>
  <c r="H114" i="3"/>
  <c r="AC114" i="3"/>
  <c r="G114" i="3" s="1"/>
  <c r="H115" i="3"/>
  <c r="AC115" i="3"/>
  <c r="G115" i="3"/>
  <c r="H116" i="3"/>
  <c r="AC116" i="3"/>
  <c r="G116" i="3" s="1"/>
  <c r="H117" i="3"/>
  <c r="AC117" i="3"/>
  <c r="G117" i="3"/>
  <c r="H118" i="3"/>
  <c r="AC118" i="3"/>
  <c r="G118" i="3" s="1"/>
  <c r="H119" i="3"/>
  <c r="AC119" i="3"/>
  <c r="G119" i="3"/>
  <c r="H120" i="3"/>
  <c r="AC120" i="3"/>
  <c r="G120" i="3" s="1"/>
  <c r="H121" i="3"/>
  <c r="AC121" i="3"/>
  <c r="G121" i="3"/>
  <c r="H122" i="3"/>
  <c r="AC122" i="3"/>
  <c r="G122" i="3" s="1"/>
  <c r="H123" i="3"/>
  <c r="AC123" i="3"/>
  <c r="G123" i="3"/>
  <c r="H124" i="3"/>
  <c r="AC124" i="3"/>
  <c r="G124" i="3" s="1"/>
  <c r="H125" i="3"/>
  <c r="AC125" i="3"/>
  <c r="G125" i="3"/>
  <c r="H126" i="3"/>
  <c r="AC126" i="3"/>
  <c r="G126" i="3" s="1"/>
  <c r="H127" i="3"/>
  <c r="AC127" i="3"/>
  <c r="G127" i="3"/>
  <c r="H128" i="3"/>
  <c r="AC128" i="3"/>
  <c r="G128" i="3" s="1"/>
  <c r="H129" i="3"/>
  <c r="AC129" i="3"/>
  <c r="G129" i="3"/>
  <c r="H130" i="3"/>
  <c r="AC130" i="3"/>
  <c r="G130" i="3" s="1"/>
  <c r="H131" i="3"/>
  <c r="AC131" i="3"/>
  <c r="G131" i="3"/>
  <c r="H132" i="3"/>
  <c r="AC132" i="3"/>
  <c r="G132" i="3" s="1"/>
  <c r="H133" i="3"/>
  <c r="AC133" i="3"/>
  <c r="G133" i="3"/>
  <c r="H134" i="3"/>
  <c r="AC134" i="3"/>
  <c r="G134" i="3" s="1"/>
  <c r="H135" i="3"/>
  <c r="AC135" i="3"/>
  <c r="G135" i="3"/>
  <c r="H136" i="3"/>
  <c r="AC136" i="3"/>
  <c r="G136" i="3" s="1"/>
  <c r="H137" i="3"/>
  <c r="AC137" i="3"/>
  <c r="G137" i="3"/>
  <c r="H138" i="3"/>
  <c r="AC138" i="3"/>
  <c r="G138" i="3" s="1"/>
  <c r="H139" i="3"/>
  <c r="AC139" i="3"/>
  <c r="G139" i="3"/>
  <c r="H140" i="3"/>
  <c r="AC140" i="3"/>
  <c r="G140" i="3" s="1"/>
  <c r="H141" i="3"/>
  <c r="AC141" i="3"/>
  <c r="G141" i="3"/>
  <c r="H142" i="3"/>
  <c r="AC142" i="3"/>
  <c r="G142" i="3" s="1"/>
  <c r="H143" i="3"/>
  <c r="AC143" i="3"/>
  <c r="G143" i="3"/>
  <c r="H144" i="3"/>
  <c r="AC144" i="3"/>
  <c r="G144" i="3" s="1"/>
  <c r="H145" i="3"/>
  <c r="AC145" i="3"/>
  <c r="G145" i="3"/>
  <c r="H146" i="3"/>
  <c r="AC146" i="3"/>
  <c r="G146" i="3" s="1"/>
  <c r="H147" i="3"/>
  <c r="AC147" i="3"/>
  <c r="G147" i="3"/>
  <c r="H148" i="3"/>
  <c r="AC148" i="3"/>
  <c r="G148" i="3" s="1"/>
  <c r="H149" i="3"/>
  <c r="AC149" i="3"/>
  <c r="G149" i="3"/>
  <c r="H150" i="3"/>
  <c r="AC150" i="3"/>
  <c r="G150" i="3" s="1"/>
  <c r="H151" i="3"/>
  <c r="AC151" i="3"/>
  <c r="G151" i="3"/>
  <c r="H152" i="3"/>
  <c r="AC152" i="3"/>
  <c r="G152" i="3" s="1"/>
  <c r="H153" i="3"/>
  <c r="AC153" i="3"/>
  <c r="G153" i="3"/>
  <c r="H154" i="3"/>
  <c r="AC154" i="3"/>
  <c r="G154" i="3" s="1"/>
  <c r="H155" i="3"/>
  <c r="AC155" i="3"/>
  <c r="G155" i="3"/>
  <c r="H156" i="3"/>
  <c r="AC156" i="3"/>
  <c r="G156" i="3" s="1"/>
  <c r="H157" i="3"/>
  <c r="AC157" i="3"/>
  <c r="G157" i="3"/>
  <c r="H158" i="3"/>
  <c r="AC158" i="3"/>
  <c r="G158" i="3" s="1"/>
  <c r="H159" i="3"/>
  <c r="AC159" i="3"/>
  <c r="G159" i="3"/>
  <c r="H160" i="3"/>
  <c r="AC160" i="3"/>
  <c r="G160" i="3" s="1"/>
  <c r="H161" i="3"/>
  <c r="AC161" i="3"/>
  <c r="G161" i="3"/>
  <c r="H162" i="3"/>
  <c r="AC162" i="3"/>
  <c r="G162" i="3" s="1"/>
  <c r="H163" i="3"/>
  <c r="AC163" i="3"/>
  <c r="G163" i="3"/>
  <c r="H164" i="3"/>
  <c r="AC164" i="3"/>
  <c r="G164" i="3" s="1"/>
  <c r="H165" i="3"/>
  <c r="AC165" i="3"/>
  <c r="G165" i="3"/>
  <c r="H166" i="3"/>
  <c r="AC166" i="3"/>
  <c r="G166" i="3" s="1"/>
  <c r="H167" i="3"/>
  <c r="AC167" i="3"/>
  <c r="G167" i="3"/>
  <c r="H168" i="3"/>
  <c r="AC168" i="3"/>
  <c r="G168" i="3" s="1"/>
  <c r="H169" i="3"/>
  <c r="AC169" i="3"/>
  <c r="G169" i="3"/>
  <c r="H170" i="3"/>
  <c r="AC170" i="3"/>
  <c r="G170" i="3" s="1"/>
  <c r="H171" i="3"/>
  <c r="AC171" i="3"/>
  <c r="G171" i="3"/>
  <c r="H172" i="3"/>
  <c r="AC172" i="3"/>
  <c r="G172" i="3" s="1"/>
  <c r="H173" i="3"/>
  <c r="AC173" i="3"/>
  <c r="G173" i="3"/>
  <c r="H174" i="3"/>
  <c r="AC174" i="3"/>
  <c r="G174" i="3" s="1"/>
  <c r="H175" i="3"/>
  <c r="AC175" i="3"/>
  <c r="G175" i="3"/>
  <c r="H176" i="3"/>
  <c r="AC176" i="3"/>
  <c r="G176" i="3" s="1"/>
  <c r="H177" i="3"/>
  <c r="AC177" i="3"/>
  <c r="G177" i="3"/>
  <c r="H178" i="3"/>
  <c r="AC178" i="3"/>
  <c r="G178" i="3" s="1"/>
  <c r="H179" i="3"/>
  <c r="AC179" i="3"/>
  <c r="G179" i="3"/>
  <c r="H180" i="3"/>
  <c r="AC180" i="3"/>
  <c r="G180" i="3" s="1"/>
  <c r="H181" i="3"/>
  <c r="AC181" i="3"/>
  <c r="G181" i="3"/>
  <c r="H182" i="3"/>
  <c r="AC182" i="3"/>
  <c r="G182" i="3" s="1"/>
  <c r="H183" i="3"/>
  <c r="AC183" i="3"/>
  <c r="G183" i="3"/>
  <c r="H184" i="3"/>
  <c r="AC184" i="3"/>
  <c r="G184" i="3" s="1"/>
  <c r="H185" i="3"/>
  <c r="AC185" i="3"/>
  <c r="G185" i="3"/>
  <c r="H186" i="3"/>
  <c r="AC186" i="3"/>
  <c r="G186" i="3" s="1"/>
  <c r="H187" i="3"/>
  <c r="AC187" i="3"/>
  <c r="G187" i="3"/>
  <c r="H188" i="3"/>
  <c r="AC188" i="3"/>
  <c r="G188" i="3" s="1"/>
  <c r="H189" i="3"/>
  <c r="AC189" i="3"/>
  <c r="G189" i="3"/>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c r="H241" i="3"/>
  <c r="AC241" i="3"/>
  <c r="G241" i="3"/>
  <c r="H242" i="3"/>
  <c r="AC242" i="3"/>
  <c r="G242" i="3"/>
  <c r="H243" i="3"/>
  <c r="AC243" i="3"/>
  <c r="G243" i="3" s="1"/>
  <c r="H244" i="3"/>
  <c r="AC244" i="3"/>
  <c r="G244" i="3"/>
  <c r="H245" i="3"/>
  <c r="AC245" i="3"/>
  <c r="G245" i="3" s="1"/>
  <c r="H246" i="3"/>
  <c r="AC246" i="3"/>
  <c r="G246" i="3"/>
  <c r="H247" i="3"/>
  <c r="AC247" i="3"/>
  <c r="G247" i="3" s="1"/>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c r="H506" i="3"/>
  <c r="AC506" i="3"/>
  <c r="G506" i="3" s="1"/>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H5" i="3" s="1"/>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BQ5" i="3"/>
  <c r="F28" i="6" s="1"/>
  <c r="BS5" i="3"/>
  <c r="BR5" i="3"/>
  <c r="G28" i="6" s="1"/>
  <c r="BT5" i="3"/>
  <c r="I5" i="3"/>
  <c r="E21" i="6"/>
  <c r="E22" i="6"/>
  <c r="E23" i="6"/>
  <c r="E24" i="6"/>
  <c r="E25" i="6"/>
  <c r="E26" i="6"/>
  <c r="B52" i="1"/>
  <c r="F34" i="15" s="1"/>
  <c r="L14" i="1"/>
  <c r="G17" i="4"/>
  <c r="G19" i="4" s="1"/>
  <c r="F7" i="1" s="1"/>
  <c r="G7" i="1" s="1"/>
  <c r="M47" i="15"/>
  <c r="J50" i="15"/>
  <c r="J51" i="15" s="1"/>
  <c r="BB11" i="3"/>
  <c r="BC11" i="3"/>
  <c r="BD11" i="3"/>
  <c r="BE11" i="3"/>
  <c r="BF11" i="3"/>
  <c r="BG11" i="3"/>
  <c r="BH11" i="3"/>
  <c r="BI11" i="3"/>
  <c r="BJ11" i="3"/>
  <c r="BK11" i="3"/>
  <c r="BM11" i="3"/>
  <c r="BN11" i="3"/>
  <c r="BO11" i="3"/>
  <c r="BP11" i="3"/>
  <c r="BQ11" i="3"/>
  <c r="BR11" i="3"/>
  <c r="BS11" i="3"/>
  <c r="BT11" i="3"/>
  <c r="F5" i="3"/>
  <c r="J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B5" i="3"/>
  <c r="BC5" i="3"/>
  <c r="BD5" i="3"/>
  <c r="BE5" i="3"/>
  <c r="BF5" i="3"/>
  <c r="BG5" i="3"/>
  <c r="BH5" i="3"/>
  <c r="BI5" i="3"/>
  <c r="BJ5" i="3"/>
  <c r="BK5" i="3"/>
  <c r="BM5" i="3"/>
  <c r="BN5" i="3"/>
  <c r="BO5" i="3"/>
  <c r="BP5" i="3"/>
  <c r="R2" i="69"/>
  <c r="G19" i="46"/>
  <c r="I3" i="59"/>
  <c r="AD3" i="59"/>
  <c r="J3" i="59"/>
  <c r="AE3" i="59"/>
  <c r="AF3" i="59" s="1"/>
  <c r="K3" i="59"/>
  <c r="AG3" i="59" s="1"/>
  <c r="L3" i="59"/>
  <c r="AH3" i="59" s="1"/>
  <c r="AD5" i="59"/>
  <c r="AE5" i="59"/>
  <c r="AF5" i="59"/>
  <c r="AG5" i="59"/>
  <c r="AH5" i="59"/>
  <c r="AD6" i="59"/>
  <c r="AE6" i="59"/>
  <c r="AF6" i="59" s="1"/>
  <c r="AG6" i="59"/>
  <c r="AH6"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F10" i="39"/>
  <c r="AA10" i="39" s="1"/>
  <c r="F11" i="39"/>
  <c r="AA11" i="39" s="1"/>
  <c r="B84" i="39"/>
  <c r="F14" i="39" s="1"/>
  <c r="AA14" i="39" s="1"/>
  <c r="B86" i="39"/>
  <c r="F15" i="39"/>
  <c r="AA15" i="39" s="1"/>
  <c r="B88" i="39"/>
  <c r="F16" i="39" s="1"/>
  <c r="AA16" i="39" s="1"/>
  <c r="F17" i="39"/>
  <c r="AA17" i="39"/>
  <c r="F19" i="39"/>
  <c r="AA19" i="39"/>
  <c r="F21" i="39"/>
  <c r="AA21" i="39"/>
  <c r="F23" i="39"/>
  <c r="AA23" i="39" s="1"/>
  <c r="F25" i="39"/>
  <c r="AA25" i="39" s="1"/>
  <c r="F27" i="39"/>
  <c r="AA27" i="39" s="1"/>
  <c r="F29" i="39"/>
  <c r="AA29" i="39" s="1"/>
  <c r="F31" i="39"/>
  <c r="AA31" i="39" s="1"/>
  <c r="B106" i="39"/>
  <c r="F33" i="39" s="1"/>
  <c r="AA33" i="39"/>
  <c r="F34" i="39"/>
  <c r="AA34" i="39"/>
  <c r="F36" i="39"/>
  <c r="AA36" i="39"/>
  <c r="B112" i="39"/>
  <c r="F37" i="39"/>
  <c r="AA37" i="39" s="1"/>
  <c r="B114" i="39"/>
  <c r="F38" i="39" s="1"/>
  <c r="AA38" i="39"/>
  <c r="B116" i="39"/>
  <c r="F39" i="39"/>
  <c r="AA39" i="39" s="1"/>
  <c r="F41" i="39"/>
  <c r="AA41" i="39" s="1"/>
  <c r="F42" i="39"/>
  <c r="AA42" i="39" s="1"/>
  <c r="F43" i="39"/>
  <c r="AA43" i="39" s="1"/>
  <c r="F44" i="39"/>
  <c r="AA44" i="39" s="1"/>
  <c r="B129" i="39"/>
  <c r="F45" i="39" s="1"/>
  <c r="AA45" i="39"/>
  <c r="B131" i="39"/>
  <c r="F46" i="39"/>
  <c r="AA46" i="39" s="1"/>
  <c r="B133" i="39"/>
  <c r="F47" i="39" s="1"/>
  <c r="AA47" i="39"/>
  <c r="R4" i="69"/>
  <c r="R3" i="69"/>
  <c r="C19" i="68"/>
  <c r="BB10" i="3"/>
  <c r="BC10" i="3"/>
  <c r="BD10" i="3"/>
  <c r="BE10" i="3"/>
  <c r="BF10" i="3"/>
  <c r="BG10" i="3"/>
  <c r="BH10" i="3"/>
  <c r="BI10" i="3"/>
  <c r="BJ10" i="3"/>
  <c r="BK10" i="3"/>
  <c r="R5" i="69"/>
  <c r="R6" i="69"/>
  <c r="R7" i="69"/>
  <c r="R8" i="69"/>
  <c r="R9" i="69"/>
  <c r="R10" i="69"/>
  <c r="R11" i="69"/>
  <c r="R12" i="69"/>
  <c r="R13" i="69"/>
  <c r="R14" i="69"/>
  <c r="R15" i="69"/>
  <c r="R16" i="69"/>
  <c r="Q16" i="69"/>
  <c r="Q15" i="69"/>
  <c r="Q14" i="69"/>
  <c r="Q13" i="69"/>
  <c r="Q12" i="69"/>
  <c r="Q11" i="69"/>
  <c r="Q10" i="69"/>
  <c r="Q9" i="69"/>
  <c r="Q8" i="69"/>
  <c r="Q7" i="69"/>
  <c r="Q6" i="69"/>
  <c r="Q5" i="69"/>
  <c r="Q4" i="69"/>
  <c r="Q3" i="69"/>
  <c r="Q2" i="69"/>
  <c r="A15" i="3"/>
  <c r="A21" i="31"/>
  <c r="C109" i="9"/>
  <c r="Q14" i="59"/>
  <c r="Q13" i="59"/>
  <c r="Q12" i="59"/>
  <c r="Q11" i="59"/>
  <c r="Q10" i="59"/>
  <c r="Q9" i="59"/>
  <c r="Q8" i="59"/>
  <c r="Q7" i="59"/>
  <c r="Q6" i="59"/>
  <c r="P14" i="59"/>
  <c r="E14" i="59"/>
  <c r="P13" i="59"/>
  <c r="E13" i="59"/>
  <c r="P12" i="59"/>
  <c r="E12" i="59"/>
  <c r="P11" i="59"/>
  <c r="E11" i="59"/>
  <c r="P10" i="59"/>
  <c r="E10" i="59"/>
  <c r="P9" i="59"/>
  <c r="E9" i="59"/>
  <c r="P8" i="59"/>
  <c r="E8" i="59"/>
  <c r="P7" i="59"/>
  <c r="E7" i="59"/>
  <c r="P6" i="59"/>
  <c r="E6" i="59"/>
  <c r="U6" i="59" s="1"/>
  <c r="O14" i="59"/>
  <c r="C14" i="59" s="1"/>
  <c r="O13" i="59"/>
  <c r="O12" i="59"/>
  <c r="O11" i="59"/>
  <c r="O10" i="59"/>
  <c r="O9" i="59"/>
  <c r="O8" i="59"/>
  <c r="Y8" i="59" s="1"/>
  <c r="O7" i="59"/>
  <c r="O6" i="59"/>
  <c r="N14" i="59"/>
  <c r="B14" i="59"/>
  <c r="S14" i="59" s="1"/>
  <c r="N13" i="59"/>
  <c r="B13" i="59"/>
  <c r="N12" i="59"/>
  <c r="B12" i="59"/>
  <c r="N11" i="59"/>
  <c r="B11" i="59"/>
  <c r="N10" i="59"/>
  <c r="B10" i="59"/>
  <c r="N9" i="59"/>
  <c r="B9" i="59"/>
  <c r="N8" i="59"/>
  <c r="B8" i="59"/>
  <c r="N7" i="59"/>
  <c r="B7" i="59"/>
  <c r="N6" i="59"/>
  <c r="B6" i="59"/>
  <c r="S6" i="59" s="1"/>
  <c r="Q5" i="59"/>
  <c r="P5" i="59"/>
  <c r="O5" i="59"/>
  <c r="N5" i="59"/>
  <c r="Q15" i="59"/>
  <c r="Q16" i="59"/>
  <c r="Q17" i="59"/>
  <c r="Q18" i="59"/>
  <c r="Q19" i="59"/>
  <c r="Q20" i="59"/>
  <c r="Q21" i="59"/>
  <c r="Q22" i="59"/>
  <c r="Q23" i="59"/>
  <c r="Q24" i="59"/>
  <c r="Q25" i="59"/>
  <c r="Q26" i="59"/>
  <c r="Q27" i="59"/>
  <c r="Q28" i="59"/>
  <c r="Q29" i="59"/>
  <c r="P15" i="59"/>
  <c r="P16" i="59"/>
  <c r="P17" i="59"/>
  <c r="P18" i="59"/>
  <c r="P19" i="59"/>
  <c r="P20" i="59"/>
  <c r="P21" i="59"/>
  <c r="P22" i="59"/>
  <c r="P23" i="59"/>
  <c r="P24" i="59"/>
  <c r="P25" i="59"/>
  <c r="P26" i="59"/>
  <c r="P27" i="59"/>
  <c r="P28" i="59"/>
  <c r="P29" i="59"/>
  <c r="AA29" i="59" s="1"/>
  <c r="O15" i="59"/>
  <c r="O16" i="59"/>
  <c r="O17" i="59"/>
  <c r="O18" i="59"/>
  <c r="O19" i="59"/>
  <c r="O20" i="59"/>
  <c r="O21" i="59"/>
  <c r="O22" i="59"/>
  <c r="O23" i="59"/>
  <c r="O24" i="59"/>
  <c r="O25" i="59"/>
  <c r="O26" i="59"/>
  <c r="O27" i="59"/>
  <c r="O28" i="59"/>
  <c r="O29" i="59"/>
  <c r="Y28" i="59" s="1"/>
  <c r="N15" i="59"/>
  <c r="N16" i="59"/>
  <c r="N17" i="59"/>
  <c r="N18" i="59"/>
  <c r="N19" i="59"/>
  <c r="N20" i="59"/>
  <c r="N21" i="59"/>
  <c r="N22" i="59"/>
  <c r="N23" i="59"/>
  <c r="N24" i="59"/>
  <c r="N25" i="59"/>
  <c r="N26" i="59"/>
  <c r="N27" i="59"/>
  <c r="N28" i="59"/>
  <c r="N29" i="59"/>
  <c r="X6" i="59"/>
  <c r="AA5" i="59"/>
  <c r="AB8" i="59"/>
  <c r="M15" i="49"/>
  <c r="L15" i="49"/>
  <c r="K15" i="49"/>
  <c r="J15" i="49"/>
  <c r="I15" i="49"/>
  <c r="H15" i="49"/>
  <c r="G15" i="49"/>
  <c r="F15" i="49"/>
  <c r="E15" i="49"/>
  <c r="D15" i="49"/>
  <c r="C15" i="49"/>
  <c r="B15" i="49"/>
  <c r="AA11" i="59"/>
  <c r="M19" i="46"/>
  <c r="D15" i="59"/>
  <c r="Y13" i="59"/>
  <c r="Z13" i="59" s="1"/>
  <c r="X13" i="59"/>
  <c r="L4" i="9"/>
  <c r="M4" i="9"/>
  <c r="A30" i="64" s="1"/>
  <c r="A30" i="51"/>
  <c r="K59" i="15"/>
  <c r="P62" i="15"/>
  <c r="P75" i="15"/>
  <c r="Q74" i="44"/>
  <c r="Q61" i="44"/>
  <c r="Q60" i="44"/>
  <c r="Q53" i="44"/>
  <c r="J51" i="44"/>
  <c r="J52" i="44" s="1"/>
  <c r="M48" i="44"/>
  <c r="A16" i="55"/>
  <c r="A15" i="55"/>
  <c r="B66" i="63" s="1"/>
  <c r="C43" i="9"/>
  <c r="K47" i="9" s="1"/>
  <c r="A14" i="55" s="1"/>
  <c r="B65" i="63" s="1"/>
  <c r="L26" i="4"/>
  <c r="L24" i="4"/>
  <c r="L25" i="4"/>
  <c r="A11" i="55"/>
  <c r="A10" i="55"/>
  <c r="B61" i="63"/>
  <c r="A9" i="55"/>
  <c r="B60" i="63"/>
  <c r="A8" i="55"/>
  <c r="A6" i="54"/>
  <c r="B49" i="63" s="1"/>
  <c r="A8" i="54"/>
  <c r="A7" i="54"/>
  <c r="C57" i="10"/>
  <c r="A28" i="51"/>
  <c r="B21" i="63" s="1"/>
  <c r="A27" i="51"/>
  <c r="B20" i="63"/>
  <c r="Y14" i="59"/>
  <c r="Z14" i="59" s="1"/>
  <c r="X14" i="59"/>
  <c r="B18" i="59"/>
  <c r="C18" i="59"/>
  <c r="D18" i="59" s="1"/>
  <c r="E18" i="59"/>
  <c r="U18" i="59" s="1"/>
  <c r="F18" i="59"/>
  <c r="K75" i="9"/>
  <c r="K6" i="4"/>
  <c r="O76" i="9"/>
  <c r="L76" i="9"/>
  <c r="K76" i="9"/>
  <c r="B22" i="31"/>
  <c r="E15" i="66"/>
  <c r="F15" i="66"/>
  <c r="E16" i="66"/>
  <c r="F16" i="66"/>
  <c r="E17" i="66"/>
  <c r="F17" i="66"/>
  <c r="E18" i="66"/>
  <c r="F18" i="66"/>
  <c r="E19" i="66"/>
  <c r="F19" i="66"/>
  <c r="E20" i="66"/>
  <c r="F20" i="66"/>
  <c r="E21" i="66"/>
  <c r="F21" i="66"/>
  <c r="E22" i="66"/>
  <c r="F22" i="66"/>
  <c r="E23" i="66"/>
  <c r="F23" i="66"/>
  <c r="B3" i="66"/>
  <c r="V18" i="59"/>
  <c r="T18" i="59"/>
  <c r="S18" i="59"/>
  <c r="B17" i="59"/>
  <c r="B16" i="59" s="1"/>
  <c r="E17" i="59"/>
  <c r="E16" i="59" s="1"/>
  <c r="C17" i="59"/>
  <c r="C16" i="59" s="1"/>
  <c r="D16" i="59" s="1"/>
  <c r="U14" i="59"/>
  <c r="D17" i="59"/>
  <c r="X19" i="59"/>
  <c r="AB19" i="59"/>
  <c r="Y20" i="59"/>
  <c r="Z20" i="59" s="1"/>
  <c r="AA20" i="59"/>
  <c r="X21" i="59"/>
  <c r="AB21" i="59"/>
  <c r="Y22" i="59"/>
  <c r="Z22" i="59" s="1"/>
  <c r="AA22" i="59"/>
  <c r="X23" i="59"/>
  <c r="AB23" i="59"/>
  <c r="Y24" i="59"/>
  <c r="Z24" i="59" s="1"/>
  <c r="AA24" i="59"/>
  <c r="X25" i="59"/>
  <c r="AB25" i="59"/>
  <c r="Y26" i="59"/>
  <c r="Z26" i="59" s="1"/>
  <c r="AA26" i="59"/>
  <c r="X27" i="59"/>
  <c r="AB27" i="59"/>
  <c r="AA28" i="59"/>
  <c r="X28" i="59"/>
  <c r="S2" i="31"/>
  <c r="M2" i="31"/>
  <c r="N2" i="31"/>
  <c r="O2" i="31"/>
  <c r="P2" i="31"/>
  <c r="Q2" i="31"/>
  <c r="R2" i="31"/>
  <c r="C3" i="65"/>
  <c r="T14" i="59"/>
  <c r="B76" i="63"/>
  <c r="M5" i="54"/>
  <c r="A23" i="51"/>
  <c r="B17" i="63" s="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I12" i="46"/>
  <c r="AG12" i="46"/>
  <c r="AE12" i="46"/>
  <c r="AC12" i="46"/>
  <c r="AA12" i="46"/>
  <c r="A21" i="64"/>
  <c r="B75" i="63"/>
  <c r="B73" i="63"/>
  <c r="A28" i="64"/>
  <c r="A27" i="64"/>
  <c r="A15" i="64"/>
  <c r="A14" i="64"/>
  <c r="A11" i="64"/>
  <c r="A3" i="64"/>
  <c r="A45" i="9"/>
  <c r="K40" i="9" s="1"/>
  <c r="A44" i="9"/>
  <c r="C56" i="10"/>
  <c r="C55" i="10"/>
  <c r="C54" i="10"/>
  <c r="A26" i="51" s="1"/>
  <c r="B19" i="63" s="1"/>
  <c r="B44" i="63"/>
  <c r="B40" i="63"/>
  <c r="B30" i="63"/>
  <c r="B27" i="63"/>
  <c r="B25" i="63"/>
  <c r="A11" i="51"/>
  <c r="K39" i="9"/>
  <c r="B58" i="63"/>
  <c r="B53" i="63"/>
  <c r="B51" i="63"/>
  <c r="A46" i="9"/>
  <c r="K41" i="9"/>
  <c r="B8" i="63"/>
  <c r="A21" i="55"/>
  <c r="B71" i="63" s="1"/>
  <c r="A20" i="55"/>
  <c r="B69" i="63" s="1"/>
  <c r="B26" i="63"/>
  <c r="B28" i="63"/>
  <c r="B29" i="63"/>
  <c r="B31" i="63"/>
  <c r="B33" i="63"/>
  <c r="B35" i="63"/>
  <c r="B36" i="63"/>
  <c r="B37" i="63"/>
  <c r="B63" i="63"/>
  <c r="B64" i="63"/>
  <c r="B68" i="63"/>
  <c r="D51" i="10"/>
  <c r="B59" i="63"/>
  <c r="B10" i="63"/>
  <c r="B51" i="10"/>
  <c r="A15" i="51"/>
  <c r="B12" i="63" s="1"/>
  <c r="A14" i="51"/>
  <c r="B11" i="63" s="1"/>
  <c r="A4" i="55"/>
  <c r="B57" i="63" s="1"/>
  <c r="B41" i="63"/>
  <c r="G5" i="54"/>
  <c r="B34" i="63"/>
  <c r="E5" i="54"/>
  <c r="B32" i="63"/>
  <c r="R2" i="54"/>
  <c r="B24" i="63"/>
  <c r="B49" i="50"/>
  <c r="B5" i="63" s="1"/>
  <c r="B40" i="50"/>
  <c r="B3" i="63" s="1"/>
  <c r="N4" i="63"/>
  <c r="B67" i="63"/>
  <c r="I19" i="46"/>
  <c r="D79" i="59"/>
  <c r="F78" i="59"/>
  <c r="E78" i="59"/>
  <c r="E77" i="59" s="1"/>
  <c r="E76" i="59"/>
  <c r="C78" i="59"/>
  <c r="D78" i="59"/>
  <c r="B78" i="59"/>
  <c r="F77" i="59"/>
  <c r="F76" i="59" s="1"/>
  <c r="B77" i="59"/>
  <c r="B76" i="59" s="1"/>
  <c r="D75" i="59"/>
  <c r="F74" i="59"/>
  <c r="E74" i="59"/>
  <c r="E73" i="59" s="1"/>
  <c r="E72" i="59" s="1"/>
  <c r="C74" i="59"/>
  <c r="D74" i="59"/>
  <c r="B74" i="59"/>
  <c r="F73" i="59"/>
  <c r="F72" i="59" s="1"/>
  <c r="B73" i="59"/>
  <c r="B72" i="59" s="1"/>
  <c r="D71" i="59"/>
  <c r="Q70" i="59"/>
  <c r="P70" i="59"/>
  <c r="O70" i="59"/>
  <c r="N70" i="59"/>
  <c r="F70" i="59"/>
  <c r="V70" i="59"/>
  <c r="E70" i="59"/>
  <c r="U70" i="59"/>
  <c r="C70" i="59"/>
  <c r="T70" i="59"/>
  <c r="B70" i="59"/>
  <c r="S70" i="59"/>
  <c r="Q69" i="59"/>
  <c r="P69" i="59"/>
  <c r="O69" i="59"/>
  <c r="N69" i="59"/>
  <c r="F69" i="59"/>
  <c r="F68" i="59"/>
  <c r="B69" i="59"/>
  <c r="B68" i="59"/>
  <c r="Q68" i="59"/>
  <c r="P68" i="59"/>
  <c r="O68" i="59"/>
  <c r="N68" i="59"/>
  <c r="Q67" i="59"/>
  <c r="P67" i="59"/>
  <c r="O67" i="59"/>
  <c r="N67" i="59"/>
  <c r="D67" i="59"/>
  <c r="Q66" i="59"/>
  <c r="P66" i="59"/>
  <c r="O66" i="59"/>
  <c r="N66" i="59"/>
  <c r="F66" i="59"/>
  <c r="V66" i="59" s="1"/>
  <c r="E66" i="59"/>
  <c r="U66" i="59" s="1"/>
  <c r="C66" i="59"/>
  <c r="T66" i="59" s="1"/>
  <c r="B66" i="59"/>
  <c r="S66" i="59" s="1"/>
  <c r="Q65" i="59"/>
  <c r="P65" i="59"/>
  <c r="O65" i="59"/>
  <c r="N65" i="59"/>
  <c r="F65" i="59"/>
  <c r="F64" i="59" s="1"/>
  <c r="B65" i="59"/>
  <c r="B64" i="59" s="1"/>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F58" i="59"/>
  <c r="V58" i="59" s="1"/>
  <c r="E58" i="59"/>
  <c r="E57" i="59" s="1"/>
  <c r="P57" i="59" s="1"/>
  <c r="C58" i="59"/>
  <c r="B58" i="59"/>
  <c r="F57" i="59"/>
  <c r="F56" i="59" s="1"/>
  <c r="Q56" i="59" s="1"/>
  <c r="Q55" i="59"/>
  <c r="D55" i="59"/>
  <c r="Q54" i="59"/>
  <c r="P54" i="59"/>
  <c r="O54" i="59"/>
  <c r="N54" i="59"/>
  <c r="Q53" i="59"/>
  <c r="P53" i="59"/>
  <c r="O53" i="59"/>
  <c r="N53" i="59"/>
  <c r="Q52" i="59"/>
  <c r="P52" i="59"/>
  <c r="O52" i="59"/>
  <c r="N52" i="59"/>
  <c r="Q51" i="59"/>
  <c r="F52" i="59" s="1"/>
  <c r="F53" i="59" s="1"/>
  <c r="F54" i="59" s="1"/>
  <c r="V54" i="59" s="1"/>
  <c r="P51" i="59"/>
  <c r="E52" i="59" s="1"/>
  <c r="E53" i="59"/>
  <c r="E54" i="59" s="1"/>
  <c r="U54" i="59" s="1"/>
  <c r="O51" i="59"/>
  <c r="C52" i="59"/>
  <c r="N51" i="59"/>
  <c r="B52" i="59"/>
  <c r="B53" i="59" s="1"/>
  <c r="B54" i="59"/>
  <c r="S54" i="59" s="1"/>
  <c r="D51" i="59"/>
  <c r="Q50" i="59"/>
  <c r="P50" i="59"/>
  <c r="O50" i="59"/>
  <c r="N50" i="59"/>
  <c r="Q49" i="59"/>
  <c r="P49" i="59"/>
  <c r="O49" i="59"/>
  <c r="N49" i="59"/>
  <c r="Q48" i="59"/>
  <c r="P48" i="59"/>
  <c r="O48" i="59"/>
  <c r="N48" i="59"/>
  <c r="Q47" i="59"/>
  <c r="F48" i="59"/>
  <c r="P47" i="59"/>
  <c r="E48" i="59"/>
  <c r="E49" i="59" s="1"/>
  <c r="E50" i="59"/>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P43" i="59"/>
  <c r="E44" i="59" s="1"/>
  <c r="E45" i="59"/>
  <c r="E46" i="59" s="1"/>
  <c r="U46" i="59" s="1"/>
  <c r="O43" i="59"/>
  <c r="C44" i="59"/>
  <c r="N43" i="59"/>
  <c r="B44" i="59"/>
  <c r="B45" i="59" s="1"/>
  <c r="B46" i="59"/>
  <c r="S46" i="59" s="1"/>
  <c r="D43" i="59"/>
  <c r="Q42" i="59"/>
  <c r="P42" i="59"/>
  <c r="O42" i="59"/>
  <c r="N42" i="59"/>
  <c r="Q41" i="59"/>
  <c r="P41" i="59"/>
  <c r="O41" i="59"/>
  <c r="N41" i="59"/>
  <c r="Q40" i="59"/>
  <c r="P40" i="59"/>
  <c r="O40" i="59"/>
  <c r="N40" i="59"/>
  <c r="Q39" i="59"/>
  <c r="F40" i="59"/>
  <c r="F41" i="59" s="1"/>
  <c r="F42" i="59"/>
  <c r="V42" i="59" s="1"/>
  <c r="P39" i="59"/>
  <c r="E40" i="59" s="1"/>
  <c r="O39" i="59"/>
  <c r="C40" i="59" s="1"/>
  <c r="D40" i="59" s="1"/>
  <c r="N39" i="59"/>
  <c r="B40" i="59" s="1"/>
  <c r="B41" i="59" s="1"/>
  <c r="D39" i="59"/>
  <c r="T38" i="59"/>
  <c r="Q38" i="59"/>
  <c r="P38" i="59"/>
  <c r="O38" i="59"/>
  <c r="N38" i="59"/>
  <c r="D38" i="59"/>
  <c r="Q37" i="59"/>
  <c r="P37" i="59"/>
  <c r="O37" i="59"/>
  <c r="N37" i="59"/>
  <c r="Q36" i="59"/>
  <c r="P36" i="59"/>
  <c r="O36" i="59"/>
  <c r="N36" i="59"/>
  <c r="Q35" i="59"/>
  <c r="F36" i="59"/>
  <c r="P35" i="59"/>
  <c r="E36" i="59"/>
  <c r="E37" i="59" s="1"/>
  <c r="E38" i="59" s="1"/>
  <c r="U38" i="59" s="1"/>
  <c r="O35" i="59"/>
  <c r="C36" i="59" s="1"/>
  <c r="C37" i="59" s="1"/>
  <c r="D37" i="59" s="1"/>
  <c r="N35" i="59"/>
  <c r="B36" i="59" s="1"/>
  <c r="B37" i="59"/>
  <c r="B38" i="59" s="1"/>
  <c r="S38" i="59" s="1"/>
  <c r="D35" i="59"/>
  <c r="Q34" i="59"/>
  <c r="P34" i="59"/>
  <c r="O34" i="59"/>
  <c r="N34" i="59"/>
  <c r="Q33" i="59"/>
  <c r="P33" i="59"/>
  <c r="O33" i="59"/>
  <c r="N33" i="59"/>
  <c r="Q32" i="59"/>
  <c r="P32" i="59"/>
  <c r="O32" i="59"/>
  <c r="N32" i="59"/>
  <c r="Q31" i="59"/>
  <c r="F32" i="59" s="1"/>
  <c r="F33" i="59" s="1"/>
  <c r="P31" i="59"/>
  <c r="E32" i="59" s="1"/>
  <c r="E33" i="59" s="1"/>
  <c r="E34" i="59" s="1"/>
  <c r="U34" i="59" s="1"/>
  <c r="O31" i="59"/>
  <c r="C32" i="59"/>
  <c r="C33" i="59" s="1"/>
  <c r="N31" i="59"/>
  <c r="B32" i="59"/>
  <c r="B33" i="59" s="1"/>
  <c r="B34" i="59" s="1"/>
  <c r="S34" i="59" s="1"/>
  <c r="D31" i="59"/>
  <c r="Q30" i="59"/>
  <c r="P30" i="59"/>
  <c r="O30" i="59"/>
  <c r="N30" i="59"/>
  <c r="Y29" i="59"/>
  <c r="Z29" i="59" s="1"/>
  <c r="X29" i="59"/>
  <c r="E28" i="59"/>
  <c r="E29" i="59" s="1"/>
  <c r="E30" i="59"/>
  <c r="U30" i="59" s="1"/>
  <c r="C28" i="59"/>
  <c r="D27" i="59"/>
  <c r="F24" i="59"/>
  <c r="F25" i="59" s="1"/>
  <c r="B24" i="59"/>
  <c r="B25" i="59" s="1"/>
  <c r="B26" i="59" s="1"/>
  <c r="S26" i="59" s="1"/>
  <c r="D23" i="59"/>
  <c r="C20" i="59"/>
  <c r="D20" i="59" s="1"/>
  <c r="D19" i="59"/>
  <c r="X15" i="59"/>
  <c r="X17" i="59"/>
  <c r="AA3" i="59"/>
  <c r="AA16" i="59"/>
  <c r="AA18" i="59"/>
  <c r="AB3" i="59"/>
  <c r="AB16" i="59"/>
  <c r="B42" i="59"/>
  <c r="S42" i="59" s="1"/>
  <c r="E41" i="59"/>
  <c r="E42" i="59" s="1"/>
  <c r="U42" i="59"/>
  <c r="Z28" i="59"/>
  <c r="F26" i="59"/>
  <c r="V26" i="59" s="1"/>
  <c r="F34" i="59"/>
  <c r="V34" i="59" s="1"/>
  <c r="F37" i="59"/>
  <c r="F38" i="59" s="1"/>
  <c r="V38" i="59" s="1"/>
  <c r="F46" i="59"/>
  <c r="V46" i="59" s="1"/>
  <c r="F49" i="59"/>
  <c r="F50" i="59" s="1"/>
  <c r="V50" i="59"/>
  <c r="C21" i="59"/>
  <c r="C29" i="59"/>
  <c r="D28" i="59"/>
  <c r="D32" i="59"/>
  <c r="C41" i="59"/>
  <c r="C45" i="59"/>
  <c r="D44" i="59"/>
  <c r="C49" i="59"/>
  <c r="D48" i="59"/>
  <c r="C53" i="59"/>
  <c r="D52" i="59"/>
  <c r="E56" i="59"/>
  <c r="P55" i="59" s="1"/>
  <c r="T58" i="59"/>
  <c r="O58" i="59"/>
  <c r="D58" i="59"/>
  <c r="C57" i="59"/>
  <c r="P58" i="59"/>
  <c r="Q58" i="59"/>
  <c r="C61" i="59"/>
  <c r="E61" i="59"/>
  <c r="E60" i="59" s="1"/>
  <c r="D62" i="59"/>
  <c r="C65" i="59"/>
  <c r="E65" i="59"/>
  <c r="E64" i="59" s="1"/>
  <c r="D66" i="59"/>
  <c r="C69" i="59"/>
  <c r="E69" i="59"/>
  <c r="E68" i="59" s="1"/>
  <c r="D70" i="59"/>
  <c r="C73" i="59"/>
  <c r="C77" i="59"/>
  <c r="D77" i="59" s="1"/>
  <c r="U16" i="4"/>
  <c r="S16" i="4"/>
  <c r="Q16" i="4"/>
  <c r="O16" i="4"/>
  <c r="N16" i="4" s="1"/>
  <c r="M16" i="4"/>
  <c r="K16" i="4"/>
  <c r="P56" i="59"/>
  <c r="C76" i="59"/>
  <c r="D76" i="59" s="1"/>
  <c r="D69" i="59"/>
  <c r="C68" i="59"/>
  <c r="D68" i="59"/>
  <c r="D61" i="59"/>
  <c r="C60" i="59"/>
  <c r="D60" i="59" s="1"/>
  <c r="C56" i="59"/>
  <c r="O56" i="59" s="1"/>
  <c r="O57" i="59"/>
  <c r="D57" i="59"/>
  <c r="D73" i="59"/>
  <c r="C72" i="59"/>
  <c r="D72" i="59" s="1"/>
  <c r="D65" i="59"/>
  <c r="C64" i="59"/>
  <c r="D64" i="59"/>
  <c r="C54" i="59"/>
  <c r="D53" i="59"/>
  <c r="D49" i="59"/>
  <c r="C50" i="59"/>
  <c r="T50" i="59" s="1"/>
  <c r="C46" i="59"/>
  <c r="D45" i="59"/>
  <c r="C42" i="59"/>
  <c r="D41" i="59"/>
  <c r="C30" i="59"/>
  <c r="D29" i="59"/>
  <c r="C22" i="59"/>
  <c r="D21" i="59"/>
  <c r="L16" i="4"/>
  <c r="D50" i="59"/>
  <c r="T22" i="59"/>
  <c r="D22" i="59"/>
  <c r="T30" i="59"/>
  <c r="D30" i="59"/>
  <c r="T42" i="59"/>
  <c r="D42" i="59"/>
  <c r="T46" i="59"/>
  <c r="D46" i="59"/>
  <c r="T54" i="59"/>
  <c r="D54" i="59"/>
  <c r="D56"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c r="F68" i="35" s="1"/>
  <c r="G68" i="35" s="1"/>
  <c r="Q21" i="37"/>
  <c r="Z21" i="37"/>
  <c r="F21" i="37"/>
  <c r="AA21" i="37"/>
  <c r="C21" i="37"/>
  <c r="D77" i="37"/>
  <c r="E77" i="37" s="1"/>
  <c r="F77" i="37" s="1"/>
  <c r="G77" i="37" s="1"/>
  <c r="Q21" i="34"/>
  <c r="Z21" i="34" s="1"/>
  <c r="C21" i="34"/>
  <c r="D84" i="34"/>
  <c r="F21" i="34"/>
  <c r="AA21" i="34" s="1"/>
  <c r="Q21" i="33"/>
  <c r="Z21" i="33" s="1"/>
  <c r="C21" i="33"/>
  <c r="D83" i="33"/>
  <c r="E83" i="33"/>
  <c r="F83" i="33" s="1"/>
  <c r="G83" i="33" s="1"/>
  <c r="Q21" i="21"/>
  <c r="Z21" i="21"/>
  <c r="D83" i="21"/>
  <c r="E83" i="21"/>
  <c r="F21" i="21"/>
  <c r="AA21" i="21"/>
  <c r="C21" i="21"/>
  <c r="Q27" i="40"/>
  <c r="Z27" i="40" s="1"/>
  <c r="D96" i="40"/>
  <c r="E96" i="40" s="1"/>
  <c r="F96" i="40" s="1"/>
  <c r="F27" i="40"/>
  <c r="AA27" i="40" s="1"/>
  <c r="Q31" i="39"/>
  <c r="Z31" i="39" s="1"/>
  <c r="D105" i="39"/>
  <c r="E105" i="39" s="1"/>
  <c r="F105" i="39" s="1"/>
  <c r="G20" i="20"/>
  <c r="B85" i="46" s="1"/>
  <c r="C22" i="20"/>
  <c r="B65" i="46" s="1"/>
  <c r="S18" i="36"/>
  <c r="S18" i="35"/>
  <c r="S21" i="37"/>
  <c r="S21" i="21"/>
  <c r="S31" i="39"/>
  <c r="C31" i="39"/>
  <c r="B74" i="46"/>
  <c r="E66" i="36"/>
  <c r="H18" i="35"/>
  <c r="J18" i="35"/>
  <c r="H21" i="37"/>
  <c r="J21" i="37"/>
  <c r="E84" i="34"/>
  <c r="F84" i="34" s="1"/>
  <c r="G84" i="34" s="1"/>
  <c r="J21" i="34"/>
  <c r="H21" i="34"/>
  <c r="F21" i="33"/>
  <c r="H21" i="33"/>
  <c r="J21" i="33"/>
  <c r="F83" i="21"/>
  <c r="H21" i="21"/>
  <c r="G83" i="21"/>
  <c r="J21" i="21"/>
  <c r="H27" i="40"/>
  <c r="H31" i="39"/>
  <c r="D22" i="15"/>
  <c r="G17" i="11"/>
  <c r="D23" i="15"/>
  <c r="F60" i="15"/>
  <c r="K2" i="4"/>
  <c r="K1" i="4"/>
  <c r="B1" i="4"/>
  <c r="B37" i="50"/>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c r="D58" i="46"/>
  <c r="K50" i="46"/>
  <c r="D83" i="46"/>
  <c r="D77" i="46"/>
  <c r="B83" i="46"/>
  <c r="B82" i="46"/>
  <c r="B71" i="46"/>
  <c r="B60" i="46"/>
  <c r="B49" i="46"/>
  <c r="M87" i="46"/>
  <c r="N87" i="46" s="1"/>
  <c r="K87" i="46"/>
  <c r="J87" i="46" s="1"/>
  <c r="D87" i="46"/>
  <c r="M86" i="46"/>
  <c r="N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s="1"/>
  <c r="D64" i="46"/>
  <c r="M63" i="46"/>
  <c r="N63" i="46"/>
  <c r="K63" i="46"/>
  <c r="J63" i="46"/>
  <c r="D63" i="46"/>
  <c r="M62" i="46"/>
  <c r="N62" i="46" s="1"/>
  <c r="K62" i="46"/>
  <c r="J62" i="46" s="1"/>
  <c r="D62" i="46"/>
  <c r="M61" i="46"/>
  <c r="N61" i="46"/>
  <c r="K61" i="46"/>
  <c r="J61" i="46"/>
  <c r="D61" i="46"/>
  <c r="M60" i="46"/>
  <c r="N60" i="46" s="1"/>
  <c r="K60" i="46"/>
  <c r="J60" i="46" s="1"/>
  <c r="D60" i="46"/>
  <c r="M59" i="46"/>
  <c r="N59" i="46"/>
  <c r="K59" i="46"/>
  <c r="J59" i="46"/>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2" i="1"/>
  <c r="AP13" i="1"/>
  <c r="AP10" i="1"/>
  <c r="R12" i="1"/>
  <c r="B13" i="1"/>
  <c r="E13" i="1"/>
  <c r="R10" i="1"/>
  <c r="G79" i="36"/>
  <c r="G85" i="35"/>
  <c r="G97" i="37"/>
  <c r="G110" i="34"/>
  <c r="G109" i="33"/>
  <c r="L2" i="31"/>
  <c r="K2" i="31"/>
  <c r="J2" i="31"/>
  <c r="I2" i="31"/>
  <c r="H2" i="31"/>
  <c r="G2" i="31"/>
  <c r="F2" i="31"/>
  <c r="E2" i="31"/>
  <c r="D2" i="31"/>
  <c r="C2" i="31"/>
  <c r="D60" i="15"/>
  <c r="G19" i="20"/>
  <c r="B84" i="46" s="1"/>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C145" i="21"/>
  <c r="J142" i="21"/>
  <c r="J140" i="21"/>
  <c r="K139" i="21"/>
  <c r="K145" i="21" s="1"/>
  <c r="M87" i="21"/>
  <c r="L87" i="21"/>
  <c r="K87" i="21"/>
  <c r="J87" i="21"/>
  <c r="I87" i="21"/>
  <c r="H87" i="21"/>
  <c r="G87" i="21"/>
  <c r="F87" i="21"/>
  <c r="E87" i="21"/>
  <c r="D87" i="21"/>
  <c r="G2" i="46"/>
  <c r="H17" i="46" s="1"/>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T16" i="4"/>
  <c r="D14" i="4"/>
  <c r="G36" i="4"/>
  <c r="K2" i="54"/>
  <c r="B23" i="63" s="1"/>
  <c r="A3" i="51"/>
  <c r="R41" i="4"/>
  <c r="Q41" i="4"/>
  <c r="P41" i="4"/>
  <c r="O41" i="4"/>
  <c r="N41" i="4"/>
  <c r="M41" i="4"/>
  <c r="L41" i="4"/>
  <c r="K40" i="4"/>
  <c r="T40" i="4" s="1"/>
  <c r="F23" i="4"/>
  <c r="D19" i="4"/>
  <c r="I19" i="4"/>
  <c r="H19" i="4"/>
  <c r="AP9" i="1"/>
  <c r="F19" i="4"/>
  <c r="AP8" i="1"/>
  <c r="E19" i="4"/>
  <c r="F6" i="1" s="1"/>
  <c r="G6" i="1" s="1"/>
  <c r="B2" i="52"/>
  <c r="E14" i="52" s="1"/>
  <c r="I2" i="46"/>
  <c r="N12" i="46" s="1"/>
  <c r="A7" i="46"/>
  <c r="F41" i="4"/>
  <c r="J52" i="40"/>
  <c r="H61" i="49"/>
  <c r="H39" i="46"/>
  <c r="H38" i="46"/>
  <c r="H37" i="46"/>
  <c r="H36" i="46"/>
  <c r="H35" i="46"/>
  <c r="H34" i="46"/>
  <c r="H33" i="46"/>
  <c r="J20" i="46"/>
  <c r="C18" i="46"/>
  <c r="F15" i="46"/>
  <c r="E15" i="46"/>
  <c r="D15" i="46"/>
  <c r="C15" i="46"/>
  <c r="C10" i="46"/>
  <c r="C11" i="46" s="1"/>
  <c r="C9" i="46"/>
  <c r="E32" i="6"/>
  <c r="D38" i="4"/>
  <c r="C39" i="4" s="1"/>
  <c r="C35" i="4"/>
  <c r="I73" i="9"/>
  <c r="F73" i="9"/>
  <c r="P73" i="9"/>
  <c r="D107" i="9"/>
  <c r="C107" i="9"/>
  <c r="C105" i="9" s="1"/>
  <c r="C110"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E77" i="9"/>
  <c r="O75" i="9"/>
  <c r="L75" i="9"/>
  <c r="F77" i="9"/>
  <c r="P75" i="9" s="1"/>
  <c r="O74" i="9"/>
  <c r="O73" i="9"/>
  <c r="E66" i="9"/>
  <c r="O72" i="9" s="1"/>
  <c r="F74" i="9"/>
  <c r="P74" i="9" s="1"/>
  <c r="N67" i="9"/>
  <c r="K44" i="9"/>
  <c r="K43" i="9"/>
  <c r="B31" i="1"/>
  <c r="E10" i="11"/>
  <c r="B23" i="1"/>
  <c r="C11" i="11"/>
  <c r="C10" i="11" s="1"/>
  <c r="C30" i="40"/>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9" i="12"/>
  <c r="I9" i="12"/>
  <c r="J9" i="12"/>
  <c r="K9" i="12"/>
  <c r="G111" i="21"/>
  <c r="H111" i="21"/>
  <c r="J30" i="36"/>
  <c r="H30" i="36"/>
  <c r="U30" i="36"/>
  <c r="F30" i="36"/>
  <c r="AA30" i="36"/>
  <c r="C26" i="35"/>
  <c r="C79" i="35"/>
  <c r="J31" i="35"/>
  <c r="H31" i="35"/>
  <c r="F31" i="35"/>
  <c r="D87" i="35"/>
  <c r="E87" i="35" s="1"/>
  <c r="F87" i="35"/>
  <c r="G87" i="35" s="1"/>
  <c r="H87" i="35" s="1"/>
  <c r="I87" i="35" s="1"/>
  <c r="J87" i="35" s="1"/>
  <c r="K87" i="35" s="1"/>
  <c r="L87" i="35" s="1"/>
  <c r="M87" i="35" s="1"/>
  <c r="H34" i="37"/>
  <c r="AB34" i="37" s="1"/>
  <c r="D101" i="37"/>
  <c r="F34" i="37"/>
  <c r="D99" i="37"/>
  <c r="E99" i="37" s="1"/>
  <c r="H42" i="34"/>
  <c r="U42" i="34" s="1"/>
  <c r="J42" i="34"/>
  <c r="F42" i="34"/>
  <c r="AA42" i="34" s="1"/>
  <c r="J38" i="34"/>
  <c r="D114" i="34"/>
  <c r="E114" i="34" s="1"/>
  <c r="F114" i="34" s="1"/>
  <c r="G114" i="34" s="1"/>
  <c r="H114" i="34" s="1"/>
  <c r="I114" i="34" s="1"/>
  <c r="J114" i="34" s="1"/>
  <c r="K114" i="34" s="1"/>
  <c r="L114" i="34" s="1"/>
  <c r="M114" i="34" s="1"/>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I83" i="39"/>
  <c r="J83" i="39" s="1"/>
  <c r="K83" i="39"/>
  <c r="L83" i="39" s="1"/>
  <c r="M83" i="39" s="1"/>
  <c r="D78" i="40"/>
  <c r="F13" i="40"/>
  <c r="S13" i="40" s="1"/>
  <c r="B122" i="40"/>
  <c r="B120" i="40"/>
  <c r="B118" i="40"/>
  <c r="F40" i="40" s="1"/>
  <c r="AA40" i="40"/>
  <c r="D117" i="40"/>
  <c r="E117" i="40"/>
  <c r="F117" i="40" s="1"/>
  <c r="G117" i="40" s="1"/>
  <c r="H117" i="40" s="1"/>
  <c r="I117" i="40" s="1"/>
  <c r="J117" i="40" s="1"/>
  <c r="K117" i="40" s="1"/>
  <c r="L117" i="40" s="1"/>
  <c r="M117" i="40" s="1"/>
  <c r="D115" i="40"/>
  <c r="J38" i="40"/>
  <c r="AC38" i="40" s="1"/>
  <c r="E115" i="40"/>
  <c r="F115" i="40" s="1"/>
  <c r="G115" i="40"/>
  <c r="H115" i="40" s="1"/>
  <c r="I115" i="40" s="1"/>
  <c r="J115" i="40" s="1"/>
  <c r="K115" i="40" s="1"/>
  <c r="L115" i="40" s="1"/>
  <c r="M115" i="40" s="1"/>
  <c r="H38" i="40"/>
  <c r="AB38" i="40"/>
  <c r="D113" i="40"/>
  <c r="E113" i="40"/>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c r="K102" i="40" s="1"/>
  <c r="L102" i="40" s="1"/>
  <c r="M102" i="40" s="1"/>
  <c r="D100" i="40"/>
  <c r="E100" i="40" s="1"/>
  <c r="F100" i="40" s="1"/>
  <c r="G100" i="40" s="1"/>
  <c r="D98" i="40"/>
  <c r="E98" i="40" s="1"/>
  <c r="B97" i="40"/>
  <c r="D94" i="40"/>
  <c r="D92" i="40"/>
  <c r="D90" i="40"/>
  <c r="H21" i="40"/>
  <c r="AB21" i="40" s="1"/>
  <c r="D88" i="40"/>
  <c r="E88" i="40" s="1"/>
  <c r="D86" i="40"/>
  <c r="E86" i="40" s="1"/>
  <c r="J17" i="40"/>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s="1"/>
  <c r="G126" i="39"/>
  <c r="H126" i="39" s="1"/>
  <c r="I126" i="39" s="1"/>
  <c r="J126" i="39" s="1"/>
  <c r="K126" i="39"/>
  <c r="L126" i="39" s="1"/>
  <c r="M126" i="39" s="1"/>
  <c r="D122" i="39"/>
  <c r="E122" i="39"/>
  <c r="F122" i="39" s="1"/>
  <c r="G122" i="39"/>
  <c r="H122" i="39" s="1"/>
  <c r="I122" i="39" s="1"/>
  <c r="J122" i="39" s="1"/>
  <c r="K122" i="39"/>
  <c r="L122" i="39" s="1"/>
  <c r="M122" i="39" s="1"/>
  <c r="D111" i="39"/>
  <c r="E111" i="39"/>
  <c r="F111" i="39" s="1"/>
  <c r="G111" i="39"/>
  <c r="H111" i="39" s="1"/>
  <c r="I111" i="39" s="1"/>
  <c r="J111" i="39" s="1"/>
  <c r="K111" i="39"/>
  <c r="L111" i="39" s="1"/>
  <c r="M111" i="39" s="1"/>
  <c r="D109" i="39"/>
  <c r="E109" i="39"/>
  <c r="F109" i="39" s="1"/>
  <c r="G109" i="39"/>
  <c r="H109" i="39" s="1"/>
  <c r="I109" i="39" s="1"/>
  <c r="J109" i="39" s="1"/>
  <c r="K109" i="39"/>
  <c r="L109" i="39" s="1"/>
  <c r="M109" i="39" s="1"/>
  <c r="D107" i="39"/>
  <c r="E107" i="39"/>
  <c r="F107" i="39" s="1"/>
  <c r="G107" i="39"/>
  <c r="H107" i="39" s="1"/>
  <c r="I107" i="39" s="1"/>
  <c r="J107" i="39" s="1"/>
  <c r="K107" i="39"/>
  <c r="L107" i="39" s="1"/>
  <c r="M107" i="39" s="1"/>
  <c r="D103" i="39"/>
  <c r="D101" i="39"/>
  <c r="E101" i="39" s="1"/>
  <c r="F101" i="39"/>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D128" i="39"/>
  <c r="D124" i="39"/>
  <c r="E124" i="39" s="1"/>
  <c r="F124" i="39" s="1"/>
  <c r="G124" i="39" s="1"/>
  <c r="H124" i="39"/>
  <c r="I124" i="39" s="1"/>
  <c r="J124" i="39" s="1"/>
  <c r="K124" i="39" s="1"/>
  <c r="L124" i="39" s="1"/>
  <c r="M124" i="39" s="1"/>
  <c r="D99" i="39"/>
  <c r="E99" i="39" s="1"/>
  <c r="F99" i="39"/>
  <c r="G99" i="39" s="1"/>
  <c r="D97" i="39"/>
  <c r="D95" i="39"/>
  <c r="E95" i="39"/>
  <c r="F95" i="39" s="1"/>
  <c r="G95" i="39"/>
  <c r="D93" i="39"/>
  <c r="E93" i="39"/>
  <c r="F93" i="39" s="1"/>
  <c r="G93" i="39" s="1"/>
  <c r="D91" i="39"/>
  <c r="E91" i="39"/>
  <c r="F91" i="39" s="1"/>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J39" i="37"/>
  <c r="AC39" i="37" s="1"/>
  <c r="B108" i="37"/>
  <c r="C23" i="37"/>
  <c r="C19" i="37"/>
  <c r="C17" i="37"/>
  <c r="C15" i="37"/>
  <c r="B112" i="37"/>
  <c r="D107" i="37"/>
  <c r="E107" i="37" s="1"/>
  <c r="F107" i="37" s="1"/>
  <c r="G107" i="37" s="1"/>
  <c r="D105" i="37"/>
  <c r="E105" i="37" s="1"/>
  <c r="H36" i="37"/>
  <c r="U36" i="37" s="1"/>
  <c r="D103" i="37"/>
  <c r="J35" i="37"/>
  <c r="AC35" i="37" s="1"/>
  <c r="F97" i="37"/>
  <c r="E97" i="37"/>
  <c r="D97" i="37"/>
  <c r="C97" i="37"/>
  <c r="D96" i="37"/>
  <c r="E96" i="37" s="1"/>
  <c r="D94" i="37"/>
  <c r="E94" i="37" s="1"/>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c r="D71" i="37"/>
  <c r="E71" i="37"/>
  <c r="F71" i="37" s="1"/>
  <c r="G71" i="37" s="1"/>
  <c r="F15" i="37"/>
  <c r="AA15" i="37"/>
  <c r="B68" i="37"/>
  <c r="H14" i="37"/>
  <c r="U14" i="37" s="1"/>
  <c r="B66" i="37"/>
  <c r="F13" i="37" s="1"/>
  <c r="S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c r="L81" i="36" s="1"/>
  <c r="M81" i="36" s="1"/>
  <c r="F79" i="36"/>
  <c r="E79" i="36"/>
  <c r="D79" i="36"/>
  <c r="C79" i="36"/>
  <c r="B93" i="36"/>
  <c r="B91" i="36"/>
  <c r="F32" i="36" s="1"/>
  <c r="S32" i="36"/>
  <c r="B95" i="36"/>
  <c r="H34" i="36"/>
  <c r="AB34" i="36" s="1"/>
  <c r="D83" i="36"/>
  <c r="E83" i="36"/>
  <c r="F83" i="36" s="1"/>
  <c r="G83" i="36" s="1"/>
  <c r="H83" i="36" s="1"/>
  <c r="I83" i="36"/>
  <c r="J83" i="36" s="1"/>
  <c r="K83" i="36" s="1"/>
  <c r="L83" i="36" s="1"/>
  <c r="M83" i="36" s="1"/>
  <c r="D78" i="36"/>
  <c r="J26" i="36"/>
  <c r="W26" i="36" s="1"/>
  <c r="B75" i="36"/>
  <c r="B73" i="36"/>
  <c r="J24" i="36"/>
  <c r="W24" i="36" s="1"/>
  <c r="B71" i="36"/>
  <c r="D70" i="36"/>
  <c r="H22" i="36"/>
  <c r="D68" i="36"/>
  <c r="E68" i="36" s="1"/>
  <c r="D64" i="36"/>
  <c r="E64" i="36" s="1"/>
  <c r="F64" i="36" s="1"/>
  <c r="G64" i="36" s="1"/>
  <c r="J16" i="36"/>
  <c r="W16" i="36" s="1"/>
  <c r="D62" i="36"/>
  <c r="E62" i="36"/>
  <c r="B59" i="36"/>
  <c r="B57" i="36"/>
  <c r="B55" i="36"/>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B57" i="35"/>
  <c r="B61" i="35"/>
  <c r="B59" i="35"/>
  <c r="H12" i="35" s="1"/>
  <c r="B131" i="34"/>
  <c r="H47" i="34" s="1"/>
  <c r="U47" i="34" s="1"/>
  <c r="B129" i="34"/>
  <c r="B127" i="34"/>
  <c r="J45" i="34" s="1"/>
  <c r="B99" i="34"/>
  <c r="B97" i="34"/>
  <c r="J31" i="34" s="1"/>
  <c r="B95" i="34"/>
  <c r="B93" i="34"/>
  <c r="F29" i="34" s="1"/>
  <c r="S29" i="34" s="1"/>
  <c r="B75" i="34"/>
  <c r="B73" i="34"/>
  <c r="H13" i="34" s="1"/>
  <c r="B71" i="34"/>
  <c r="B130" i="33"/>
  <c r="F46" i="33" s="1"/>
  <c r="B128" i="33"/>
  <c r="H45" i="33"/>
  <c r="B126" i="33"/>
  <c r="B98" i="33"/>
  <c r="F31" i="33"/>
  <c r="AA31" i="33" s="1"/>
  <c r="B96" i="33"/>
  <c r="B94" i="33"/>
  <c r="B74" i="33"/>
  <c r="B72" i="33"/>
  <c r="B70" i="33"/>
  <c r="D96" i="35"/>
  <c r="E96" i="35"/>
  <c r="F96" i="35" s="1"/>
  <c r="G96" i="35" s="1"/>
  <c r="D94" i="35"/>
  <c r="D84" i="35"/>
  <c r="E84" i="35" s="1"/>
  <c r="F84" i="35"/>
  <c r="G84" i="35" s="1"/>
  <c r="H84" i="35" s="1"/>
  <c r="I84" i="35" s="1"/>
  <c r="J84" i="35" s="1"/>
  <c r="K84" i="35" s="1"/>
  <c r="L84" i="35" s="1"/>
  <c r="M84" i="35" s="1"/>
  <c r="D80" i="35"/>
  <c r="E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J8" i="35"/>
  <c r="W8" i="35" s="1"/>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AC36" i="34" s="1"/>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B89" i="34"/>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F39" i="34"/>
  <c r="S39" i="34" s="1"/>
  <c r="Q38" i="34"/>
  <c r="Z38" i="34"/>
  <c r="Q37" i="34"/>
  <c r="Z37" i="34"/>
  <c r="Q36" i="34"/>
  <c r="Z36" i="34"/>
  <c r="Q35" i="34"/>
  <c r="Z35" i="34"/>
  <c r="Q34" i="34"/>
  <c r="Z34" i="34"/>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s="1"/>
  <c r="C7" i="33"/>
  <c r="C58" i="33"/>
  <c r="M102" i="21"/>
  <c r="D102" i="21"/>
  <c r="E102" i="21"/>
  <c r="F102" i="21"/>
  <c r="G102" i="21"/>
  <c r="H102" i="21"/>
  <c r="I102" i="21"/>
  <c r="J102" i="21"/>
  <c r="K102" i="21"/>
  <c r="L102" i="21"/>
  <c r="C102" i="21"/>
  <c r="C63" i="21"/>
  <c r="G18" i="20"/>
  <c r="B87" i="46"/>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D123" i="21"/>
  <c r="E123" i="21" s="1"/>
  <c r="F123" i="21" s="1"/>
  <c r="G123" i="21" s="1"/>
  <c r="H123" i="21" s="1"/>
  <c r="I123" i="21" s="1"/>
  <c r="J123" i="21" s="1"/>
  <c r="K123" i="21" s="1"/>
  <c r="L123" i="21" s="1"/>
  <c r="M123" i="21" s="1"/>
  <c r="H42" i="21"/>
  <c r="D119" i="21"/>
  <c r="E119" i="21" s="1"/>
  <c r="F119" i="21" s="1"/>
  <c r="G119" i="21" s="1"/>
  <c r="H119" i="21" s="1"/>
  <c r="I119" i="21" s="1"/>
  <c r="J119" i="21" s="1"/>
  <c r="K119" i="21" s="1"/>
  <c r="L119" i="21" s="1"/>
  <c r="M119" i="21" s="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D81" i="21"/>
  <c r="E81" i="21"/>
  <c r="F81" i="21" s="1"/>
  <c r="G81" i="21" s="1"/>
  <c r="D77" i="21"/>
  <c r="E77" i="21"/>
  <c r="B130" i="21"/>
  <c r="B128" i="21"/>
  <c r="B126" i="21"/>
  <c r="B98" i="21"/>
  <c r="B96" i="21"/>
  <c r="B94" i="21"/>
  <c r="B92" i="21"/>
  <c r="B90" i="21"/>
  <c r="B74" i="21"/>
  <c r="B72" i="21"/>
  <c r="B70" i="21"/>
  <c r="F12" i="21"/>
  <c r="S12" i="21" s="1"/>
  <c r="F10" i="21"/>
  <c r="AA10" i="21"/>
  <c r="C7" i="21"/>
  <c r="C58"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U34" i="21"/>
  <c r="F43" i="21"/>
  <c r="S43" i="21"/>
  <c r="H38" i="21"/>
  <c r="AB38" i="21"/>
  <c r="H43" i="21"/>
  <c r="AB43" i="21"/>
  <c r="F32" i="21"/>
  <c r="F38" i="21"/>
  <c r="S38" i="21" s="1"/>
  <c r="F36" i="21"/>
  <c r="S36" i="21" s="1"/>
  <c r="F39" i="21"/>
  <c r="AA39" i="21" s="1"/>
  <c r="J40" i="21"/>
  <c r="H35" i="21"/>
  <c r="AB35" i="21" s="1"/>
  <c r="J8" i="21"/>
  <c r="J9" i="21"/>
  <c r="H8" i="21"/>
  <c r="AB8" i="21" s="1"/>
  <c r="H10" i="21"/>
  <c r="U10" i="21"/>
  <c r="H39" i="21"/>
  <c r="AB39" i="21"/>
  <c r="J34" i="21"/>
  <c r="W34" i="21"/>
  <c r="H36" i="21"/>
  <c r="U36" i="21"/>
  <c r="F35" i="21"/>
  <c r="AA35" i="21"/>
  <c r="J33" i="21"/>
  <c r="W33" i="21"/>
  <c r="H33" i="21"/>
  <c r="U33" i="21"/>
  <c r="F33" i="21"/>
  <c r="J10" i="21"/>
  <c r="AC10" i="21" s="1"/>
  <c r="H26" i="21"/>
  <c r="U26" i="21" s="1"/>
  <c r="F19" i="21"/>
  <c r="AA19" i="21"/>
  <c r="H19" i="21"/>
  <c r="AB19" i="21"/>
  <c r="J19" i="21"/>
  <c r="W19" i="21"/>
  <c r="J12" i="21"/>
  <c r="H12" i="21"/>
  <c r="J26" i="21"/>
  <c r="W26" i="21" s="1"/>
  <c r="F26" i="21"/>
  <c r="AA26" i="21" s="1"/>
  <c r="AB41" i="21"/>
  <c r="S41" i="21"/>
  <c r="AA41" i="21"/>
  <c r="W41" i="21"/>
  <c r="S10" i="39"/>
  <c r="U30" i="37"/>
  <c r="E103" i="37"/>
  <c r="F103" i="37" s="1"/>
  <c r="G103" i="37" s="1"/>
  <c r="F39" i="37"/>
  <c r="W39" i="37"/>
  <c r="F29" i="36"/>
  <c r="AA29" i="36"/>
  <c r="F16" i="36"/>
  <c r="AA16" i="36"/>
  <c r="W22" i="36"/>
  <c r="AC31" i="36"/>
  <c r="J33" i="36"/>
  <c r="AC27" i="35"/>
  <c r="U31" i="35"/>
  <c r="W36" i="35"/>
  <c r="W24" i="35"/>
  <c r="S31" i="35"/>
  <c r="W31" i="35"/>
  <c r="F36" i="34"/>
  <c r="S36" i="34" s="1"/>
  <c r="W9" i="34"/>
  <c r="H39" i="33"/>
  <c r="AB39" i="33"/>
  <c r="U33" i="33"/>
  <c r="W38" i="33"/>
  <c r="S40" i="33"/>
  <c r="S33" i="33"/>
  <c r="W33" i="33"/>
  <c r="U38" i="33"/>
  <c r="S8" i="21"/>
  <c r="H39" i="37"/>
  <c r="AB39" i="37" s="1"/>
  <c r="AB27" i="35"/>
  <c r="S10" i="40"/>
  <c r="W10" i="40"/>
  <c r="S11" i="40"/>
  <c r="U11" i="40"/>
  <c r="S36" i="40"/>
  <c r="U36" i="40"/>
  <c r="S36" i="39"/>
  <c r="F11" i="21"/>
  <c r="S11" i="21"/>
  <c r="AB36" i="21"/>
  <c r="AC35" i="21"/>
  <c r="C23" i="39"/>
  <c r="U36" i="39"/>
  <c r="S42" i="39"/>
  <c r="H32" i="33"/>
  <c r="AB32" i="33"/>
  <c r="H11" i="21"/>
  <c r="U11" i="21"/>
  <c r="J11" i="21"/>
  <c r="W11" i="21"/>
  <c r="F86" i="40"/>
  <c r="G86" i="40" s="1"/>
  <c r="J27" i="36"/>
  <c r="W27" i="36"/>
  <c r="J34" i="36"/>
  <c r="W34" i="36"/>
  <c r="J30" i="35"/>
  <c r="W30" i="35"/>
  <c r="F22" i="35"/>
  <c r="AA22" i="35"/>
  <c r="H10" i="35"/>
  <c r="U10" i="35"/>
  <c r="AC24" i="36"/>
  <c r="U29" i="36"/>
  <c r="U24" i="36"/>
  <c r="E85" i="36"/>
  <c r="F85" i="36" s="1"/>
  <c r="G85" i="36" s="1"/>
  <c r="H85" i="36" s="1"/>
  <c r="I85" i="36" s="1"/>
  <c r="J85" i="36" s="1"/>
  <c r="K85" i="36" s="1"/>
  <c r="L85" i="36" s="1"/>
  <c r="M85" i="36" s="1"/>
  <c r="J29" i="36"/>
  <c r="AC29" i="36"/>
  <c r="F24" i="36"/>
  <c r="AA24" i="36"/>
  <c r="F34" i="36"/>
  <c r="S34" i="36"/>
  <c r="AB8" i="36"/>
  <c r="H16" i="35"/>
  <c r="U16" i="35"/>
  <c r="H33" i="35"/>
  <c r="AB33" i="35"/>
  <c r="AC8" i="35"/>
  <c r="F35" i="37"/>
  <c r="E101" i="37"/>
  <c r="F101" i="37" s="1"/>
  <c r="G101" i="37"/>
  <c r="H101" i="37" s="1"/>
  <c r="I101" i="37" s="1"/>
  <c r="J101" i="37" s="1"/>
  <c r="K101" i="37" s="1"/>
  <c r="L101" i="37" s="1"/>
  <c r="M101" i="37" s="1"/>
  <c r="J34" i="37"/>
  <c r="W34" i="37"/>
  <c r="H43" i="34"/>
  <c r="AB43" i="34" s="1"/>
  <c r="H36" i="34"/>
  <c r="U36" i="34"/>
  <c r="F37" i="34"/>
  <c r="AA37" i="34"/>
  <c r="F33" i="34"/>
  <c r="S33" i="34"/>
  <c r="F19" i="34"/>
  <c r="AA19" i="34" s="1"/>
  <c r="J10" i="34"/>
  <c r="AC10" i="34" s="1"/>
  <c r="U9" i="34"/>
  <c r="W8" i="34"/>
  <c r="J28" i="34"/>
  <c r="S38" i="33"/>
  <c r="E113" i="33"/>
  <c r="F36" i="33"/>
  <c r="S36" i="33" s="1"/>
  <c r="F19" i="33"/>
  <c r="S19" i="33" s="1"/>
  <c r="J19" i="33"/>
  <c r="W19" i="33" s="1"/>
  <c r="S10" i="21"/>
  <c r="W40" i="33"/>
  <c r="G125" i="21"/>
  <c r="AB30" i="36"/>
  <c r="AC34" i="36"/>
  <c r="S22" i="35"/>
  <c r="H29" i="35"/>
  <c r="S34" i="37"/>
  <c r="AA34" i="37"/>
  <c r="AC43" i="34"/>
  <c r="W36" i="34"/>
  <c r="J19" i="34"/>
  <c r="AC19" i="34"/>
  <c r="F113" i="33"/>
  <c r="G113" i="33"/>
  <c r="H113" i="33" s="1"/>
  <c r="I113" i="33" s="1"/>
  <c r="J113" i="33" s="1"/>
  <c r="K113" i="33" s="1"/>
  <c r="L113" i="33" s="1"/>
  <c r="M113" i="33" s="1"/>
  <c r="H37" i="33"/>
  <c r="AB37" i="33"/>
  <c r="S37" i="33"/>
  <c r="W43" i="34"/>
  <c r="AC42" i="34"/>
  <c r="W42" i="34"/>
  <c r="S42" i="34"/>
  <c r="AC38" i="34"/>
  <c r="W38" i="34"/>
  <c r="AA38" i="34"/>
  <c r="S38" i="34"/>
  <c r="J37" i="33"/>
  <c r="W37" i="33"/>
  <c r="J42" i="21"/>
  <c r="AC42" i="21"/>
  <c r="J44" i="34"/>
  <c r="AC44" i="34"/>
  <c r="F44" i="34"/>
  <c r="S44" i="34"/>
  <c r="J10" i="35"/>
  <c r="W10" i="35"/>
  <c r="J14" i="21"/>
  <c r="F14" i="21"/>
  <c r="AA14" i="21" s="1"/>
  <c r="H14" i="21"/>
  <c r="H28" i="21"/>
  <c r="F28" i="21"/>
  <c r="S28" i="21" s="1"/>
  <c r="J28" i="21"/>
  <c r="AC28" i="21"/>
  <c r="H30" i="21"/>
  <c r="U30" i="21"/>
  <c r="F30" i="21"/>
  <c r="S30" i="21"/>
  <c r="J30" i="21"/>
  <c r="J44" i="21"/>
  <c r="AC44" i="21" s="1"/>
  <c r="H44" i="21"/>
  <c r="U44" i="21" s="1"/>
  <c r="F44" i="21"/>
  <c r="AA44" i="21" s="1"/>
  <c r="H46" i="21"/>
  <c r="J46" i="21"/>
  <c r="W46" i="21" s="1"/>
  <c r="F46" i="21"/>
  <c r="AA46" i="21" s="1"/>
  <c r="H26" i="33"/>
  <c r="U26" i="33" s="1"/>
  <c r="H28" i="33"/>
  <c r="U28" i="33" s="1"/>
  <c r="F33" i="35"/>
  <c r="S33" i="35"/>
  <c r="J33" i="35"/>
  <c r="W33" i="35"/>
  <c r="F30" i="35"/>
  <c r="AA30" i="35"/>
  <c r="E89" i="35"/>
  <c r="F89" i="35"/>
  <c r="G89" i="35" s="1"/>
  <c r="H89" i="35" s="1"/>
  <c r="I89" i="35" s="1"/>
  <c r="J89" i="35" s="1"/>
  <c r="K89" i="35" s="1"/>
  <c r="L89" i="35" s="1"/>
  <c r="M89" i="35" s="1"/>
  <c r="H10" i="36"/>
  <c r="AB10" i="36" s="1"/>
  <c r="F28" i="36"/>
  <c r="S28" i="36" s="1"/>
  <c r="F27" i="36"/>
  <c r="S27" i="36" s="1"/>
  <c r="H13" i="2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H45" i="21"/>
  <c r="U45" i="21" s="1"/>
  <c r="J27" i="33"/>
  <c r="F27" i="33"/>
  <c r="F13" i="33"/>
  <c r="S13" i="33" s="1"/>
  <c r="J29" i="33"/>
  <c r="J31" i="33"/>
  <c r="AC31" i="33" s="1"/>
  <c r="H31" i="33"/>
  <c r="U31" i="33" s="1"/>
  <c r="S31" i="33"/>
  <c r="J45" i="33"/>
  <c r="W45" i="33"/>
  <c r="F45" i="33"/>
  <c r="S45" i="33"/>
  <c r="H28" i="36"/>
  <c r="U28" i="36"/>
  <c r="H32" i="36"/>
  <c r="AB32" i="36"/>
  <c r="J32" i="36"/>
  <c r="J11" i="36"/>
  <c r="H13" i="36"/>
  <c r="AB13" i="36" s="1"/>
  <c r="J13" i="36"/>
  <c r="W13" i="36" s="1"/>
  <c r="F13" i="36"/>
  <c r="S13" i="36" s="1"/>
  <c r="E89" i="37"/>
  <c r="F89" i="37" s="1"/>
  <c r="G89" i="37"/>
  <c r="H89" i="37" s="1"/>
  <c r="I89" i="37" s="1"/>
  <c r="J89" i="37" s="1"/>
  <c r="K89" i="37" s="1"/>
  <c r="L89" i="37" s="1"/>
  <c r="M89" i="37" s="1"/>
  <c r="J29" i="37"/>
  <c r="W29" i="37"/>
  <c r="F29" i="37"/>
  <c r="AA29" i="37"/>
  <c r="F105" i="37"/>
  <c r="AB36" i="37"/>
  <c r="J37" i="37"/>
  <c r="H37" i="37"/>
  <c r="U37" i="37" s="1"/>
  <c r="H40" i="37"/>
  <c r="J40" i="37"/>
  <c r="AC40" i="37" s="1"/>
  <c r="F40" i="37"/>
  <c r="AA40" i="37"/>
  <c r="H44" i="33"/>
  <c r="U44" i="33" s="1"/>
  <c r="J44" i="33"/>
  <c r="F44" i="33"/>
  <c r="S44" i="33" s="1"/>
  <c r="J46" i="33"/>
  <c r="H46" i="33"/>
  <c r="AB46" i="33" s="1"/>
  <c r="J13" i="34"/>
  <c r="W13" i="34" s="1"/>
  <c r="J29" i="34"/>
  <c r="AC29" i="34" s="1"/>
  <c r="H29" i="34"/>
  <c r="U29" i="34" s="1"/>
  <c r="H31" i="34"/>
  <c r="AB31" i="34" s="1"/>
  <c r="H45" i="34"/>
  <c r="F45" i="34"/>
  <c r="F47" i="34"/>
  <c r="AA47" i="34" s="1"/>
  <c r="F13" i="35"/>
  <c r="S13" i="35" s="1"/>
  <c r="J13" i="35"/>
  <c r="AC13" i="35" s="1"/>
  <c r="H13" i="35"/>
  <c r="U13" i="35" s="1"/>
  <c r="J25" i="35"/>
  <c r="F25" i="35"/>
  <c r="AA25" i="35" s="1"/>
  <c r="H25" i="35"/>
  <c r="AB25" i="35" s="1"/>
  <c r="J35" i="35"/>
  <c r="F35" i="35"/>
  <c r="S35" i="35" s="1"/>
  <c r="H35" i="35"/>
  <c r="J25" i="36"/>
  <c r="W25" i="36" s="1"/>
  <c r="F25" i="36"/>
  <c r="AA25" i="36" s="1"/>
  <c r="H25" i="36"/>
  <c r="AB25" i="36" s="1"/>
  <c r="H13" i="37"/>
  <c r="AB13" i="37" s="1"/>
  <c r="J13" i="37"/>
  <c r="AC13" i="37" s="1"/>
  <c r="F28" i="37"/>
  <c r="AA28" i="37" s="1"/>
  <c r="J28" i="37"/>
  <c r="AC28" i="37" s="1"/>
  <c r="H28" i="37"/>
  <c r="U28" i="37" s="1"/>
  <c r="H38" i="37"/>
  <c r="AB38" i="37" s="1"/>
  <c r="J38" i="37"/>
  <c r="AC38" i="37" s="1"/>
  <c r="F38" i="37"/>
  <c r="S38" i="37" s="1"/>
  <c r="F14" i="37"/>
  <c r="AA14" i="37" s="1"/>
  <c r="F27" i="37"/>
  <c r="J14" i="37"/>
  <c r="W14" i="37" s="1"/>
  <c r="J27" i="37"/>
  <c r="AB13" i="35"/>
  <c r="J36" i="37"/>
  <c r="AC36" i="37" s="1"/>
  <c r="G105" i="37"/>
  <c r="AB28" i="36"/>
  <c r="AB31" i="21"/>
  <c r="S46" i="21"/>
  <c r="AC30" i="21"/>
  <c r="W30" i="21"/>
  <c r="AB30" i="21"/>
  <c r="AA28" i="21"/>
  <c r="W14" i="21"/>
  <c r="AC14" i="21"/>
  <c r="W42" i="21"/>
  <c r="AC13" i="36"/>
  <c r="AB31" i="33"/>
  <c r="AB27" i="33"/>
  <c r="S19" i="21"/>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F10" i="35"/>
  <c r="H24" i="35"/>
  <c r="AB24" i="35" s="1"/>
  <c r="H23" i="37"/>
  <c r="AB23" i="37" s="1"/>
  <c r="J32" i="37"/>
  <c r="AC32" i="37" s="1"/>
  <c r="F36" i="37"/>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23" i="37"/>
  <c r="AC8" i="37"/>
  <c r="AB8" i="34"/>
  <c r="AC37" i="33"/>
  <c r="AA13" i="33"/>
  <c r="AC45" i="33"/>
  <c r="U19" i="21"/>
  <c r="AC33" i="21"/>
  <c r="AA36" i="21"/>
  <c r="S39" i="33"/>
  <c r="F43" i="33"/>
  <c r="AA43" i="33" s="1"/>
  <c r="AA23" i="37"/>
  <c r="AB44" i="33"/>
  <c r="H107" i="37"/>
  <c r="I107" i="37" s="1"/>
  <c r="J107" i="37"/>
  <c r="K107" i="37" s="1"/>
  <c r="L107" i="37" s="1"/>
  <c r="M107" i="37" s="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G90" i="40" s="1"/>
  <c r="J21" i="40"/>
  <c r="AC21" i="40"/>
  <c r="S27" i="31"/>
  <c r="J57" i="39"/>
  <c r="H13" i="40"/>
  <c r="U13" i="40" s="1"/>
  <c r="H12" i="48"/>
  <c r="I4" i="4"/>
  <c r="K141" i="21"/>
  <c r="K143" i="21"/>
  <c r="K144" i="21"/>
  <c r="I59" i="40"/>
  <c r="C59" i="40"/>
  <c r="I60" i="40"/>
  <c r="C60" i="40"/>
  <c r="H7" i="48"/>
  <c r="F33" i="46"/>
  <c r="H16" i="48"/>
  <c r="H9" i="48"/>
  <c r="H8" i="48"/>
  <c r="C12" i="46"/>
  <c r="AB16" i="35"/>
  <c r="AB15" i="37"/>
  <c r="AA43" i="21"/>
  <c r="U43" i="21"/>
  <c r="AA13" i="40"/>
  <c r="E78" i="40"/>
  <c r="F78" i="40"/>
  <c r="G78" i="40" s="1"/>
  <c r="H78" i="40" s="1"/>
  <c r="I78" i="40" s="1"/>
  <c r="J78" i="40" s="1"/>
  <c r="K78" i="40" s="1"/>
  <c r="L78" i="40" s="1"/>
  <c r="M78" i="40" s="1"/>
  <c r="R16" i="4"/>
  <c r="P16" i="4"/>
  <c r="D3" i="35"/>
  <c r="G4" i="4"/>
  <c r="S37" i="34"/>
  <c r="J16" i="35"/>
  <c r="W16" i="35"/>
  <c r="AC26" i="36"/>
  <c r="AA36" i="35"/>
  <c r="H11" i="37"/>
  <c r="AB11" i="37"/>
  <c r="S42" i="33"/>
  <c r="U32" i="33"/>
  <c r="AB17" i="37"/>
  <c r="AA45" i="33"/>
  <c r="AC10" i="36"/>
  <c r="AC14" i="37"/>
  <c r="S25" i="35"/>
  <c r="AC29" i="37"/>
  <c r="W32" i="36"/>
  <c r="AC32" i="36"/>
  <c r="J33" i="34"/>
  <c r="AC33" i="34"/>
  <c r="AB36" i="34"/>
  <c r="J40" i="34"/>
  <c r="W40" i="34" s="1"/>
  <c r="F16" i="35"/>
  <c r="AA16" i="35" s="1"/>
  <c r="S24" i="36"/>
  <c r="J35" i="34"/>
  <c r="W35" i="34" s="1"/>
  <c r="F107" i="34"/>
  <c r="G107" i="34" s="1"/>
  <c r="H107" i="34"/>
  <c r="I107" i="34" s="1"/>
  <c r="J107" i="34" s="1"/>
  <c r="K107" i="34" s="1"/>
  <c r="L107" i="34" s="1"/>
  <c r="M107" i="34" s="1"/>
  <c r="S30" i="36"/>
  <c r="H16" i="36"/>
  <c r="AB16" i="36"/>
  <c r="H103" i="37"/>
  <c r="I103" i="37" s="1"/>
  <c r="J103" i="37" s="1"/>
  <c r="K103" i="37" s="1"/>
  <c r="L103" i="37" s="1"/>
  <c r="M103" i="37" s="1"/>
  <c r="H35" i="37"/>
  <c r="AB35" i="37" s="1"/>
  <c r="S26" i="21"/>
  <c r="H32" i="21"/>
  <c r="U32" i="21" s="1"/>
  <c r="AB26" i="21"/>
  <c r="AA33" i="21"/>
  <c r="S33" i="21"/>
  <c r="U39" i="21"/>
  <c r="J32" i="21"/>
  <c r="AC32" i="21" s="1"/>
  <c r="F17" i="21"/>
  <c r="S17" i="21" s="1"/>
  <c r="H17" i="21"/>
  <c r="AB17" i="21" s="1"/>
  <c r="J17" i="21"/>
  <c r="AC17" i="21" s="1"/>
  <c r="H37" i="21"/>
  <c r="U37" i="21" s="1"/>
  <c r="F40" i="21"/>
  <c r="S40" i="21" s="1"/>
  <c r="H40" i="21"/>
  <c r="AB40" i="21" s="1"/>
  <c r="S8" i="33"/>
  <c r="AC8" i="33"/>
  <c r="H66" i="33"/>
  <c r="I66" i="33" s="1"/>
  <c r="F10" i="33"/>
  <c r="AA10" i="33"/>
  <c r="F11" i="33"/>
  <c r="S11" i="33"/>
  <c r="J15" i="33"/>
  <c r="W15" i="33"/>
  <c r="H19" i="33"/>
  <c r="AB19" i="33"/>
  <c r="F32" i="33"/>
  <c r="AA32" i="33"/>
  <c r="J32" i="33"/>
  <c r="AC32" i="33"/>
  <c r="F35" i="33"/>
  <c r="AA35" i="33"/>
  <c r="F11" i="34"/>
  <c r="S11" i="34" s="1"/>
  <c r="E80" i="34"/>
  <c r="F80" i="34" s="1"/>
  <c r="H17" i="34"/>
  <c r="AB17" i="34" s="1"/>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J11" i="35"/>
  <c r="AC11" i="35" s="1"/>
  <c r="F96" i="37"/>
  <c r="H32" i="37"/>
  <c r="AB32" i="37"/>
  <c r="S19" i="39"/>
  <c r="H19" i="39"/>
  <c r="J19" i="39"/>
  <c r="W19" i="39"/>
  <c r="H43" i="39"/>
  <c r="U43" i="39"/>
  <c r="J43" i="39"/>
  <c r="F99" i="37"/>
  <c r="U25" i="35"/>
  <c r="W40" i="37"/>
  <c r="AC45" i="21"/>
  <c r="S14" i="21"/>
  <c r="AA44" i="34"/>
  <c r="AB29" i="35"/>
  <c r="U29" i="35"/>
  <c r="AC19" i="33"/>
  <c r="AC34" i="37"/>
  <c r="S35" i="37"/>
  <c r="AA35" i="37"/>
  <c r="AB10" i="35"/>
  <c r="AA32" i="21"/>
  <c r="S32" i="21"/>
  <c r="U38" i="21"/>
  <c r="AB34" i="21"/>
  <c r="F42" i="21"/>
  <c r="AA42" i="21" s="1"/>
  <c r="AB40" i="33"/>
  <c r="U40" i="33"/>
  <c r="AA35" i="34"/>
  <c r="S35" i="34"/>
  <c r="E90" i="34"/>
  <c r="AB8" i="35"/>
  <c r="U8" i="35"/>
  <c r="J14" i="35"/>
  <c r="AC14" i="35" s="1"/>
  <c r="F14" i="35"/>
  <c r="AA14" i="35" s="1"/>
  <c r="H14" i="35"/>
  <c r="U14" i="35"/>
  <c r="E94" i="35"/>
  <c r="F94" i="35" s="1"/>
  <c r="G94" i="35"/>
  <c r="H94" i="35" s="1"/>
  <c r="I94" i="35" s="1"/>
  <c r="J94" i="35" s="1"/>
  <c r="K94" i="35" s="1"/>
  <c r="L94" i="35" s="1"/>
  <c r="M94" i="35" s="1"/>
  <c r="J32" i="35"/>
  <c r="AC32" i="35"/>
  <c r="H11" i="36"/>
  <c r="AB11" i="36"/>
  <c r="F11" i="36"/>
  <c r="S11" i="36"/>
  <c r="AC16" i="36"/>
  <c r="E78" i="36"/>
  <c r="F78" i="36"/>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AC31" i="37"/>
  <c r="AB14" i="37"/>
  <c r="H17" i="39"/>
  <c r="U17" i="39"/>
  <c r="J17" i="39"/>
  <c r="W17" i="39"/>
  <c r="S21" i="39"/>
  <c r="H21" i="39"/>
  <c r="J21" i="39"/>
  <c r="W21" i="39"/>
  <c r="H33" i="39"/>
  <c r="U33" i="39"/>
  <c r="J33" i="39"/>
  <c r="S44" i="39"/>
  <c r="H44" i="39"/>
  <c r="U44" i="39"/>
  <c r="J44" i="39"/>
  <c r="W44" i="39"/>
  <c r="E128" i="39"/>
  <c r="F128" i="39"/>
  <c r="G128" i="39" s="1"/>
  <c r="H128" i="39"/>
  <c r="I128" i="39" s="1"/>
  <c r="J128" i="39" s="1"/>
  <c r="K128" i="39" s="1"/>
  <c r="L128" i="39" s="1"/>
  <c r="M128" i="39" s="1"/>
  <c r="S46" i="39"/>
  <c r="H46" i="39"/>
  <c r="U46" i="39"/>
  <c r="J46" i="39"/>
  <c r="W46" i="39"/>
  <c r="E103" i="39"/>
  <c r="F103" i="39"/>
  <c r="G103" i="39" s="1"/>
  <c r="H29" i="39"/>
  <c r="U29" i="39" s="1"/>
  <c r="H34" i="39"/>
  <c r="AB34" i="39" s="1"/>
  <c r="J34" i="39"/>
  <c r="AC34" i="39" s="1"/>
  <c r="H39" i="39"/>
  <c r="AB39" i="39" s="1"/>
  <c r="J39" i="39"/>
  <c r="AC39" i="39" s="1"/>
  <c r="J29" i="35"/>
  <c r="AC29" i="35"/>
  <c r="F29" i="35"/>
  <c r="S29" i="35"/>
  <c r="W30" i="36"/>
  <c r="AC30" i="36"/>
  <c r="S37" i="39"/>
  <c r="H37" i="39"/>
  <c r="U37" i="39" s="1"/>
  <c r="J37" i="39"/>
  <c r="W37" i="39" s="1"/>
  <c r="F36" i="44"/>
  <c r="H38" i="34"/>
  <c r="U38" i="34"/>
  <c r="H30" i="40"/>
  <c r="AB30" i="40"/>
  <c r="J30" i="40"/>
  <c r="AC30" i="40" s="1"/>
  <c r="F38" i="40"/>
  <c r="AA38" i="40" s="1"/>
  <c r="AA36" i="34"/>
  <c r="AC12" i="21"/>
  <c r="W12" i="21"/>
  <c r="AB33" i="21"/>
  <c r="S35" i="21"/>
  <c r="AB10" i="21"/>
  <c r="U8" i="21"/>
  <c r="S34" i="21"/>
  <c r="AB8" i="33"/>
  <c r="U8" i="33"/>
  <c r="H34" i="33"/>
  <c r="U34" i="33"/>
  <c r="F34" i="33"/>
  <c r="S34" i="33"/>
  <c r="E121" i="33"/>
  <c r="F41" i="33"/>
  <c r="S41" i="33" s="1"/>
  <c r="AC34" i="34"/>
  <c r="W34" i="34"/>
  <c r="AA39" i="34"/>
  <c r="E78" i="34"/>
  <c r="F15" i="34"/>
  <c r="W28" i="35"/>
  <c r="J20" i="35"/>
  <c r="AC20" i="35"/>
  <c r="E72" i="35"/>
  <c r="F72" i="35"/>
  <c r="G72" i="35" s="1"/>
  <c r="H22" i="35"/>
  <c r="AB22" i="35" s="1"/>
  <c r="H23" i="35"/>
  <c r="AB23" i="35" s="1"/>
  <c r="F23" i="35"/>
  <c r="AA23" i="35"/>
  <c r="U31" i="36"/>
  <c r="S8" i="37"/>
  <c r="AA8" i="37"/>
  <c r="H14" i="39"/>
  <c r="AB14" i="39" s="1"/>
  <c r="J14" i="39"/>
  <c r="AC14" i="39" s="1"/>
  <c r="H16" i="39"/>
  <c r="U16" i="39" s="1"/>
  <c r="J16" i="39"/>
  <c r="AC16" i="39" s="1"/>
  <c r="E97" i="39"/>
  <c r="H27" i="39"/>
  <c r="AB27" i="39"/>
  <c r="J27" i="39"/>
  <c r="AC27" i="39"/>
  <c r="H15" i="40"/>
  <c r="AB15" i="40" s="1"/>
  <c r="E92" i="40"/>
  <c r="F92" i="40" s="1"/>
  <c r="G92" i="40" s="1"/>
  <c r="H23" i="40"/>
  <c r="U23" i="40" s="1"/>
  <c r="H41" i="40"/>
  <c r="AB41" i="40" s="1"/>
  <c r="F41" i="40"/>
  <c r="AA41" i="40" s="1"/>
  <c r="J41" i="40"/>
  <c r="W41" i="40" s="1"/>
  <c r="H36" i="33"/>
  <c r="AB36" i="33"/>
  <c r="H37" i="34"/>
  <c r="H15" i="39"/>
  <c r="U15" i="39" s="1"/>
  <c r="J15" i="39"/>
  <c r="AC15" i="39" s="1"/>
  <c r="H25" i="39"/>
  <c r="J25" i="39"/>
  <c r="AC25" i="39" s="1"/>
  <c r="H45" i="39"/>
  <c r="U45" i="39" s="1"/>
  <c r="J45" i="39"/>
  <c r="AC45" i="39" s="1"/>
  <c r="H47" i="39"/>
  <c r="AB47" i="39" s="1"/>
  <c r="J47" i="39"/>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0" i="40"/>
  <c r="U40" i="40" s="1"/>
  <c r="J42" i="40"/>
  <c r="AC42" i="40" s="1"/>
  <c r="J40" i="40"/>
  <c r="AC40" i="40" s="1"/>
  <c r="J34" i="40"/>
  <c r="AC34" i="40" s="1"/>
  <c r="H16" i="40"/>
  <c r="AB16" i="40" s="1"/>
  <c r="H14" i="40"/>
  <c r="F32" i="40"/>
  <c r="AA32" i="40" s="1"/>
  <c r="M1" i="46"/>
  <c r="M6" i="46"/>
  <c r="M10" i="46"/>
  <c r="N2" i="46"/>
  <c r="N5" i="46"/>
  <c r="F58" i="46"/>
  <c r="H61" i="46"/>
  <c r="N7" i="46"/>
  <c r="M7" i="46"/>
  <c r="M11" i="46"/>
  <c r="N3" i="46"/>
  <c r="N6" i="46"/>
  <c r="N10" i="46"/>
  <c r="F69" i="46"/>
  <c r="H71" i="46"/>
  <c r="J13" i="40"/>
  <c r="W13" i="40"/>
  <c r="W40" i="40"/>
  <c r="F34" i="44"/>
  <c r="F27" i="43"/>
  <c r="F66" i="9"/>
  <c r="P72" i="9"/>
  <c r="F71" i="9"/>
  <c r="F72" i="9"/>
  <c r="AC14" i="40"/>
  <c r="W35" i="40"/>
  <c r="S33" i="40"/>
  <c r="AB32" i="40"/>
  <c r="S47" i="39"/>
  <c r="U37" i="34"/>
  <c r="AB37" i="34"/>
  <c r="AC41" i="40"/>
  <c r="U41" i="40"/>
  <c r="J23" i="40"/>
  <c r="AC23" i="40"/>
  <c r="F23" i="40"/>
  <c r="S23" i="40" s="1"/>
  <c r="W27" i="39"/>
  <c r="S23" i="39"/>
  <c r="AB16" i="39"/>
  <c r="W14" i="39"/>
  <c r="U23" i="35"/>
  <c r="H20" i="35"/>
  <c r="U20" i="35" s="1"/>
  <c r="F20" i="35"/>
  <c r="S20" i="35"/>
  <c r="H15" i="34"/>
  <c r="AB15" i="34"/>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A29" i="35"/>
  <c r="U39" i="39"/>
  <c r="J29" i="39"/>
  <c r="AC29" i="39" s="1"/>
  <c r="AB21" i="39"/>
  <c r="U21" i="39"/>
  <c r="AB17" i="39"/>
  <c r="AA11" i="36"/>
  <c r="S14" i="35"/>
  <c r="G99" i="37"/>
  <c r="F33" i="37"/>
  <c r="AA33" i="37" s="1"/>
  <c r="AB19" i="39"/>
  <c r="U19" i="39"/>
  <c r="U46" i="34"/>
  <c r="AC30" i="34"/>
  <c r="AA14" i="34"/>
  <c r="W12" i="34"/>
  <c r="U29" i="33"/>
  <c r="AC13" i="33"/>
  <c r="U17" i="34"/>
  <c r="AA11" i="34"/>
  <c r="W32" i="33"/>
  <c r="H15" i="33"/>
  <c r="U15" i="33" s="1"/>
  <c r="AA11" i="33"/>
  <c r="AA40" i="21"/>
  <c r="U17" i="21"/>
  <c r="U16" i="40"/>
  <c r="AC16" i="40"/>
  <c r="W32" i="40"/>
  <c r="H25" i="40"/>
  <c r="AB25" i="40"/>
  <c r="F94" i="40"/>
  <c r="G94" i="40"/>
  <c r="U47" i="39"/>
  <c r="W15" i="39"/>
  <c r="J37" i="34"/>
  <c r="AC37" i="34"/>
  <c r="J36" i="33"/>
  <c r="W36" i="33"/>
  <c r="AB23" i="40"/>
  <c r="U27" i="39"/>
  <c r="H23" i="39"/>
  <c r="AB23" i="39" s="1"/>
  <c r="J23" i="39"/>
  <c r="AC23" i="39" s="1"/>
  <c r="F97" i="39"/>
  <c r="G97" i="39" s="1"/>
  <c r="S16" i="39"/>
  <c r="S15" i="34"/>
  <c r="AA15" i="34"/>
  <c r="AA41" i="33"/>
  <c r="AA34" i="33"/>
  <c r="J34" i="33"/>
  <c r="AC34" i="33"/>
  <c r="U30" i="40"/>
  <c r="W29" i="35"/>
  <c r="W39" i="39"/>
  <c r="S39" i="39"/>
  <c r="U34" i="39"/>
  <c r="AB46" i="39"/>
  <c r="AB44" i="39"/>
  <c r="AC33" i="39"/>
  <c r="W33" i="39"/>
  <c r="S33" i="39"/>
  <c r="S17" i="39"/>
  <c r="U11" i="36"/>
  <c r="F80" i="35"/>
  <c r="G80" i="35"/>
  <c r="H80" i="35" s="1"/>
  <c r="I80" i="35" s="1"/>
  <c r="J80" i="35" s="1"/>
  <c r="K80" i="35" s="1"/>
  <c r="L80" i="35" s="1"/>
  <c r="M80" i="35" s="1"/>
  <c r="W14" i="35"/>
  <c r="F90" i="34"/>
  <c r="G90" i="34" s="1"/>
  <c r="H90" i="34" s="1"/>
  <c r="I90" i="34" s="1"/>
  <c r="J90" i="34" s="1"/>
  <c r="K90" i="34" s="1"/>
  <c r="L90" i="34" s="1"/>
  <c r="M90" i="34" s="1"/>
  <c r="F27" i="34"/>
  <c r="S27" i="34" s="1"/>
  <c r="AC43" i="39"/>
  <c r="W43" i="39"/>
  <c r="S43" i="39"/>
  <c r="G96" i="37"/>
  <c r="H96" i="37"/>
  <c r="I96" i="37" s="1"/>
  <c r="J96" i="37" s="1"/>
  <c r="K96" i="37" s="1"/>
  <c r="L96" i="37" s="1"/>
  <c r="M96" i="37" s="1"/>
  <c r="F32" i="37"/>
  <c r="S32" i="37" s="1"/>
  <c r="S46" i="34"/>
  <c r="U32" i="34"/>
  <c r="U14" i="34"/>
  <c r="AC14" i="34"/>
  <c r="U12" i="34"/>
  <c r="AB13" i="33"/>
  <c r="G80" i="34"/>
  <c r="F17" i="34"/>
  <c r="AA17" i="34"/>
  <c r="J17" i="34"/>
  <c r="AC17" i="34"/>
  <c r="H11" i="34"/>
  <c r="AB11" i="34"/>
  <c r="J35" i="33"/>
  <c r="W35" i="33"/>
  <c r="S32" i="33"/>
  <c r="AC15" i="33"/>
  <c r="H11" i="33"/>
  <c r="U11" i="33"/>
  <c r="H10" i="33"/>
  <c r="U10" i="33"/>
  <c r="J10" i="33"/>
  <c r="AC10" i="33" s="1"/>
  <c r="U40" i="21"/>
  <c r="U11" i="37"/>
  <c r="AC16" i="35"/>
  <c r="AC13" i="40"/>
  <c r="J11" i="34"/>
  <c r="W11" i="34"/>
  <c r="S17" i="34"/>
  <c r="AC36" i="33"/>
  <c r="F25" i="40"/>
  <c r="AA25" i="40"/>
  <c r="J11" i="33"/>
  <c r="W11" i="33"/>
  <c r="H33" i="37"/>
  <c r="AB33" i="37"/>
  <c r="W15" i="34"/>
  <c r="AC15" i="34"/>
  <c r="AB20" i="35"/>
  <c r="W23" i="40"/>
  <c r="D73" i="9"/>
  <c r="N73" i="9" s="1"/>
  <c r="AP11" i="1"/>
  <c r="B11" i="1"/>
  <c r="E11" i="1"/>
  <c r="B9" i="1"/>
  <c r="E9" i="1"/>
  <c r="B7" i="1"/>
  <c r="E7" i="1"/>
  <c r="C20" i="43"/>
  <c r="AP6" i="1"/>
  <c r="M22" i="44"/>
  <c r="F70" i="9"/>
  <c r="D86" i="9"/>
  <c r="M20" i="44"/>
  <c r="F31" i="43"/>
  <c r="F30" i="44"/>
  <c r="AC25" i="36"/>
  <c r="S8" i="36"/>
  <c r="AA28" i="36"/>
  <c r="U25" i="36"/>
  <c r="H20" i="36"/>
  <c r="U20" i="36" s="1"/>
  <c r="F68" i="36"/>
  <c r="G68" i="36" s="1"/>
  <c r="J20" i="36"/>
  <c r="AC20" i="36" s="1"/>
  <c r="F20" i="36"/>
  <c r="S20" i="36" s="1"/>
  <c r="F62" i="36"/>
  <c r="G62" i="36" s="1"/>
  <c r="J14" i="36"/>
  <c r="W14" i="36" s="1"/>
  <c r="H14" i="36"/>
  <c r="F14" i="36"/>
  <c r="AA14" i="36" s="1"/>
  <c r="W20" i="36"/>
  <c r="U32" i="36"/>
  <c r="U9" i="36"/>
  <c r="S33" i="36"/>
  <c r="AA27" i="36"/>
  <c r="S16" i="36"/>
  <c r="S29" i="36"/>
  <c r="AC33" i="35"/>
  <c r="U22" i="35"/>
  <c r="S8" i="35"/>
  <c r="U33" i="35"/>
  <c r="AA20" i="35"/>
  <c r="W20" i="35"/>
  <c r="S23" i="35"/>
  <c r="S16" i="35"/>
  <c r="AB14" i="35"/>
  <c r="AC10" i="35"/>
  <c r="U9" i="35"/>
  <c r="W13" i="35"/>
  <c r="AC18" i="35"/>
  <c r="W18" i="35"/>
  <c r="U18" i="35"/>
  <c r="AB18" i="35"/>
  <c r="S30" i="35"/>
  <c r="AA35" i="35"/>
  <c r="AB30" i="35"/>
  <c r="S27" i="35"/>
  <c r="S28" i="35"/>
  <c r="J26" i="35"/>
  <c r="AC26" i="35" s="1"/>
  <c r="F26" i="35"/>
  <c r="H26" i="35"/>
  <c r="AB26" i="35" s="1"/>
  <c r="AB9" i="37"/>
  <c r="W12" i="37"/>
  <c r="AA9" i="37"/>
  <c r="S17" i="37"/>
  <c r="AB37" i="37"/>
  <c r="AA31" i="37"/>
  <c r="S33" i="37"/>
  <c r="U32" i="37"/>
  <c r="J33" i="37"/>
  <c r="W33" i="37" s="1"/>
  <c r="H99" i="37"/>
  <c r="I99" i="37" s="1"/>
  <c r="J99" i="37" s="1"/>
  <c r="K99" i="37" s="1"/>
  <c r="L99" i="37" s="1"/>
  <c r="M99" i="37" s="1"/>
  <c r="S29" i="37"/>
  <c r="J19" i="37"/>
  <c r="AC19" i="37"/>
  <c r="G75" i="37"/>
  <c r="F19" i="37"/>
  <c r="AA19" i="37" s="1"/>
  <c r="H19" i="37"/>
  <c r="U19" i="37" s="1"/>
  <c r="J17" i="37"/>
  <c r="S15" i="37"/>
  <c r="AC10" i="37"/>
  <c r="AC21" i="37"/>
  <c r="W21" i="37"/>
  <c r="AC11" i="37"/>
  <c r="AC9" i="37"/>
  <c r="W32" i="37"/>
  <c r="U35" i="37"/>
  <c r="U8" i="37"/>
  <c r="AB21" i="37"/>
  <c r="U21" i="37"/>
  <c r="S37" i="37"/>
  <c r="S40" i="37"/>
  <c r="AA11" i="37"/>
  <c r="S10" i="37"/>
  <c r="W46" i="34"/>
  <c r="AA40" i="34"/>
  <c r="W33" i="34"/>
  <c r="U30" i="34"/>
  <c r="S32" i="34"/>
  <c r="AB33" i="34"/>
  <c r="AA12" i="34"/>
  <c r="AC35" i="34"/>
  <c r="AA30" i="34"/>
  <c r="AC32" i="34"/>
  <c r="AA33" i="34"/>
  <c r="U44" i="34"/>
  <c r="U34" i="34"/>
  <c r="U28" i="34"/>
  <c r="J25" i="34"/>
  <c r="AC25" i="34" s="1"/>
  <c r="H25" i="34"/>
  <c r="F25" i="34"/>
  <c r="S25" i="34" s="1"/>
  <c r="J23" i="34"/>
  <c r="F86" i="34"/>
  <c r="G86" i="34" s="1"/>
  <c r="F23" i="34"/>
  <c r="S23" i="34" s="1"/>
  <c r="H23" i="34"/>
  <c r="W17" i="34"/>
  <c r="AC11" i="34"/>
  <c r="U11" i="34"/>
  <c r="W10" i="34"/>
  <c r="U10" i="34"/>
  <c r="W37" i="34"/>
  <c r="AC40" i="34"/>
  <c r="W44" i="34"/>
  <c r="W19" i="34"/>
  <c r="AC21" i="34"/>
  <c r="W21" i="34"/>
  <c r="U15" i="34"/>
  <c r="AB21" i="34"/>
  <c r="U21" i="34"/>
  <c r="U19" i="34"/>
  <c r="AA41" i="34"/>
  <c r="S9" i="34"/>
  <c r="S10" i="34"/>
  <c r="U39" i="33"/>
  <c r="U37" i="33"/>
  <c r="S35" i="33"/>
  <c r="W34" i="33"/>
  <c r="AB11" i="33"/>
  <c r="AB41" i="33"/>
  <c r="U36" i="33"/>
  <c r="AC35" i="33"/>
  <c r="S29" i="33"/>
  <c r="W31" i="33"/>
  <c r="W43" i="33"/>
  <c r="U46" i="33"/>
  <c r="W39" i="33"/>
  <c r="U35" i="33"/>
  <c r="AB34" i="33"/>
  <c r="AB26" i="33"/>
  <c r="H25" i="33"/>
  <c r="J25" i="33"/>
  <c r="W25" i="33" s="1"/>
  <c r="F87" i="33"/>
  <c r="G87" i="33" s="1"/>
  <c r="H87" i="33"/>
  <c r="I87" i="33" s="1"/>
  <c r="J87" i="33" s="1"/>
  <c r="K87" i="33" s="1"/>
  <c r="L87" i="33" s="1"/>
  <c r="M87" i="33" s="1"/>
  <c r="F25" i="33"/>
  <c r="S25" i="33" s="1"/>
  <c r="F85" i="33"/>
  <c r="G85" i="33"/>
  <c r="J23" i="33"/>
  <c r="F23" i="33"/>
  <c r="AA23" i="33" s="1"/>
  <c r="H23" i="33"/>
  <c r="U19" i="33"/>
  <c r="F79" i="33"/>
  <c r="G79" i="33"/>
  <c r="F17" i="33"/>
  <c r="H17" i="33"/>
  <c r="AB17" i="33" s="1"/>
  <c r="J17" i="33"/>
  <c r="AB15" i="33"/>
  <c r="AC11" i="33"/>
  <c r="S10" i="33"/>
  <c r="W10" i="33"/>
  <c r="AC21" i="33"/>
  <c r="W21" i="33"/>
  <c r="AB10" i="33"/>
  <c r="AB21" i="33"/>
  <c r="U21" i="33"/>
  <c r="AA21" i="33"/>
  <c r="S21" i="33"/>
  <c r="AA44" i="33"/>
  <c r="AA36" i="33"/>
  <c r="S44" i="21"/>
  <c r="W39" i="21"/>
  <c r="AC34" i="21"/>
  <c r="U35" i="21"/>
  <c r="W43" i="21"/>
  <c r="AA37" i="21"/>
  <c r="AB37" i="21"/>
  <c r="AB32" i="21"/>
  <c r="W28" i="21"/>
  <c r="AC46" i="21"/>
  <c r="AC26" i="21"/>
  <c r="F85" i="21"/>
  <c r="G85" i="21"/>
  <c r="J23" i="21"/>
  <c r="W23" i="21"/>
  <c r="F23" i="21"/>
  <c r="H23" i="21"/>
  <c r="AB23" i="21" s="1"/>
  <c r="AA17" i="21"/>
  <c r="W17" i="21"/>
  <c r="F15" i="21"/>
  <c r="S15" i="21"/>
  <c r="F77" i="21"/>
  <c r="G77" i="21"/>
  <c r="J15" i="21"/>
  <c r="H15" i="21"/>
  <c r="AB15" i="21" s="1"/>
  <c r="AC11" i="21"/>
  <c r="AB11" i="21"/>
  <c r="W13" i="21"/>
  <c r="AA11" i="21"/>
  <c r="AC23" i="21"/>
  <c r="AC21" i="21"/>
  <c r="W21" i="21"/>
  <c r="W44" i="21"/>
  <c r="AC19" i="21"/>
  <c r="W10" i="21"/>
  <c r="AC38" i="21"/>
  <c r="AB21" i="21"/>
  <c r="U21" i="21"/>
  <c r="AB29" i="21"/>
  <c r="AA30" i="21"/>
  <c r="AA31" i="21"/>
  <c r="W33" i="40"/>
  <c r="U33" i="40"/>
  <c r="S35" i="40"/>
  <c r="U15" i="40"/>
  <c r="S14" i="40"/>
  <c r="S16" i="40"/>
  <c r="W11" i="40"/>
  <c r="AA21" i="40"/>
  <c r="U21" i="40"/>
  <c r="W25" i="40"/>
  <c r="U25" i="40"/>
  <c r="W42" i="40"/>
  <c r="U35"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25" i="40"/>
  <c r="AA23" i="40"/>
  <c r="F88" i="40"/>
  <c r="G88" i="40" s="1"/>
  <c r="F19" i="40"/>
  <c r="S19" i="40" s="1"/>
  <c r="H19" i="40"/>
  <c r="J19" i="40"/>
  <c r="AC19" i="40" s="1"/>
  <c r="W17" i="40"/>
  <c r="AC17" i="40"/>
  <c r="F17" i="40"/>
  <c r="AA17" i="40"/>
  <c r="H17" i="40"/>
  <c r="AB17" i="40"/>
  <c r="W21" i="40"/>
  <c r="AB40" i="40"/>
  <c r="U10" i="40"/>
  <c r="U27" i="40"/>
  <c r="AB27" i="40"/>
  <c r="AC44" i="39"/>
  <c r="S11" i="39"/>
  <c r="AB45" i="39"/>
  <c r="S27" i="39"/>
  <c r="AC19" i="39"/>
  <c r="AC38" i="39"/>
  <c r="S29" i="39"/>
  <c r="AC21" i="39"/>
  <c r="AC17" i="39"/>
  <c r="S14" i="39"/>
  <c r="AB15" i="39"/>
  <c r="U11" i="39"/>
  <c r="U41" i="39"/>
  <c r="AB38" i="39"/>
  <c r="U31" i="39"/>
  <c r="AB31" i="39"/>
  <c r="S25" i="39"/>
  <c r="S38" i="39"/>
  <c r="S22" i="31"/>
  <c r="B22" i="63"/>
  <c r="M20" i="15"/>
  <c r="D96" i="9"/>
  <c r="M18" i="15"/>
  <c r="A18" i="64"/>
  <c r="B74" i="63" s="1"/>
  <c r="C53" i="10"/>
  <c r="A25" i="64" s="1"/>
  <c r="A18" i="51"/>
  <c r="B14" i="63" s="1"/>
  <c r="F3" i="35"/>
  <c r="K1" i="43"/>
  <c r="K1" i="12"/>
  <c r="G1" i="44"/>
  <c r="G3" i="4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E58" i="46"/>
  <c r="B56" i="46"/>
  <c r="A4" i="64"/>
  <c r="A4" i="51"/>
  <c r="C51" i="10"/>
  <c r="I100" i="46"/>
  <c r="C24" i="46"/>
  <c r="N100" i="46"/>
  <c r="H100" i="46"/>
  <c r="F108" i="46"/>
  <c r="H80" i="46"/>
  <c r="B45" i="46"/>
  <c r="E100" i="46"/>
  <c r="G100" i="46"/>
  <c r="H84" i="46"/>
  <c r="C100" i="46"/>
  <c r="J100" i="46"/>
  <c r="M100" i="46"/>
  <c r="U12" i="35"/>
  <c r="AB12" i="35"/>
  <c r="W11" i="35"/>
  <c r="S14" i="37"/>
  <c r="U13" i="37"/>
  <c r="S13" i="21"/>
  <c r="C24" i="9"/>
  <c r="C25" i="9"/>
  <c r="I20" i="46"/>
  <c r="B6" i="63"/>
  <c r="L5" i="54"/>
  <c r="B39" i="63"/>
  <c r="K5" i="54"/>
  <c r="B38" i="63"/>
  <c r="T41" i="4"/>
  <c r="A17" i="64"/>
  <c r="B46" i="50"/>
  <c r="B4" i="63"/>
  <c r="C46" i="36"/>
  <c r="C48" i="35"/>
  <c r="C52" i="37"/>
  <c r="O19" i="46"/>
  <c r="K17" i="4"/>
  <c r="A22" i="51"/>
  <c r="B16" i="63" s="1"/>
  <c r="H86" i="46"/>
  <c r="H82" i="46"/>
  <c r="H10" i="48"/>
  <c r="H87" i="46"/>
  <c r="H85" i="46"/>
  <c r="H83" i="46"/>
  <c r="R11" i="1"/>
  <c r="R13" i="1"/>
  <c r="B6" i="1"/>
  <c r="E6" i="1" s="1"/>
  <c r="B10" i="1"/>
  <c r="E10" i="1" s="1"/>
  <c r="B8" i="1"/>
  <c r="E8" i="1" s="1"/>
  <c r="B12" i="1"/>
  <c r="E12" i="1" s="1"/>
  <c r="F66" i="36"/>
  <c r="G66" i="36" s="1"/>
  <c r="H18" i="36"/>
  <c r="U16" i="36"/>
  <c r="S25" i="36"/>
  <c r="AA34" i="36"/>
  <c r="U23" i="36"/>
  <c r="AC27" i="36"/>
  <c r="W28" i="36"/>
  <c r="AA32" i="36"/>
  <c r="U13" i="36"/>
  <c r="AA22" i="36"/>
  <c r="U10" i="36"/>
  <c r="AA13" i="36"/>
  <c r="W29" i="36"/>
  <c r="W9" i="36"/>
  <c r="S9" i="36"/>
  <c r="W8" i="36"/>
  <c r="AC30" i="35"/>
  <c r="U24" i="35"/>
  <c r="W32" i="35"/>
  <c r="AA33" i="35"/>
  <c r="U32" i="35"/>
  <c r="W22" i="35"/>
  <c r="S32" i="35"/>
  <c r="W35" i="37"/>
  <c r="U33" i="37"/>
  <c r="AC15" i="37"/>
  <c r="AA13" i="37"/>
  <c r="S12" i="37"/>
  <c r="W38" i="37"/>
  <c r="W36" i="37"/>
  <c r="U26" i="37"/>
  <c r="AB28" i="37"/>
  <c r="S28" i="37"/>
  <c r="W13" i="37"/>
  <c r="U38" i="37"/>
  <c r="S26" i="37"/>
  <c r="AB35" i="34"/>
  <c r="AB29" i="34"/>
  <c r="AB47" i="34"/>
  <c r="AC13" i="34"/>
  <c r="S47" i="34"/>
  <c r="AA29" i="34"/>
  <c r="S19" i="34"/>
  <c r="S8" i="34"/>
  <c r="AA19" i="33"/>
  <c r="AC25" i="33"/>
  <c r="S43" i="33"/>
  <c r="AB42" i="33"/>
  <c r="S15" i="33"/>
  <c r="S39" i="21"/>
  <c r="AB25" i="21"/>
  <c r="AB45" i="21"/>
  <c r="W25" i="21"/>
  <c r="AA25" i="21"/>
  <c r="AC37" i="21"/>
  <c r="AA29" i="21"/>
  <c r="U27" i="21"/>
  <c r="W31" i="21"/>
  <c r="S27" i="21"/>
  <c r="AA15" i="21"/>
  <c r="AC27" i="21"/>
  <c r="W29" i="21"/>
  <c r="G96" i="40"/>
  <c r="J27" i="40"/>
  <c r="W27" i="40" s="1"/>
  <c r="W37" i="40"/>
  <c r="S17" i="40"/>
  <c r="W30" i="40"/>
  <c r="S34" i="40"/>
  <c r="U17" i="40"/>
  <c r="U38" i="40"/>
  <c r="S40" i="40"/>
  <c r="G105" i="39"/>
  <c r="J31" i="39"/>
  <c r="AC31" i="39" s="1"/>
  <c r="S45" i="39"/>
  <c r="W41" i="39"/>
  <c r="AB43" i="39"/>
  <c r="AB33" i="39"/>
  <c r="AC46" i="39"/>
  <c r="S34" i="39"/>
  <c r="W42" i="39"/>
  <c r="W36" i="39"/>
  <c r="AC37" i="39"/>
  <c r="U14" i="39"/>
  <c r="W16" i="39"/>
  <c r="S15" i="39"/>
  <c r="W25" i="39"/>
  <c r="W45" i="39"/>
  <c r="S41" i="39"/>
  <c r="W34" i="39"/>
  <c r="W10" i="39"/>
  <c r="W11" i="39"/>
  <c r="U42" i="39"/>
  <c r="S32" i="40"/>
  <c r="C27" i="39"/>
  <c r="C17" i="40"/>
  <c r="C19" i="40"/>
  <c r="C17" i="39"/>
  <c r="C19" i="39"/>
  <c r="C21" i="39"/>
  <c r="C23" i="40"/>
  <c r="B48" i="46"/>
  <c r="B51" i="46"/>
  <c r="B55" i="46"/>
  <c r="B59" i="46"/>
  <c r="B62" i="46"/>
  <c r="B66" i="46"/>
  <c r="B53" i="46"/>
  <c r="B64" i="46"/>
  <c r="D24" i="15"/>
  <c r="F29" i="6"/>
  <c r="F30" i="6"/>
  <c r="AB20" i="36"/>
  <c r="AC14" i="36"/>
  <c r="U14" i="36"/>
  <c r="AB14" i="36"/>
  <c r="U18" i="36"/>
  <c r="AB18" i="36"/>
  <c r="AA26" i="35"/>
  <c r="S26" i="35"/>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U23" i="21"/>
  <c r="AA23" i="21"/>
  <c r="S23" i="21"/>
  <c r="U15" i="21"/>
  <c r="W15" i="21"/>
  <c r="AC15" i="21"/>
  <c r="AB39" i="40"/>
  <c r="U39" i="40"/>
  <c r="AC39" i="40"/>
  <c r="AA39" i="40"/>
  <c r="S39" i="40"/>
  <c r="U37" i="40"/>
  <c r="AB37" i="40"/>
  <c r="AA37" i="40"/>
  <c r="U29" i="40"/>
  <c r="AB29" i="40"/>
  <c r="AC29" i="40"/>
  <c r="AA29" i="40"/>
  <c r="W19" i="40"/>
  <c r="AA19" i="40"/>
  <c r="AB19" i="40"/>
  <c r="U19" i="40"/>
  <c r="W31" i="39"/>
  <c r="B20" i="31"/>
  <c r="R22" i="31"/>
  <c r="B21" i="31"/>
  <c r="A17" i="51"/>
  <c r="B13" i="63"/>
  <c r="AT6" i="3"/>
  <c r="G29" i="6"/>
  <c r="E29" i="6" s="1"/>
  <c r="K15" i="1" s="1"/>
  <c r="A9" i="64"/>
  <c r="A9" i="51"/>
  <c r="B9" i="63"/>
  <c r="A3" i="55"/>
  <c r="B56" i="63"/>
  <c r="E4" i="4"/>
  <c r="C4" i="4"/>
  <c r="J18" i="36"/>
  <c r="W18" i="36" s="1"/>
  <c r="AE8" i="1"/>
  <c r="AE6" i="1"/>
  <c r="AC18" i="36"/>
  <c r="AG6" i="1"/>
  <c r="L19" i="6"/>
  <c r="L27" i="6" s="1"/>
  <c r="B21" i="55"/>
  <c r="B72" i="63" s="1"/>
  <c r="B20" i="55"/>
  <c r="B70" i="63" s="1"/>
  <c r="C45" i="9"/>
  <c r="H14" i="66"/>
  <c r="B7" i="66" s="1"/>
  <c r="R9" i="1"/>
  <c r="R8" i="1"/>
  <c r="O40" i="9"/>
  <c r="K31" i="9"/>
  <c r="K32" i="9" s="1"/>
  <c r="R7" i="54"/>
  <c r="B52" i="63" s="1"/>
  <c r="N76" i="9"/>
  <c r="C46" i="9"/>
  <c r="K33" i="9"/>
  <c r="K34" i="9" s="1"/>
  <c r="O41" i="9"/>
  <c r="I14" i="66"/>
  <c r="B8" i="66" s="1"/>
  <c r="R8" i="54"/>
  <c r="B54" i="63" s="1"/>
  <c r="A25" i="51"/>
  <c r="B18" i="63" s="1"/>
  <c r="D58" i="21"/>
  <c r="D58" i="33"/>
  <c r="E58" i="33"/>
  <c r="C67" i="40"/>
  <c r="D65" i="40"/>
  <c r="D67" i="40" s="1"/>
  <c r="H58" i="46"/>
  <c r="J17" i="46"/>
  <c r="C17" i="46"/>
  <c r="F34" i="46"/>
  <c r="F38" i="46"/>
  <c r="F37" i="46"/>
  <c r="H113" i="46"/>
  <c r="H49" i="46"/>
  <c r="U10" i="59"/>
  <c r="Y12" i="59"/>
  <c r="Z12" i="59" s="1"/>
  <c r="AA12" i="59"/>
  <c r="AB12" i="59"/>
  <c r="Y11" i="59"/>
  <c r="Z11" i="59" s="1"/>
  <c r="Y10" i="59"/>
  <c r="Z10" i="59" s="1"/>
  <c r="Z8" i="59"/>
  <c r="Y9" i="59"/>
  <c r="Z9" i="59"/>
  <c r="AB11" i="59"/>
  <c r="AB10" i="59"/>
  <c r="AB9" i="59"/>
  <c r="AA14" i="59"/>
  <c r="X12" i="59"/>
  <c r="X10" i="59"/>
  <c r="X9" i="59"/>
  <c r="AA10" i="59"/>
  <c r="AA9" i="59"/>
  <c r="G30" i="6"/>
  <c r="G31" i="6" s="1"/>
  <c r="C30" i="44"/>
  <c r="C15" i="43"/>
  <c r="C27" i="43"/>
  <c r="C31" i="43"/>
  <c r="X7" i="46"/>
  <c r="E17" i="46"/>
  <c r="N17" i="46"/>
  <c r="O17" i="46"/>
  <c r="M17" i="46"/>
  <c r="L17" i="46"/>
  <c r="Y11" i="46"/>
  <c r="Y13" i="46" s="1"/>
  <c r="H101" i="46"/>
  <c r="G22" i="46"/>
  <c r="F101" i="46"/>
  <c r="D101" i="46"/>
  <c r="E10" i="6"/>
  <c r="AP7" i="1"/>
  <c r="D46" i="36"/>
  <c r="D59" i="34"/>
  <c r="H70" i="46"/>
  <c r="H73" i="46"/>
  <c r="H48" i="46"/>
  <c r="F35" i="46"/>
  <c r="I17" i="46"/>
  <c r="H63" i="46"/>
  <c r="I101" i="46"/>
  <c r="M101" i="46"/>
  <c r="N101" i="46"/>
  <c r="AC11" i="46"/>
  <c r="AC13" i="46" s="1"/>
  <c r="AD11" i="46"/>
  <c r="H64" i="46"/>
  <c r="H66" i="46"/>
  <c r="D100" i="46"/>
  <c r="F109" i="46"/>
  <c r="H62" i="46"/>
  <c r="AF12" i="46"/>
  <c r="K100" i="46"/>
  <c r="AB12" i="46"/>
  <c r="AJ12" i="46"/>
  <c r="F102" i="46"/>
  <c r="F103" i="46"/>
  <c r="J101" i="46"/>
  <c r="N104" i="45"/>
  <c r="F22" i="46"/>
  <c r="Z7" i="46"/>
  <c r="E22" i="46"/>
  <c r="D22" i="46" s="1"/>
  <c r="AA11" i="46"/>
  <c r="AA13" i="46" s="1"/>
  <c r="AI11" i="46"/>
  <c r="AI13" i="46" s="1"/>
  <c r="AF11" i="46"/>
  <c r="AF13" i="46" s="1"/>
  <c r="AE11" i="46"/>
  <c r="AE13" i="46" s="1"/>
  <c r="H60" i="46"/>
  <c r="H59" i="46"/>
  <c r="H74" i="46"/>
  <c r="H65" i="46"/>
  <c r="AB11" i="46"/>
  <c r="H75" i="46"/>
  <c r="E10" i="46"/>
  <c r="E9" i="46"/>
  <c r="E11" i="46"/>
  <c r="E8" i="46"/>
  <c r="H103" i="46"/>
  <c r="H72" i="46"/>
  <c r="H69" i="46"/>
  <c r="H77" i="46"/>
  <c r="H76" i="46"/>
  <c r="H55" i="46"/>
  <c r="H52" i="46"/>
  <c r="AD12" i="46"/>
  <c r="AH12" i="46"/>
  <c r="S10" i="59"/>
  <c r="E65" i="40"/>
  <c r="E67" i="40" s="1"/>
  <c r="M106" i="46"/>
  <c r="M102" i="46"/>
  <c r="M105" i="46"/>
  <c r="H105" i="46"/>
  <c r="D103" i="46"/>
  <c r="H104" i="46"/>
  <c r="D109" i="46"/>
  <c r="E46" i="36"/>
  <c r="F46" i="36" s="1"/>
  <c r="E59" i="34"/>
  <c r="I104" i="46"/>
  <c r="N107" i="46"/>
  <c r="I103" i="46"/>
  <c r="N106" i="46"/>
  <c r="N102" i="46"/>
  <c r="I107" i="46"/>
  <c r="J107" i="46"/>
  <c r="J102" i="46"/>
  <c r="J103" i="46"/>
  <c r="C7" i="46"/>
  <c r="F65" i="40"/>
  <c r="G65" i="40" s="1"/>
  <c r="H65" i="40" s="1"/>
  <c r="H67" i="40" s="1"/>
  <c r="G20" i="46"/>
  <c r="E41" i="46" s="1"/>
  <c r="C41" i="46" s="1"/>
  <c r="S2" i="46"/>
  <c r="S7" i="46"/>
  <c r="S4" i="46"/>
  <c r="G46" i="36"/>
  <c r="H46" i="36" s="1"/>
  <c r="I46" i="36" s="1"/>
  <c r="F67" i="40"/>
  <c r="G67" i="40"/>
  <c r="I65" i="40"/>
  <c r="I67" i="40" s="1"/>
  <c r="E5" i="59"/>
  <c r="B5" i="59"/>
  <c r="X5" i="59"/>
  <c r="Y5" i="59"/>
  <c r="Z5" i="59" s="1"/>
  <c r="Y6" i="59"/>
  <c r="Z6" i="59" s="1"/>
  <c r="AA6" i="59"/>
  <c r="AB6" i="59"/>
  <c r="Y3" i="59"/>
  <c r="Z3" i="59" s="1"/>
  <c r="B4" i="52"/>
  <c r="B8" i="52"/>
  <c r="E22" i="52"/>
  <c r="E7" i="52"/>
  <c r="E13" i="52"/>
  <c r="E10" i="52"/>
  <c r="E8" i="52"/>
  <c r="B10" i="52"/>
  <c r="E4" i="52"/>
  <c r="E21" i="52"/>
  <c r="B9" i="52"/>
  <c r="E11" i="52"/>
  <c r="B11" i="52"/>
  <c r="B7" i="52"/>
  <c r="B6" i="52"/>
  <c r="B13" i="52"/>
  <c r="B14" i="52"/>
  <c r="E9" i="52"/>
  <c r="B22" i="52"/>
  <c r="E6" i="52"/>
  <c r="P22" i="46"/>
  <c r="P24" i="46"/>
  <c r="B68" i="40" s="1"/>
  <c r="P23" i="46"/>
  <c r="P21" i="46"/>
  <c r="F31" i="15"/>
  <c r="M19" i="44"/>
  <c r="M17" i="15"/>
  <c r="F33" i="44"/>
  <c r="F58" i="15"/>
  <c r="F43" i="15"/>
  <c r="L48" i="15"/>
  <c r="M8" i="15"/>
  <c r="N4" i="65"/>
  <c r="F16" i="15"/>
  <c r="I3" i="65"/>
  <c r="M29" i="15"/>
  <c r="J5" i="65"/>
  <c r="M31" i="44"/>
  <c r="E12" i="67"/>
  <c r="M22" i="15"/>
  <c r="F11" i="67"/>
  <c r="F9" i="67"/>
  <c r="F9" i="44"/>
  <c r="F39" i="44"/>
  <c r="F10" i="67"/>
  <c r="N6" i="65"/>
  <c r="E8" i="67"/>
  <c r="F18" i="44"/>
  <c r="B8" i="67"/>
  <c r="F45" i="44"/>
  <c r="E11" i="67"/>
  <c r="J3" i="65"/>
  <c r="J7" i="65"/>
  <c r="E9" i="67"/>
  <c r="F46" i="44"/>
  <c r="N7" i="65"/>
  <c r="M28" i="44"/>
  <c r="J36" i="15"/>
  <c r="J4" i="65"/>
  <c r="B14" i="67"/>
  <c r="F8" i="44"/>
  <c r="E14" i="67"/>
  <c r="J17" i="44"/>
  <c r="B11" i="67"/>
  <c r="B10" i="67"/>
  <c r="C19" i="44"/>
  <c r="F15" i="44"/>
  <c r="F37" i="44"/>
  <c r="F28" i="44"/>
  <c r="M26" i="15"/>
  <c r="F38" i="44"/>
  <c r="L49" i="44"/>
  <c r="E10" i="67"/>
  <c r="B13" i="67"/>
  <c r="M29" i="44"/>
  <c r="L48" i="44"/>
  <c r="B12" i="67"/>
  <c r="I7" i="65"/>
  <c r="M24" i="15"/>
  <c r="F8" i="67"/>
  <c r="B9" i="67"/>
  <c r="M26" i="44"/>
  <c r="M28" i="15"/>
  <c r="M23" i="44"/>
  <c r="M24" i="44"/>
  <c r="J15" i="15"/>
  <c r="N5" i="65"/>
  <c r="I6" i="65"/>
  <c r="F40" i="44"/>
  <c r="M8" i="44"/>
  <c r="M23" i="15"/>
  <c r="F14" i="67"/>
  <c r="M10" i="44"/>
  <c r="F13" i="67"/>
  <c r="J6" i="65"/>
  <c r="F11" i="44"/>
  <c r="M27" i="15"/>
  <c r="L47" i="15"/>
  <c r="M11" i="44"/>
  <c r="M25" i="44"/>
  <c r="F12" i="67"/>
  <c r="F10" i="44"/>
  <c r="N3" i="65"/>
  <c r="F43" i="44"/>
  <c r="M30" i="44"/>
  <c r="E13" i="67"/>
  <c r="D18" i="9" l="1"/>
  <c r="M44" i="9" s="1"/>
  <c r="M43" i="9"/>
  <c r="Q73" i="44"/>
  <c r="L59" i="15"/>
  <c r="L58" i="15"/>
  <c r="J22" i="44"/>
  <c r="L60" i="44"/>
  <c r="L59" i="44"/>
  <c r="I55" i="44"/>
  <c r="L57" i="44"/>
  <c r="J61" i="44"/>
  <c r="Q50" i="44" s="1"/>
  <c r="J58" i="44"/>
  <c r="J56" i="44" s="1"/>
  <c r="J59" i="44" s="1"/>
  <c r="Q52" i="44" s="1"/>
  <c r="J60" i="44"/>
  <c r="J54" i="44"/>
  <c r="C29" i="44"/>
  <c r="C36" i="44"/>
  <c r="C8" i="44"/>
  <c r="Q72" i="15"/>
  <c r="J1" i="65"/>
  <c r="M9" i="44"/>
  <c r="J8" i="44" s="1"/>
  <c r="C4" i="65"/>
  <c r="B39" i="1" s="1"/>
  <c r="J57" i="15"/>
  <c r="J55" i="15" s="1"/>
  <c r="J58" i="15" s="1"/>
  <c r="Q51" i="15" s="1"/>
  <c r="I54" i="15"/>
  <c r="L60" i="15"/>
  <c r="L56" i="15"/>
  <c r="L57" i="15"/>
  <c r="F70" i="15"/>
  <c r="J46" i="36"/>
  <c r="K46" i="36" s="1"/>
  <c r="L46" i="36" s="1"/>
  <c r="M46" i="36" s="1"/>
  <c r="N46" i="36" s="1"/>
  <c r="O46" i="36" s="1"/>
  <c r="F7" i="36"/>
  <c r="H7" i="36"/>
  <c r="AB13" i="46"/>
  <c r="N105" i="46"/>
  <c r="N104" i="46"/>
  <c r="N109" i="46"/>
  <c r="N103" i="46"/>
  <c r="I102" i="46"/>
  <c r="I106" i="46"/>
  <c r="I109" i="46"/>
  <c r="I105" i="46"/>
  <c r="F106" i="46"/>
  <c r="F107" i="46"/>
  <c r="F104" i="46"/>
  <c r="F105" i="46"/>
  <c r="H102" i="46"/>
  <c r="H107" i="46"/>
  <c r="H109" i="46"/>
  <c r="H106" i="46"/>
  <c r="D48" i="35"/>
  <c r="H53" i="46"/>
  <c r="H51" i="46"/>
  <c r="H50" i="46"/>
  <c r="H54" i="46"/>
  <c r="H47" i="46"/>
  <c r="H22" i="46"/>
  <c r="J22" i="46"/>
  <c r="AJ11" i="46"/>
  <c r="AJ13" i="46" s="1"/>
  <c r="C101" i="46"/>
  <c r="G101" i="46"/>
  <c r="B113" i="46"/>
  <c r="L101" i="46"/>
  <c r="E101" i="46"/>
  <c r="K101" i="46"/>
  <c r="AG11" i="46"/>
  <c r="AG13" i="46" s="1"/>
  <c r="Z11" i="46"/>
  <c r="Z13" i="46" s="1"/>
  <c r="AH11" i="46"/>
  <c r="AH13" i="46" s="1"/>
  <c r="C23" i="46"/>
  <c r="C21" i="46" s="1"/>
  <c r="S5" i="46"/>
  <c r="S3" i="46"/>
  <c r="S6" i="46"/>
  <c r="AB25" i="33"/>
  <c r="U25" i="33"/>
  <c r="AA46" i="33"/>
  <c r="S46" i="33"/>
  <c r="U13" i="34"/>
  <c r="AB13" i="34"/>
  <c r="AC31" i="34"/>
  <c r="W31" i="34"/>
  <c r="W45" i="34"/>
  <c r="AC45" i="34"/>
  <c r="J65" i="40"/>
  <c r="J7" i="36"/>
  <c r="C20" i="46"/>
  <c r="F59" i="34"/>
  <c r="AD13" i="46"/>
  <c r="J106" i="46"/>
  <c r="J104" i="46"/>
  <c r="J105" i="46"/>
  <c r="J109" i="46"/>
  <c r="M107" i="46"/>
  <c r="M103" i="46"/>
  <c r="M109" i="46"/>
  <c r="M104" i="46"/>
  <c r="G17" i="46"/>
  <c r="C16" i="46" s="1"/>
  <c r="D5" i="46" s="1"/>
  <c r="D106" i="46"/>
  <c r="D107" i="46"/>
  <c r="D102" i="46"/>
  <c r="D105" i="46"/>
  <c r="D104" i="46"/>
  <c r="F58" i="33"/>
  <c r="E58" i="21"/>
  <c r="AC27" i="40"/>
  <c r="D52" i="37"/>
  <c r="U14" i="40"/>
  <c r="AB14" i="40"/>
  <c r="W47" i="39"/>
  <c r="AC47" i="39"/>
  <c r="AA10" i="35"/>
  <c r="S10" i="35"/>
  <c r="W27" i="37"/>
  <c r="AC27" i="37"/>
  <c r="AA27" i="37"/>
  <c r="S27" i="37"/>
  <c r="U35" i="35"/>
  <c r="AB35" i="35"/>
  <c r="AC35" i="35"/>
  <c r="W35" i="35"/>
  <c r="AA45" i="34"/>
  <c r="S45" i="34"/>
  <c r="U45" i="34"/>
  <c r="AB45" i="34"/>
  <c r="AC46" i="33"/>
  <c r="W46" i="33"/>
  <c r="AC44" i="33"/>
  <c r="W44" i="33"/>
  <c r="U40" i="37"/>
  <c r="AB40" i="37"/>
  <c r="AC37" i="37"/>
  <c r="W37" i="37"/>
  <c r="AC27" i="33"/>
  <c r="W27" i="33"/>
  <c r="AA45" i="21"/>
  <c r="S45" i="21"/>
  <c r="AB46" i="21"/>
  <c r="U46" i="21"/>
  <c r="AB28" i="21"/>
  <c r="U28" i="21"/>
  <c r="W28" i="34"/>
  <c r="AC28" i="34"/>
  <c r="AC9" i="21"/>
  <c r="W9" i="21"/>
  <c r="W36" i="21"/>
  <c r="AC36" i="21"/>
  <c r="B73" i="46"/>
  <c r="C29" i="39"/>
  <c r="F9" i="21"/>
  <c r="H9" i="21"/>
  <c r="J9" i="33"/>
  <c r="H9" i="33"/>
  <c r="F9" i="33"/>
  <c r="J27" i="34"/>
  <c r="H27" i="34"/>
  <c r="U40" i="34"/>
  <c r="AB40" i="34"/>
  <c r="AA9" i="35"/>
  <c r="S9" i="35"/>
  <c r="J12" i="33"/>
  <c r="H12" i="33"/>
  <c r="F12" i="33"/>
  <c r="H14" i="33"/>
  <c r="F14" i="33"/>
  <c r="J14" i="33"/>
  <c r="H30" i="33"/>
  <c r="F30" i="33"/>
  <c r="J30" i="33"/>
  <c r="U45" i="33"/>
  <c r="AB45" i="33"/>
  <c r="J34" i="35"/>
  <c r="H34" i="35"/>
  <c r="F34" i="35"/>
  <c r="J12" i="36"/>
  <c r="H12" i="36"/>
  <c r="F12" i="36"/>
  <c r="H25" i="37"/>
  <c r="J25" i="37"/>
  <c r="F25" i="37"/>
  <c r="AA20" i="36"/>
  <c r="S14" i="36"/>
  <c r="W23" i="39"/>
  <c r="AC33" i="37"/>
  <c r="U23" i="39"/>
  <c r="W29" i="39"/>
  <c r="S30" i="40"/>
  <c r="AB13" i="40"/>
  <c r="S42" i="21"/>
  <c r="W32" i="21"/>
  <c r="AB41" i="34"/>
  <c r="W29" i="34"/>
  <c r="AA27" i="34"/>
  <c r="AA32" i="37"/>
  <c r="W28" i="37"/>
  <c r="AA13" i="35"/>
  <c r="U27" i="36"/>
  <c r="AA26" i="36"/>
  <c r="AB29" i="39"/>
  <c r="S41" i="40"/>
  <c r="W34" i="40"/>
  <c r="AB33" i="36"/>
  <c r="AB37" i="39"/>
  <c r="H34" i="40"/>
  <c r="U25" i="39"/>
  <c r="AB25" i="39"/>
  <c r="U36" i="35"/>
  <c r="S43" i="34"/>
  <c r="U43" i="34"/>
  <c r="U31" i="34"/>
  <c r="AB28" i="33"/>
  <c r="U31" i="37"/>
  <c r="U39" i="37"/>
  <c r="AC12" i="35"/>
  <c r="S36" i="37"/>
  <c r="AA36" i="37"/>
  <c r="F24" i="35"/>
  <c r="W41" i="34"/>
  <c r="AC41" i="34"/>
  <c r="AB44" i="21"/>
  <c r="AA38" i="37"/>
  <c r="AC25" i="35"/>
  <c r="W25" i="35"/>
  <c r="J47" i="34"/>
  <c r="F31" i="34"/>
  <c r="F13" i="34"/>
  <c r="W11" i="36"/>
  <c r="AC11" i="36"/>
  <c r="W29" i="33"/>
  <c r="AC29" i="33"/>
  <c r="S27" i="33"/>
  <c r="AA27" i="33"/>
  <c r="U13" i="21"/>
  <c r="AB13" i="21"/>
  <c r="U14" i="21"/>
  <c r="AB14" i="21"/>
  <c r="AB42" i="34"/>
  <c r="U34" i="37"/>
  <c r="AA38" i="21"/>
  <c r="W39" i="34"/>
  <c r="W33" i="36"/>
  <c r="AC33" i="36"/>
  <c r="U26" i="36"/>
  <c r="S39" i="37"/>
  <c r="AA39" i="37"/>
  <c r="U12" i="21"/>
  <c r="AB12" i="21"/>
  <c r="AC8" i="21"/>
  <c r="W8" i="21"/>
  <c r="W40" i="21"/>
  <c r="AC40" i="21"/>
  <c r="AB42" i="21"/>
  <c r="U42" i="21"/>
  <c r="AC42" i="33"/>
  <c r="W42" i="33"/>
  <c r="F28" i="33"/>
  <c r="J28" i="33"/>
  <c r="J26" i="33"/>
  <c r="F26" i="33"/>
  <c r="AA34" i="34"/>
  <c r="S34" i="34"/>
  <c r="U39" i="34"/>
  <c r="AB39" i="34"/>
  <c r="S28" i="34"/>
  <c r="AA28" i="34"/>
  <c r="J9" i="35"/>
  <c r="AC23" i="35"/>
  <c r="W23" i="35"/>
  <c r="F11" i="35"/>
  <c r="H11" i="35"/>
  <c r="AA10" i="36"/>
  <c r="S10" i="36"/>
  <c r="AB22" i="36"/>
  <c r="U22" i="36"/>
  <c r="J23" i="36"/>
  <c r="F23" i="36"/>
  <c r="F15" i="40"/>
  <c r="J15" i="40"/>
  <c r="F42" i="40"/>
  <c r="H42" i="40"/>
  <c r="D1" i="57"/>
  <c r="E10" i="57" s="1"/>
  <c r="C34" i="59"/>
  <c r="D33" i="59"/>
  <c r="B54" i="46"/>
  <c r="C27" i="40"/>
  <c r="S27" i="40"/>
  <c r="S21" i="34"/>
  <c r="K77" i="9"/>
  <c r="K79" i="9" s="1"/>
  <c r="K81" i="9" s="1"/>
  <c r="Y27" i="59"/>
  <c r="Z27" i="59" s="1"/>
  <c r="Y25" i="59"/>
  <c r="Z25" i="59" s="1"/>
  <c r="Y23" i="59"/>
  <c r="Z23" i="59" s="1"/>
  <c r="C24" i="59"/>
  <c r="Y21" i="59"/>
  <c r="Z21" i="59" s="1"/>
  <c r="Y19" i="59"/>
  <c r="Z19" i="59" s="1"/>
  <c r="Y18" i="59"/>
  <c r="Z18" i="59" s="1"/>
  <c r="Y16" i="59"/>
  <c r="Z16" i="59" s="1"/>
  <c r="Y17" i="59"/>
  <c r="Z17" i="59" s="1"/>
  <c r="Y15" i="59"/>
  <c r="Z15" i="59" s="1"/>
  <c r="AB28" i="59"/>
  <c r="AB29" i="59"/>
  <c r="AB26" i="59"/>
  <c r="F28" i="59"/>
  <c r="F29" i="59" s="1"/>
  <c r="F30" i="59" s="1"/>
  <c r="V30" i="59" s="1"/>
  <c r="AB24" i="59"/>
  <c r="AB22" i="59"/>
  <c r="AB20" i="59"/>
  <c r="F20" i="59"/>
  <c r="F21" i="59" s="1"/>
  <c r="F22" i="59" s="1"/>
  <c r="V22" i="59" s="1"/>
  <c r="AB18" i="59"/>
  <c r="F17" i="59"/>
  <c r="F16" i="59" s="1"/>
  <c r="AB17" i="59"/>
  <c r="AB15" i="59"/>
  <c r="AB5" i="59"/>
  <c r="C13" i="59"/>
  <c r="D14" i="59"/>
  <c r="F14" i="59"/>
  <c r="AB14" i="59"/>
  <c r="P25" i="46"/>
  <c r="B73" i="39" s="1"/>
  <c r="O55" i="59"/>
  <c r="U58" i="59"/>
  <c r="Q57" i="59"/>
  <c r="D36" i="59"/>
  <c r="N58" i="59"/>
  <c r="B57" i="59"/>
  <c r="S58" i="59"/>
  <c r="A26" i="64"/>
  <c r="AB13" i="59"/>
  <c r="X26" i="59"/>
  <c r="B28" i="59"/>
  <c r="B29" i="59" s="1"/>
  <c r="B30" i="59" s="1"/>
  <c r="S30" i="59" s="1"/>
  <c r="X24" i="59"/>
  <c r="X22" i="59"/>
  <c r="X20" i="59"/>
  <c r="B20" i="59"/>
  <c r="B21" i="59" s="1"/>
  <c r="B22" i="59" s="1"/>
  <c r="S22" i="59" s="1"/>
  <c r="X18" i="59"/>
  <c r="X16" i="59"/>
  <c r="X7" i="59"/>
  <c r="X8" i="59"/>
  <c r="X11" i="59"/>
  <c r="X3" i="59"/>
  <c r="AA27" i="59"/>
  <c r="AA25" i="59"/>
  <c r="AA23" i="59"/>
  <c r="E24" i="59"/>
  <c r="E25" i="59" s="1"/>
  <c r="E26" i="59" s="1"/>
  <c r="U26" i="59" s="1"/>
  <c r="AA21" i="59"/>
  <c r="AA19" i="59"/>
  <c r="E20" i="59"/>
  <c r="E21" i="59" s="1"/>
  <c r="E22" i="59" s="1"/>
  <c r="U22" i="59" s="1"/>
  <c r="AA17" i="59"/>
  <c r="AA7" i="59"/>
  <c r="AA8" i="59"/>
  <c r="AA13" i="59"/>
  <c r="AA15" i="59"/>
  <c r="Y7" i="59"/>
  <c r="Z7" i="59" s="1"/>
  <c r="AB7" i="59"/>
  <c r="G5" i="3"/>
  <c r="B3" i="3" s="1"/>
  <c r="E8" i="6"/>
  <c r="E12" i="6"/>
  <c r="E14" i="6"/>
  <c r="E11" i="6"/>
  <c r="E13" i="6"/>
  <c r="E15" i="6"/>
  <c r="E5" i="6"/>
  <c r="L46" i="15"/>
  <c r="J53" i="15"/>
  <c r="F19" i="6"/>
  <c r="E19" i="6" s="1"/>
  <c r="I4" i="6"/>
  <c r="C13" i="39" s="1"/>
  <c r="E28" i="6"/>
  <c r="BL425" i="3"/>
  <c r="AZ425" i="3" s="1"/>
  <c r="BA424" i="3"/>
  <c r="AZ424" i="3" s="1"/>
  <c r="BL421" i="3"/>
  <c r="AZ421" i="3" s="1"/>
  <c r="BA420" i="3"/>
  <c r="AZ420" i="3" s="1"/>
  <c r="BL427" i="3"/>
  <c r="AZ427" i="3" s="1"/>
  <c r="BA426" i="3"/>
  <c r="AZ426" i="3" s="1"/>
  <c r="BL423" i="3"/>
  <c r="AZ423" i="3" s="1"/>
  <c r="BA422" i="3"/>
  <c r="AZ422" i="3" s="1"/>
  <c r="BL419" i="3"/>
  <c r="AZ419" i="3" s="1"/>
  <c r="BA418" i="3"/>
  <c r="AZ418" i="3" s="1"/>
  <c r="AZ253" i="3"/>
  <c r="AZ245" i="3"/>
  <c r="AZ237" i="3"/>
  <c r="AZ229" i="3"/>
  <c r="AZ221" i="3"/>
  <c r="AZ213" i="3"/>
  <c r="AZ205" i="3"/>
  <c r="AZ197" i="3"/>
  <c r="AZ189" i="3"/>
  <c r="AZ181" i="3"/>
  <c r="BL255" i="3"/>
  <c r="AZ255" i="3" s="1"/>
  <c r="BA254" i="3"/>
  <c r="AZ254" i="3" s="1"/>
  <c r="BL251" i="3"/>
  <c r="AZ251" i="3" s="1"/>
  <c r="BA250" i="3"/>
  <c r="AZ250" i="3" s="1"/>
  <c r="BL247" i="3"/>
  <c r="AZ247" i="3" s="1"/>
  <c r="BA246" i="3"/>
  <c r="AZ246" i="3" s="1"/>
  <c r="BL243" i="3"/>
  <c r="AZ243" i="3" s="1"/>
  <c r="BA242" i="3"/>
  <c r="AZ242" i="3" s="1"/>
  <c r="BL239" i="3"/>
  <c r="AZ239" i="3" s="1"/>
  <c r="BA238" i="3"/>
  <c r="AZ238" i="3" s="1"/>
  <c r="BL235" i="3"/>
  <c r="AZ235" i="3" s="1"/>
  <c r="BA234" i="3"/>
  <c r="AZ234" i="3" s="1"/>
  <c r="BL231" i="3"/>
  <c r="AZ231" i="3" s="1"/>
  <c r="BA230" i="3"/>
  <c r="AZ230" i="3" s="1"/>
  <c r="BL227" i="3"/>
  <c r="AZ227" i="3" s="1"/>
  <c r="BA226" i="3"/>
  <c r="AZ226" i="3" s="1"/>
  <c r="BL223" i="3"/>
  <c r="AZ223" i="3" s="1"/>
  <c r="BA222" i="3"/>
  <c r="AZ222" i="3" s="1"/>
  <c r="BL219" i="3"/>
  <c r="AZ219" i="3" s="1"/>
  <c r="BA218" i="3"/>
  <c r="AZ218" i="3" s="1"/>
  <c r="BL215" i="3"/>
  <c r="AZ215" i="3" s="1"/>
  <c r="BA214" i="3"/>
  <c r="AZ214" i="3" s="1"/>
  <c r="BL211" i="3"/>
  <c r="AZ211" i="3" s="1"/>
  <c r="BA210" i="3"/>
  <c r="AZ210" i="3" s="1"/>
  <c r="BL207" i="3"/>
  <c r="AZ207" i="3" s="1"/>
  <c r="BA206" i="3"/>
  <c r="AZ206" i="3" s="1"/>
  <c r="BL203" i="3"/>
  <c r="AZ203" i="3" s="1"/>
  <c r="BA202" i="3"/>
  <c r="AZ202" i="3" s="1"/>
  <c r="BL199" i="3"/>
  <c r="AZ199" i="3" s="1"/>
  <c r="BA198" i="3"/>
  <c r="AZ198" i="3" s="1"/>
  <c r="BL195" i="3"/>
  <c r="AZ195" i="3" s="1"/>
  <c r="BA194" i="3"/>
  <c r="AZ194" i="3" s="1"/>
  <c r="BL191" i="3"/>
  <c r="AZ191" i="3" s="1"/>
  <c r="BA190" i="3"/>
  <c r="AZ190" i="3" s="1"/>
  <c r="BL187" i="3"/>
  <c r="AZ187" i="3" s="1"/>
  <c r="BA186" i="3"/>
  <c r="AZ186" i="3" s="1"/>
  <c r="BL183" i="3"/>
  <c r="AZ183" i="3" s="1"/>
  <c r="BA182" i="3"/>
  <c r="AZ182" i="3" s="1"/>
  <c r="BL179" i="3"/>
  <c r="AZ179" i="3" s="1"/>
  <c r="BA178" i="3"/>
  <c r="AZ178" i="3" s="1"/>
  <c r="BL175" i="3"/>
  <c r="AZ175" i="3" s="1"/>
  <c r="BL173" i="3"/>
  <c r="AZ173" i="3"/>
  <c r="BA172" i="3"/>
  <c r="AZ172" i="3" s="1"/>
  <c r="BA256" i="3"/>
  <c r="AZ256" i="3" s="1"/>
  <c r="BL253" i="3"/>
  <c r="BA252" i="3"/>
  <c r="AZ252" i="3" s="1"/>
  <c r="BL249" i="3"/>
  <c r="AZ249" i="3" s="1"/>
  <c r="BA248" i="3"/>
  <c r="AZ248" i="3" s="1"/>
  <c r="BL245" i="3"/>
  <c r="BA244" i="3"/>
  <c r="AZ244" i="3" s="1"/>
  <c r="BL241" i="3"/>
  <c r="AZ241" i="3" s="1"/>
  <c r="BA240" i="3"/>
  <c r="AZ240" i="3" s="1"/>
  <c r="BL237" i="3"/>
  <c r="BA236" i="3"/>
  <c r="AZ236" i="3" s="1"/>
  <c r="BL233" i="3"/>
  <c r="AZ233" i="3" s="1"/>
  <c r="BA232" i="3"/>
  <c r="AZ232" i="3" s="1"/>
  <c r="BL229" i="3"/>
  <c r="BA228" i="3"/>
  <c r="AZ228" i="3" s="1"/>
  <c r="BL225" i="3"/>
  <c r="AZ225" i="3" s="1"/>
  <c r="BA224" i="3"/>
  <c r="AZ224" i="3" s="1"/>
  <c r="BL221" i="3"/>
  <c r="BA220" i="3"/>
  <c r="AZ220" i="3" s="1"/>
  <c r="BL217" i="3"/>
  <c r="AZ217" i="3" s="1"/>
  <c r="BA216" i="3"/>
  <c r="AZ216" i="3" s="1"/>
  <c r="BL213" i="3"/>
  <c r="BA212" i="3"/>
  <c r="AZ212" i="3" s="1"/>
  <c r="BL209" i="3"/>
  <c r="AZ209" i="3" s="1"/>
  <c r="BA208" i="3"/>
  <c r="AZ208" i="3" s="1"/>
  <c r="BL205" i="3"/>
  <c r="BA204" i="3"/>
  <c r="AZ204" i="3" s="1"/>
  <c r="BL201" i="3"/>
  <c r="AZ201" i="3" s="1"/>
  <c r="BA200" i="3"/>
  <c r="AZ200" i="3" s="1"/>
  <c r="BL197" i="3"/>
  <c r="BA196" i="3"/>
  <c r="AZ196" i="3" s="1"/>
  <c r="BL193" i="3"/>
  <c r="AZ193" i="3" s="1"/>
  <c r="BA192" i="3"/>
  <c r="AZ192" i="3" s="1"/>
  <c r="BL189" i="3"/>
  <c r="BA188" i="3"/>
  <c r="AZ188" i="3" s="1"/>
  <c r="BL185" i="3"/>
  <c r="AZ185" i="3" s="1"/>
  <c r="BA184" i="3"/>
  <c r="AZ184" i="3" s="1"/>
  <c r="BL181" i="3"/>
  <c r="BA180" i="3"/>
  <c r="AZ180" i="3" s="1"/>
  <c r="BL177" i="3"/>
  <c r="AZ177" i="3" s="1"/>
  <c r="BA176" i="3"/>
  <c r="AZ176" i="3" s="1"/>
  <c r="AZ165" i="3"/>
  <c r="AZ157" i="3"/>
  <c r="AZ149" i="3"/>
  <c r="AZ141" i="3"/>
  <c r="AZ133" i="3"/>
  <c r="AZ125" i="3"/>
  <c r="AZ117" i="3"/>
  <c r="AZ109" i="3"/>
  <c r="AZ101" i="3"/>
  <c r="AZ93" i="3"/>
  <c r="AZ85" i="3"/>
  <c r="AZ77" i="3"/>
  <c r="AZ69" i="3"/>
  <c r="BA174" i="3"/>
  <c r="AZ174" i="3" s="1"/>
  <c r="BL171" i="3"/>
  <c r="AZ171" i="3" s="1"/>
  <c r="BA170" i="3"/>
  <c r="AZ170" i="3" s="1"/>
  <c r="BL167" i="3"/>
  <c r="AZ167" i="3" s="1"/>
  <c r="BA166" i="3"/>
  <c r="AZ166" i="3" s="1"/>
  <c r="BL163" i="3"/>
  <c r="AZ163" i="3" s="1"/>
  <c r="BA162" i="3"/>
  <c r="AZ162" i="3" s="1"/>
  <c r="BL159" i="3"/>
  <c r="AZ159" i="3" s="1"/>
  <c r="BA158" i="3"/>
  <c r="AZ158" i="3" s="1"/>
  <c r="BL155" i="3"/>
  <c r="AZ155" i="3" s="1"/>
  <c r="BA154" i="3"/>
  <c r="AZ154" i="3" s="1"/>
  <c r="BL151" i="3"/>
  <c r="AZ151" i="3" s="1"/>
  <c r="BA150" i="3"/>
  <c r="AZ150" i="3" s="1"/>
  <c r="BL147" i="3"/>
  <c r="AZ147" i="3" s="1"/>
  <c r="BA146" i="3"/>
  <c r="AZ146" i="3" s="1"/>
  <c r="BL143" i="3"/>
  <c r="AZ143" i="3" s="1"/>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A114" i="3"/>
  <c r="AZ114" i="3" s="1"/>
  <c r="BL111" i="3"/>
  <c r="AZ111" i="3" s="1"/>
  <c r="BA110" i="3"/>
  <c r="AZ110" i="3" s="1"/>
  <c r="BL107" i="3"/>
  <c r="AZ107" i="3" s="1"/>
  <c r="BA106" i="3"/>
  <c r="AZ106" i="3" s="1"/>
  <c r="BL103" i="3"/>
  <c r="AZ103" i="3" s="1"/>
  <c r="BA102" i="3"/>
  <c r="AZ102" i="3" s="1"/>
  <c r="BL99" i="3"/>
  <c r="AZ99" i="3" s="1"/>
  <c r="BA98" i="3"/>
  <c r="AZ98" i="3" s="1"/>
  <c r="BL95" i="3"/>
  <c r="AZ95" i="3" s="1"/>
  <c r="BA94" i="3"/>
  <c r="AZ94" i="3" s="1"/>
  <c r="BL91" i="3"/>
  <c r="AZ91" i="3" s="1"/>
  <c r="BA90" i="3"/>
  <c r="AZ90" i="3" s="1"/>
  <c r="BL87" i="3"/>
  <c r="AZ87" i="3" s="1"/>
  <c r="BA86" i="3"/>
  <c r="AZ86" i="3" s="1"/>
  <c r="BL83" i="3"/>
  <c r="AZ83" i="3" s="1"/>
  <c r="BA82" i="3"/>
  <c r="AZ82" i="3" s="1"/>
  <c r="BL79" i="3"/>
  <c r="AZ79" i="3" s="1"/>
  <c r="BA78" i="3"/>
  <c r="AZ78" i="3" s="1"/>
  <c r="BL75" i="3"/>
  <c r="AZ75" i="3" s="1"/>
  <c r="BA74" i="3"/>
  <c r="AZ74" i="3" s="1"/>
  <c r="BL71" i="3"/>
  <c r="AZ71" i="3" s="1"/>
  <c r="BA70" i="3"/>
  <c r="AZ70" i="3" s="1"/>
  <c r="BL67" i="3"/>
  <c r="AZ67" i="3" s="1"/>
  <c r="BA66" i="3"/>
  <c r="AZ66" i="3" s="1"/>
  <c r="BL63" i="3"/>
  <c r="AZ63" i="3" s="1"/>
  <c r="BL58" i="3"/>
  <c r="AZ58" i="3" s="1"/>
  <c r="AZ54" i="3"/>
  <c r="AZ46" i="3"/>
  <c r="AZ38" i="3"/>
  <c r="AZ30" i="3"/>
  <c r="AZ22" i="3"/>
  <c r="AZ14" i="3"/>
  <c r="BL169" i="3"/>
  <c r="AZ169" i="3" s="1"/>
  <c r="BA168" i="3"/>
  <c r="AZ168" i="3" s="1"/>
  <c r="BL165" i="3"/>
  <c r="BA164" i="3"/>
  <c r="AZ164" i="3" s="1"/>
  <c r="BL161" i="3"/>
  <c r="AZ161" i="3" s="1"/>
  <c r="BA160" i="3"/>
  <c r="AZ160" i="3" s="1"/>
  <c r="BL157" i="3"/>
  <c r="BA156" i="3"/>
  <c r="AZ156" i="3" s="1"/>
  <c r="BL153" i="3"/>
  <c r="AZ153" i="3" s="1"/>
  <c r="BA152" i="3"/>
  <c r="AZ152" i="3" s="1"/>
  <c r="BL149" i="3"/>
  <c r="BA148" i="3"/>
  <c r="AZ148" i="3" s="1"/>
  <c r="BL145" i="3"/>
  <c r="AZ145" i="3" s="1"/>
  <c r="BA144" i="3"/>
  <c r="AZ144" i="3" s="1"/>
  <c r="BL141" i="3"/>
  <c r="BA140" i="3"/>
  <c r="AZ140" i="3" s="1"/>
  <c r="BL137" i="3"/>
  <c r="AZ137" i="3" s="1"/>
  <c r="BA136" i="3"/>
  <c r="AZ136" i="3" s="1"/>
  <c r="BL133" i="3"/>
  <c r="BA132" i="3"/>
  <c r="AZ132" i="3" s="1"/>
  <c r="BL129" i="3"/>
  <c r="AZ129" i="3" s="1"/>
  <c r="BA128" i="3"/>
  <c r="AZ128" i="3" s="1"/>
  <c r="BL125" i="3"/>
  <c r="BA124" i="3"/>
  <c r="AZ124" i="3" s="1"/>
  <c r="BL121" i="3"/>
  <c r="AZ121" i="3" s="1"/>
  <c r="BA120" i="3"/>
  <c r="AZ120" i="3" s="1"/>
  <c r="BL117" i="3"/>
  <c r="BA116" i="3"/>
  <c r="AZ116" i="3" s="1"/>
  <c r="BL113" i="3"/>
  <c r="AZ113" i="3" s="1"/>
  <c r="BA112" i="3"/>
  <c r="AZ112" i="3" s="1"/>
  <c r="BL109" i="3"/>
  <c r="BA108" i="3"/>
  <c r="AZ108" i="3" s="1"/>
  <c r="BL105" i="3"/>
  <c r="AZ105" i="3" s="1"/>
  <c r="BA104" i="3"/>
  <c r="AZ104" i="3" s="1"/>
  <c r="BL101" i="3"/>
  <c r="BA100" i="3"/>
  <c r="AZ100" i="3" s="1"/>
  <c r="BL97" i="3"/>
  <c r="AZ97" i="3" s="1"/>
  <c r="BA96" i="3"/>
  <c r="AZ96" i="3" s="1"/>
  <c r="BL93" i="3"/>
  <c r="BA92" i="3"/>
  <c r="AZ92" i="3" s="1"/>
  <c r="BL89" i="3"/>
  <c r="AZ89" i="3" s="1"/>
  <c r="BA88" i="3"/>
  <c r="AZ88" i="3" s="1"/>
  <c r="BL85" i="3"/>
  <c r="BA84" i="3"/>
  <c r="AZ84" i="3" s="1"/>
  <c r="BL81" i="3"/>
  <c r="AZ81" i="3" s="1"/>
  <c r="BA80" i="3"/>
  <c r="AZ80" i="3" s="1"/>
  <c r="BL77" i="3"/>
  <c r="BA76" i="3"/>
  <c r="AZ76" i="3" s="1"/>
  <c r="BL73" i="3"/>
  <c r="AZ73" i="3" s="1"/>
  <c r="BA72" i="3"/>
  <c r="AZ72" i="3" s="1"/>
  <c r="BL69" i="3"/>
  <c r="BA68" i="3"/>
  <c r="AZ68" i="3" s="1"/>
  <c r="BL65" i="3"/>
  <c r="AZ65" i="3" s="1"/>
  <c r="BA64" i="3"/>
  <c r="AZ64" i="3" s="1"/>
  <c r="BL62" i="3"/>
  <c r="AZ62" i="3"/>
  <c r="BA61" i="3"/>
  <c r="AZ61" i="3" s="1"/>
  <c r="BL60" i="3"/>
  <c r="AZ60" i="3" s="1"/>
  <c r="BA59" i="3"/>
  <c r="AZ59" i="3" s="1"/>
  <c r="BL56" i="3"/>
  <c r="AZ56" i="3" s="1"/>
  <c r="BA55" i="3"/>
  <c r="AZ55"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3" i="3"/>
  <c r="BA57" i="3"/>
  <c r="AZ57" i="3" s="1"/>
  <c r="BL54" i="3"/>
  <c r="BA53" i="3"/>
  <c r="AZ53" i="3" s="1"/>
  <c r="BL50" i="3"/>
  <c r="AZ50" i="3" s="1"/>
  <c r="BA49" i="3"/>
  <c r="AZ49" i="3" s="1"/>
  <c r="BL46" i="3"/>
  <c r="BA45" i="3"/>
  <c r="AZ45" i="3" s="1"/>
  <c r="BL42" i="3"/>
  <c r="AZ42" i="3" s="1"/>
  <c r="BA41" i="3"/>
  <c r="AZ41" i="3" s="1"/>
  <c r="BL38" i="3"/>
  <c r="BA37" i="3"/>
  <c r="AZ37" i="3" s="1"/>
  <c r="BL34" i="3"/>
  <c r="AZ34" i="3" s="1"/>
  <c r="BA33" i="3"/>
  <c r="AZ33" i="3" s="1"/>
  <c r="BL30" i="3"/>
  <c r="BA29" i="3"/>
  <c r="AZ29" i="3" s="1"/>
  <c r="BL26" i="3"/>
  <c r="AZ26" i="3" s="1"/>
  <c r="BA25" i="3"/>
  <c r="AZ25" i="3" s="1"/>
  <c r="BL22" i="3"/>
  <c r="BA21" i="3"/>
  <c r="AZ21" i="3" s="1"/>
  <c r="BL18" i="3"/>
  <c r="AZ18" i="3" s="1"/>
  <c r="BA17" i="3"/>
  <c r="AZ17" i="3" s="1"/>
  <c r="BL14" i="3"/>
  <c r="F32" i="15"/>
  <c r="F59" i="15" s="1"/>
  <c r="F29" i="12"/>
  <c r="F28" i="15"/>
  <c r="C28" i="15" s="1"/>
  <c r="F9" i="39"/>
  <c r="H9" i="39"/>
  <c r="J9" i="39"/>
  <c r="P12" i="1"/>
  <c r="P10" i="1"/>
  <c r="P8" i="1"/>
  <c r="C2" i="65"/>
  <c r="I1" i="65" s="1"/>
  <c r="P7" i="1"/>
  <c r="E3" i="65"/>
  <c r="C18" i="44"/>
  <c r="M9" i="15"/>
  <c r="I5" i="65"/>
  <c r="E2" i="65" s="1"/>
  <c r="F6" i="15"/>
  <c r="F7" i="15"/>
  <c r="C16" i="15"/>
  <c r="F36" i="15"/>
  <c r="F37" i="15"/>
  <c r="F42" i="15"/>
  <c r="M6" i="15"/>
  <c r="F40" i="15"/>
  <c r="I4" i="65"/>
  <c r="F9" i="15"/>
  <c r="F8" i="15"/>
  <c r="F26" i="15"/>
  <c r="F13" i="15"/>
  <c r="F38" i="15"/>
  <c r="F65" i="15" l="1"/>
  <c r="C27" i="15"/>
  <c r="F50" i="15"/>
  <c r="E20" i="46"/>
  <c r="F67" i="15"/>
  <c r="F64" i="15"/>
  <c r="F63" i="15"/>
  <c r="M7" i="15"/>
  <c r="J6" i="15" s="1"/>
  <c r="F49" i="15"/>
  <c r="C6" i="15"/>
  <c r="B40" i="1"/>
  <c r="F17" i="11"/>
  <c r="C17" i="11" s="1"/>
  <c r="J20" i="44"/>
  <c r="H13" i="39"/>
  <c r="J13" i="39"/>
  <c r="F13" i="39"/>
  <c r="E67" i="39"/>
  <c r="E62" i="40"/>
  <c r="E63" i="39"/>
  <c r="E58" i="40"/>
  <c r="E64" i="39"/>
  <c r="E59" i="40"/>
  <c r="C19" i="46"/>
  <c r="T34" i="59"/>
  <c r="D34" i="59"/>
  <c r="AB42" i="40"/>
  <c r="U42" i="40"/>
  <c r="W15" i="40"/>
  <c r="AC15" i="40"/>
  <c r="AA23" i="36"/>
  <c r="S23" i="36"/>
  <c r="AB11" i="35"/>
  <c r="U11" i="35"/>
  <c r="W9" i="35"/>
  <c r="AC9" i="35"/>
  <c r="AC26" i="33"/>
  <c r="W26" i="33"/>
  <c r="S28" i="33"/>
  <c r="AA28" i="33"/>
  <c r="AA13" i="34"/>
  <c r="S13" i="34"/>
  <c r="AC47" i="34"/>
  <c r="W47" i="34"/>
  <c r="U34" i="40"/>
  <c r="AB34" i="40"/>
  <c r="AA25" i="37"/>
  <c r="S25" i="37"/>
  <c r="U25" i="37"/>
  <c r="AB25" i="37"/>
  <c r="U12" i="36"/>
  <c r="AB12" i="36"/>
  <c r="AA34" i="35"/>
  <c r="S34" i="35"/>
  <c r="AC34" i="35"/>
  <c r="W34" i="35"/>
  <c r="AA30" i="33"/>
  <c r="S30" i="33"/>
  <c r="W14" i="33"/>
  <c r="AC14" i="33"/>
  <c r="AB14" i="33"/>
  <c r="U14" i="33"/>
  <c r="AB12" i="33"/>
  <c r="U12" i="33"/>
  <c r="U27" i="34"/>
  <c r="AB27" i="34"/>
  <c r="S9" i="33"/>
  <c r="AA9" i="33"/>
  <c r="W9" i="33"/>
  <c r="AC9" i="33"/>
  <c r="S9" i="21"/>
  <c r="AA9" i="21"/>
  <c r="E52" i="37"/>
  <c r="F52" i="37" s="1"/>
  <c r="G52" i="37" s="1"/>
  <c r="H52" i="37" s="1"/>
  <c r="I52" i="37" s="1"/>
  <c r="J52" i="37" s="1"/>
  <c r="K52" i="37" s="1"/>
  <c r="L52" i="37" s="1"/>
  <c r="M52" i="37" s="1"/>
  <c r="N52" i="37" s="1"/>
  <c r="O52" i="37" s="1"/>
  <c r="F7" i="37"/>
  <c r="H7" i="37"/>
  <c r="H7" i="21"/>
  <c r="F58" i="21"/>
  <c r="G58" i="21" s="1"/>
  <c r="H58" i="21" s="1"/>
  <c r="I58" i="21" s="1"/>
  <c r="J58" i="21" s="1"/>
  <c r="K58" i="21" s="1"/>
  <c r="L58" i="21" s="1"/>
  <c r="M58" i="21" s="1"/>
  <c r="N58" i="21" s="1"/>
  <c r="O58" i="21" s="1"/>
  <c r="F7" i="21"/>
  <c r="C34" i="46"/>
  <c r="C38" i="46"/>
  <c r="C35" i="46"/>
  <c r="C33" i="46"/>
  <c r="C37" i="46"/>
  <c r="C36" i="46"/>
  <c r="C39" i="46"/>
  <c r="G59" i="34"/>
  <c r="W7" i="36"/>
  <c r="AC7" i="36"/>
  <c r="V36" i="36" s="1"/>
  <c r="I36" i="36" s="1"/>
  <c r="K103" i="46"/>
  <c r="K106" i="46"/>
  <c r="K105" i="46"/>
  <c r="K109" i="46"/>
  <c r="K107" i="46"/>
  <c r="K104" i="46"/>
  <c r="K102" i="46"/>
  <c r="L105" i="46"/>
  <c r="L106" i="46"/>
  <c r="L107" i="46"/>
  <c r="L102" i="46"/>
  <c r="L109" i="46"/>
  <c r="L103" i="46"/>
  <c r="L104" i="46"/>
  <c r="G106" i="46"/>
  <c r="G104" i="46"/>
  <c r="G107" i="46"/>
  <c r="G103" i="46"/>
  <c r="G105" i="46"/>
  <c r="G102" i="46"/>
  <c r="G109" i="46"/>
  <c r="C5" i="46"/>
  <c r="U7" i="36"/>
  <c r="AB7" i="36"/>
  <c r="T36" i="36" s="1"/>
  <c r="G36" i="36" s="1"/>
  <c r="Q63" i="44"/>
  <c r="Q76" i="44"/>
  <c r="Q75" i="15"/>
  <c r="Q62" i="15"/>
  <c r="AB9" i="39"/>
  <c r="U9" i="39"/>
  <c r="AC9" i="39"/>
  <c r="W9" i="39"/>
  <c r="AA9" i="39"/>
  <c r="S9" i="39"/>
  <c r="BL5" i="3"/>
  <c r="AZ15" i="3"/>
  <c r="AZ5" i="3" s="1"/>
  <c r="BA5" i="3"/>
  <c r="E27" i="6" s="1"/>
  <c r="E31" i="6" s="1"/>
  <c r="K14" i="1"/>
  <c r="M14" i="1" s="1"/>
  <c r="K20" i="6"/>
  <c r="K26" i="6"/>
  <c r="M26" i="6" s="1"/>
  <c r="I26" i="6" s="1"/>
  <c r="S26" i="6" s="1"/>
  <c r="K22" i="6"/>
  <c r="M22" i="6" s="1"/>
  <c r="I22" i="6" s="1"/>
  <c r="S22" i="6" s="1"/>
  <c r="E30" i="6"/>
  <c r="K23" i="6"/>
  <c r="M23" i="6" s="1"/>
  <c r="I23" i="6" s="1"/>
  <c r="S23" i="6" s="1"/>
  <c r="K21" i="6"/>
  <c r="M21" i="6" s="1"/>
  <c r="I21" i="6" s="1"/>
  <c r="S21" i="6" s="1"/>
  <c r="K6" i="1"/>
  <c r="C9" i="12"/>
  <c r="C10" i="12" s="1"/>
  <c r="F1" i="15"/>
  <c r="Q53" i="15"/>
  <c r="D21" i="12"/>
  <c r="C21" i="12" s="1"/>
  <c r="D12" i="11"/>
  <c r="C12" i="11" s="1"/>
  <c r="E65" i="39"/>
  <c r="E60" i="40"/>
  <c r="E66" i="39"/>
  <c r="E61" i="40"/>
  <c r="E58" i="39"/>
  <c r="E68" i="39" s="1"/>
  <c r="F27" i="6"/>
  <c r="F31" i="6" s="1"/>
  <c r="E53" i="40"/>
  <c r="E16" i="6"/>
  <c r="E297" i="3"/>
  <c r="E411" i="3"/>
  <c r="E395" i="3"/>
  <c r="E250" i="3"/>
  <c r="AN6" i="3"/>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561" i="3"/>
  <c r="E23" i="3"/>
  <c r="E443" i="3"/>
  <c r="E265" i="3"/>
  <c r="E194" i="3"/>
  <c r="AM6" i="3"/>
  <c r="E78" i="3"/>
  <c r="E337" i="3"/>
  <c r="E390" i="3"/>
  <c r="E158" i="3"/>
  <c r="E296"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76" i="3"/>
  <c r="E192" i="3"/>
  <c r="E114" i="3"/>
  <c r="E348" i="3"/>
  <c r="E93" i="3"/>
  <c r="E394" i="3"/>
  <c r="E55" i="3"/>
  <c r="E282" i="3"/>
  <c r="E570" i="3"/>
  <c r="E375" i="3"/>
  <c r="E409" i="3"/>
  <c r="E83" i="3"/>
  <c r="E124" i="3"/>
  <c r="E266" i="3"/>
  <c r="E215" i="3"/>
  <c r="I6" i="3"/>
  <c r="H6" i="3" s="1"/>
  <c r="E103" i="3"/>
  <c r="E200" i="3"/>
  <c r="E62" i="3"/>
  <c r="E389" i="3"/>
  <c r="E230" i="3"/>
  <c r="E143" i="3"/>
  <c r="E283" i="3"/>
  <c r="E535"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86" i="3"/>
  <c r="E68" i="3"/>
  <c r="E135" i="3"/>
  <c r="E147" i="3"/>
  <c r="E22" i="3"/>
  <c r="E439" i="3"/>
  <c r="E459" i="3"/>
  <c r="E117" i="3"/>
  <c r="E231" i="3"/>
  <c r="E528" i="3"/>
  <c r="E470" i="3"/>
  <c r="E349" i="3"/>
  <c r="E186" i="3"/>
  <c r="E299" i="3"/>
  <c r="E327" i="3"/>
  <c r="E548" i="3"/>
  <c r="Z6" i="3"/>
  <c r="E454" i="3"/>
  <c r="E520" i="3"/>
  <c r="AK6" i="3"/>
  <c r="N57" i="59"/>
  <c r="B56" i="59"/>
  <c r="F13" i="59"/>
  <c r="F12" i="59" s="1"/>
  <c r="F11" i="59" s="1"/>
  <c r="F10" i="59" s="1"/>
  <c r="V14" i="59"/>
  <c r="C12" i="59"/>
  <c r="D13" i="59"/>
  <c r="D24" i="59"/>
  <c r="C25" i="59"/>
  <c r="AA42" i="40"/>
  <c r="S42" i="40"/>
  <c r="AA15" i="40"/>
  <c r="S15" i="40"/>
  <c r="AC23" i="36"/>
  <c r="W23" i="36"/>
  <c r="S11" i="35"/>
  <c r="AA11" i="35"/>
  <c r="AA26" i="33"/>
  <c r="S26" i="33"/>
  <c r="W28" i="33"/>
  <c r="AC28" i="33"/>
  <c r="S31" i="34"/>
  <c r="AA31" i="34"/>
  <c r="AA24" i="35"/>
  <c r="S24" i="35"/>
  <c r="AC25" i="37"/>
  <c r="W25" i="37"/>
  <c r="S12" i="36"/>
  <c r="AA12" i="36"/>
  <c r="W12" i="36"/>
  <c r="AC12" i="36"/>
  <c r="U34" i="35"/>
  <c r="AB34" i="35"/>
  <c r="W30" i="33"/>
  <c r="AC30" i="33"/>
  <c r="AB30" i="33"/>
  <c r="U30" i="33"/>
  <c r="AA14" i="33"/>
  <c r="S14" i="33"/>
  <c r="AA12" i="33"/>
  <c r="S12" i="33"/>
  <c r="W12" i="33"/>
  <c r="AC12" i="33"/>
  <c r="W27" i="34"/>
  <c r="AC27" i="34"/>
  <c r="U9" i="33"/>
  <c r="AB9" i="33"/>
  <c r="AB9" i="21"/>
  <c r="U9" i="21"/>
  <c r="J7" i="37"/>
  <c r="J7" i="21"/>
  <c r="G58" i="33"/>
  <c r="K65" i="40"/>
  <c r="J67" i="40"/>
  <c r="E106" i="46"/>
  <c r="E103" i="46"/>
  <c r="E107" i="46"/>
  <c r="E105" i="46"/>
  <c r="E109" i="46"/>
  <c r="E104" i="46"/>
  <c r="E102" i="46"/>
  <c r="I116" i="46"/>
  <c r="J116" i="46" s="1"/>
  <c r="K116" i="46" s="1"/>
  <c r="L116" i="46" s="1"/>
  <c r="M116" i="46" s="1"/>
  <c r="I118" i="46"/>
  <c r="J118" i="46" s="1"/>
  <c r="K118" i="46" s="1"/>
  <c r="L118" i="46" s="1"/>
  <c r="M118" i="46" s="1"/>
  <c r="D116" i="46"/>
  <c r="E116" i="46" s="1"/>
  <c r="F116" i="46" s="1"/>
  <c r="G116" i="46" s="1"/>
  <c r="H116" i="46" s="1"/>
  <c r="D118" i="46"/>
  <c r="E118" i="46" s="1"/>
  <c r="F118" i="46" s="1"/>
  <c r="I117" i="46"/>
  <c r="J117" i="46" s="1"/>
  <c r="K117" i="46" s="1"/>
  <c r="L117" i="46" s="1"/>
  <c r="M117" i="46" s="1"/>
  <c r="B115" i="46"/>
  <c r="D117" i="46"/>
  <c r="E117" i="46" s="1"/>
  <c r="F117" i="46" s="1"/>
  <c r="G117" i="46" s="1"/>
  <c r="H117" i="46" s="1"/>
  <c r="D115" i="46"/>
  <c r="E115" i="46" s="1"/>
  <c r="F115" i="46" s="1"/>
  <c r="G115" i="46" s="1"/>
  <c r="H115" i="46" s="1"/>
  <c r="B117" i="46"/>
  <c r="C117" i="46" s="1"/>
  <c r="I115" i="46"/>
  <c r="J115" i="46" s="1"/>
  <c r="K115" i="46" s="1"/>
  <c r="L115" i="46" s="1"/>
  <c r="M115" i="46" s="1"/>
  <c r="B116" i="46"/>
  <c r="C116" i="46" s="1"/>
  <c r="G118" i="46"/>
  <c r="H118" i="46" s="1"/>
  <c r="B118" i="46"/>
  <c r="C118" i="46" s="1"/>
  <c r="C107" i="46"/>
  <c r="C102" i="46"/>
  <c r="C105" i="46"/>
  <c r="C103" i="46"/>
  <c r="C109" i="46"/>
  <c r="C104" i="46"/>
  <c r="C106" i="46"/>
  <c r="E48" i="35"/>
  <c r="S7" i="36"/>
  <c r="AA7" i="36"/>
  <c r="R36" i="36" s="1"/>
  <c r="Q67" i="15"/>
  <c r="Q58" i="15"/>
  <c r="F11" i="15"/>
  <c r="M11" i="15"/>
  <c r="J10" i="15" s="1"/>
  <c r="F13" i="44"/>
  <c r="C12" i="44" s="1"/>
  <c r="M13" i="44"/>
  <c r="J12" i="44" s="1"/>
  <c r="J7" i="44" s="1"/>
  <c r="C7" i="44"/>
  <c r="C34" i="44"/>
  <c r="Q54" i="44"/>
  <c r="F1" i="44"/>
  <c r="L47" i="44"/>
  <c r="Q75" i="44"/>
  <c r="Q62" i="44"/>
  <c r="Q61" i="15"/>
  <c r="Q74" i="15"/>
  <c r="AE7" i="1"/>
  <c r="F41" i="15" s="1"/>
  <c r="F68" i="15" l="1"/>
  <c r="J28" i="44"/>
  <c r="J31" i="44" s="1"/>
  <c r="J26" i="44"/>
  <c r="J5" i="15"/>
  <c r="J18" i="15"/>
  <c r="E3" i="6"/>
  <c r="AY6" i="3"/>
  <c r="E36" i="36"/>
  <c r="R37" i="36"/>
  <c r="D113" i="46"/>
  <c r="C115" i="46"/>
  <c r="L65" i="40"/>
  <c r="K67" i="40"/>
  <c r="C40" i="44"/>
  <c r="C10" i="15"/>
  <c r="C52" i="15"/>
  <c r="H58" i="33"/>
  <c r="AC7" i="37"/>
  <c r="V42" i="37" s="1"/>
  <c r="I42" i="37" s="1"/>
  <c r="W7" i="37"/>
  <c r="C11" i="59"/>
  <c r="D12" i="59"/>
  <c r="F9" i="59"/>
  <c r="F8" i="59" s="1"/>
  <c r="F7" i="59" s="1"/>
  <c r="F6" i="59" s="1"/>
  <c r="V10" i="59"/>
  <c r="AC6" i="3"/>
  <c r="Q16" i="1"/>
  <c r="M6" i="1"/>
  <c r="H16" i="1"/>
  <c r="K16" i="1"/>
  <c r="AP16" i="1"/>
  <c r="F22" i="11" s="1"/>
  <c r="G16" i="1"/>
  <c r="K25" i="6"/>
  <c r="M25" i="6" s="1"/>
  <c r="I25" i="6" s="1"/>
  <c r="S25" i="6" s="1"/>
  <c r="K24" i="6"/>
  <c r="M24" i="6" s="1"/>
  <c r="I24" i="6" s="1"/>
  <c r="S24" i="6" s="1"/>
  <c r="K19" i="6"/>
  <c r="O14" i="1"/>
  <c r="P14" i="1"/>
  <c r="G41" i="36"/>
  <c r="H41" i="36" s="1"/>
  <c r="G40" i="36"/>
  <c r="H40" i="36" s="1"/>
  <c r="T15" i="46"/>
  <c r="V15" i="46" s="1"/>
  <c r="T3" i="46"/>
  <c r="V3" i="46" s="1"/>
  <c r="T11" i="46"/>
  <c r="V11" i="46" s="1"/>
  <c r="C29" i="46"/>
  <c r="T13" i="46"/>
  <c r="V13" i="46" s="1"/>
  <c r="T14" i="46"/>
  <c r="V14" i="46" s="1"/>
  <c r="T8" i="46"/>
  <c r="V8" i="46" s="1"/>
  <c r="T10" i="46"/>
  <c r="V10" i="46" s="1"/>
  <c r="T16" i="46"/>
  <c r="V16" i="46" s="1"/>
  <c r="T9" i="46"/>
  <c r="V9" i="46" s="1"/>
  <c r="T6" i="46"/>
  <c r="V6" i="46" s="1"/>
  <c r="T12" i="46"/>
  <c r="V12" i="46" s="1"/>
  <c r="T2" i="46"/>
  <c r="V2" i="46" s="1"/>
  <c r="T5" i="46"/>
  <c r="V5" i="46" s="1"/>
  <c r="T4" i="46"/>
  <c r="V4" i="46" s="1"/>
  <c r="T7" i="46"/>
  <c r="V7" i="46" s="1"/>
  <c r="I40" i="36"/>
  <c r="J40" i="36" s="1"/>
  <c r="I41" i="36"/>
  <c r="J41" i="36" s="1"/>
  <c r="H59" i="34"/>
  <c r="E39" i="46"/>
  <c r="G39" i="46"/>
  <c r="I39" i="46" s="1"/>
  <c r="G37" i="46"/>
  <c r="I37" i="46" s="1"/>
  <c r="E37" i="46"/>
  <c r="E35" i="46"/>
  <c r="G35" i="46"/>
  <c r="I35" i="46" s="1"/>
  <c r="G34" i="46"/>
  <c r="I34" i="46" s="1"/>
  <c r="E34" i="46"/>
  <c r="U7" i="37"/>
  <c r="AB7" i="37"/>
  <c r="T42" i="37" s="1"/>
  <c r="G42" i="37" s="1"/>
  <c r="AA13" i="39"/>
  <c r="S13" i="39"/>
  <c r="AB13" i="39"/>
  <c r="U13" i="39"/>
  <c r="F26" i="12"/>
  <c r="C27" i="12" s="1"/>
  <c r="D26" i="12" s="1"/>
  <c r="C32" i="12" s="1"/>
  <c r="D30" i="12" s="1"/>
  <c r="F24" i="15"/>
  <c r="C24" i="15" s="1"/>
  <c r="F26" i="44"/>
  <c r="C26" i="44" s="1"/>
  <c r="F21" i="43"/>
  <c r="C23" i="43" s="1"/>
  <c r="D21" i="43" s="1"/>
  <c r="P28" i="46"/>
  <c r="N28" i="46"/>
  <c r="O28" i="46"/>
  <c r="M28" i="46"/>
  <c r="F48" i="35"/>
  <c r="G48" i="35" s="1"/>
  <c r="H48" i="35" s="1"/>
  <c r="I48" i="35" s="1"/>
  <c r="J48" i="35" s="1"/>
  <c r="K48" i="35" s="1"/>
  <c r="L48" i="35" s="1"/>
  <c r="M48" i="35" s="1"/>
  <c r="N48" i="35" s="1"/>
  <c r="O48" i="35" s="1"/>
  <c r="J7" i="35" s="1"/>
  <c r="W7" i="21"/>
  <c r="AC7" i="21"/>
  <c r="V48" i="21" s="1"/>
  <c r="I48" i="21" s="1"/>
  <c r="C26" i="59"/>
  <c r="D25" i="59"/>
  <c r="N55" i="59"/>
  <c r="N56" i="59"/>
  <c r="E6" i="3"/>
  <c r="S7" i="1"/>
  <c r="M20" i="6"/>
  <c r="I20" i="6" s="1"/>
  <c r="S20" i="6" s="1"/>
  <c r="G36" i="46"/>
  <c r="I36" i="46" s="1"/>
  <c r="E36" i="46"/>
  <c r="G33" i="46"/>
  <c r="I33" i="46" s="1"/>
  <c r="E33" i="46"/>
  <c r="G38" i="46"/>
  <c r="I38" i="46" s="1"/>
  <c r="E38" i="46"/>
  <c r="AA7" i="21"/>
  <c r="R48" i="21" s="1"/>
  <c r="S7" i="21"/>
  <c r="AB7" i="21"/>
  <c r="T48" i="21" s="1"/>
  <c r="G48" i="21" s="1"/>
  <c r="U7" i="21"/>
  <c r="AA7" i="37"/>
  <c r="R42" i="37" s="1"/>
  <c r="S7" i="37"/>
  <c r="AC13" i="39"/>
  <c r="W13" i="39"/>
  <c r="C5" i="15"/>
  <c r="C32" i="15"/>
  <c r="C33" i="15"/>
  <c r="C48" i="15"/>
  <c r="C47" i="15" s="1"/>
  <c r="C17" i="15"/>
  <c r="AC7" i="35" l="1"/>
  <c r="V38" i="35" s="1"/>
  <c r="I38" i="35" s="1"/>
  <c r="W7" i="35"/>
  <c r="C65" i="15"/>
  <c r="C59" i="15"/>
  <c r="C60" i="15"/>
  <c r="R43" i="37"/>
  <c r="E42" i="37"/>
  <c r="G52" i="21"/>
  <c r="H52" i="21" s="1"/>
  <c r="G53" i="21"/>
  <c r="H53" i="21" s="1"/>
  <c r="R49" i="21"/>
  <c r="E48" i="21"/>
  <c r="I52" i="21"/>
  <c r="J52" i="21" s="1"/>
  <c r="I53" i="21"/>
  <c r="J53" i="21" s="1"/>
  <c r="H7" i="35"/>
  <c r="I59" i="34"/>
  <c r="S6" i="1"/>
  <c r="M19" i="6"/>
  <c r="K27" i="6"/>
  <c r="F33" i="12"/>
  <c r="C34" i="12" s="1"/>
  <c r="D33" i="12" s="1"/>
  <c r="F24" i="43"/>
  <c r="C26" i="43" s="1"/>
  <c r="D24" i="43" s="1"/>
  <c r="F18" i="11"/>
  <c r="C18" i="11" s="1"/>
  <c r="C19" i="11" s="1"/>
  <c r="F5" i="59"/>
  <c r="V6" i="59"/>
  <c r="C10" i="59"/>
  <c r="D11" i="59"/>
  <c r="I46" i="37"/>
  <c r="J46" i="37" s="1"/>
  <c r="I47" i="37"/>
  <c r="J47" i="37" s="1"/>
  <c r="C37" i="36"/>
  <c r="B3" i="36" s="1"/>
  <c r="B2" i="36" s="1"/>
  <c r="C36" i="36"/>
  <c r="D16" i="12"/>
  <c r="E6" i="6"/>
  <c r="D10" i="11"/>
  <c r="D16" i="43"/>
  <c r="C16" i="43" s="1"/>
  <c r="L38" i="9"/>
  <c r="B14" i="66" s="1"/>
  <c r="B1" i="66" s="1"/>
  <c r="D45" i="9"/>
  <c r="D46" i="9"/>
  <c r="C21" i="4"/>
  <c r="O5" i="54" s="1"/>
  <c r="B45" i="63" s="1"/>
  <c r="Q67" i="44"/>
  <c r="Q58" i="44"/>
  <c r="Q49" i="44"/>
  <c r="Q55" i="44" s="1"/>
  <c r="C38" i="15"/>
  <c r="T26" i="59"/>
  <c r="D26" i="59"/>
  <c r="G46" i="37"/>
  <c r="H46" i="37" s="1"/>
  <c r="G47" i="37"/>
  <c r="H47" i="37" s="1"/>
  <c r="E29" i="46"/>
  <c r="C30" i="46"/>
  <c r="E30" i="46" s="1"/>
  <c r="C27" i="46" s="1"/>
  <c r="H12" i="39"/>
  <c r="J12" i="39"/>
  <c r="F12" i="39"/>
  <c r="F12" i="40"/>
  <c r="J12" i="40"/>
  <c r="H12" i="40"/>
  <c r="O6" i="1"/>
  <c r="O16" i="1" s="1"/>
  <c r="P6" i="1"/>
  <c r="P16" i="1" s="1"/>
  <c r="C13" i="12" s="1"/>
  <c r="M16" i="1"/>
  <c r="I58" i="33"/>
  <c r="F7" i="35"/>
  <c r="L67" i="40"/>
  <c r="M65" i="40"/>
  <c r="E41" i="36"/>
  <c r="F41" i="36" s="1"/>
  <c r="E40" i="36"/>
  <c r="F40" i="36" s="1"/>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63" i="3"/>
  <c r="AY223" i="3"/>
  <c r="AY71" i="3"/>
  <c r="AY190" i="3"/>
  <c r="AY440" i="3"/>
  <c r="AY235" i="3"/>
  <c r="AY195" i="3"/>
  <c r="AY401" i="3"/>
  <c r="AY495" i="3"/>
  <c r="AY267" i="3"/>
  <c r="AY363" i="3"/>
  <c r="AY545" i="3"/>
  <c r="AY339" i="3"/>
  <c r="AY433" i="3"/>
  <c r="AY547"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J26" i="15"/>
  <c r="J29" i="15" s="1"/>
  <c r="J24" i="15"/>
  <c r="F7" i="67"/>
  <c r="E4" i="67" l="1"/>
  <c r="D20" i="6"/>
  <c r="H20" i="6"/>
  <c r="C40" i="39"/>
  <c r="E63" i="40"/>
  <c r="D21" i="6"/>
  <c r="D10" i="6"/>
  <c r="H21" i="6"/>
  <c r="D6" i="6"/>
  <c r="D14" i="6"/>
  <c r="D8" i="6"/>
  <c r="E45" i="9"/>
  <c r="K38" i="9"/>
  <c r="C14" i="66" s="1"/>
  <c r="B2" i="66" s="1"/>
  <c r="D26" i="6"/>
  <c r="D11" i="6"/>
  <c r="H25" i="6"/>
  <c r="D5" i="6"/>
  <c r="H22" i="6"/>
  <c r="F46" i="9"/>
  <c r="D19" i="6"/>
  <c r="D25" i="6"/>
  <c r="R25" i="6" s="1"/>
  <c r="H24" i="6"/>
  <c r="D28" i="6"/>
  <c r="F45" i="9"/>
  <c r="D24" i="6"/>
  <c r="R24" i="6" s="1"/>
  <c r="D22" i="6"/>
  <c r="R22" i="6" s="1"/>
  <c r="D9" i="6"/>
  <c r="D15" i="6"/>
  <c r="C22" i="4"/>
  <c r="D13" i="6"/>
  <c r="D23" i="6"/>
  <c r="R23" i="6" s="1"/>
  <c r="H23" i="6"/>
  <c r="H26" i="6"/>
  <c r="D12" i="6"/>
  <c r="D29" i="6"/>
  <c r="E46" i="9"/>
  <c r="C13" i="43"/>
  <c r="N16" i="1"/>
  <c r="C29" i="43" s="1"/>
  <c r="L16" i="1"/>
  <c r="AC12" i="40"/>
  <c r="W12" i="40"/>
  <c r="AA12" i="39"/>
  <c r="S12" i="39"/>
  <c r="AB12" i="39"/>
  <c r="U12" i="39"/>
  <c r="C26" i="46"/>
  <c r="C16" i="12"/>
  <c r="D19" i="12"/>
  <c r="C19" i="12" s="1"/>
  <c r="C9" i="59"/>
  <c r="T10" i="59"/>
  <c r="D10" i="59"/>
  <c r="S16" i="1"/>
  <c r="T6" i="1"/>
  <c r="J59" i="34"/>
  <c r="E53" i="21"/>
  <c r="F53" i="21" s="1"/>
  <c r="E52" i="21"/>
  <c r="F52" i="21" s="1"/>
  <c r="E47" i="37"/>
  <c r="F47" i="37" s="1"/>
  <c r="E46" i="37"/>
  <c r="F46" i="37" s="1"/>
  <c r="N65" i="40"/>
  <c r="N67" i="40" s="1"/>
  <c r="F9" i="40" s="1"/>
  <c r="M67" i="40"/>
  <c r="J9" i="40" s="1"/>
  <c r="AA7" i="35"/>
  <c r="R38" i="35" s="1"/>
  <c r="S7" i="35"/>
  <c r="J58" i="33"/>
  <c r="K58" i="33" s="1"/>
  <c r="L58" i="33" s="1"/>
  <c r="M58" i="33" s="1"/>
  <c r="N58" i="33" s="1"/>
  <c r="O58" i="33" s="1"/>
  <c r="F7" i="33"/>
  <c r="C17" i="12"/>
  <c r="C14" i="12"/>
  <c r="U12" i="40"/>
  <c r="AB12" i="40"/>
  <c r="S12" i="40"/>
  <c r="AA12" i="40"/>
  <c r="AC12" i="39"/>
  <c r="W12" i="39"/>
  <c r="C8" i="66"/>
  <c r="C7" i="66"/>
  <c r="D22" i="12"/>
  <c r="C22" i="12" s="1"/>
  <c r="C20" i="12" s="1"/>
  <c r="D13" i="11"/>
  <c r="C13" i="11" s="1"/>
  <c r="C20" i="11"/>
  <c r="C21" i="11" s="1"/>
  <c r="C22" i="11" s="1"/>
  <c r="C23" i="11" s="1"/>
  <c r="B2" i="11" s="1"/>
  <c r="M27" i="6"/>
  <c r="I19" i="6"/>
  <c r="U7" i="35"/>
  <c r="AB7" i="35"/>
  <c r="T38" i="35" s="1"/>
  <c r="G38" i="35" s="1"/>
  <c r="C48" i="21"/>
  <c r="C49" i="21"/>
  <c r="B3" i="21" s="1"/>
  <c r="B2" i="21" s="1"/>
  <c r="C42" i="37"/>
  <c r="C43" i="37"/>
  <c r="B3" i="37" s="1"/>
  <c r="B2" i="37" s="1"/>
  <c r="I42" i="35"/>
  <c r="J42" i="35" s="1"/>
  <c r="E7" i="67"/>
  <c r="C18" i="12" l="1"/>
  <c r="C23" i="12" s="1"/>
  <c r="E3" i="67"/>
  <c r="AC9" i="40"/>
  <c r="V44" i="40" s="1"/>
  <c r="I44" i="40" s="1"/>
  <c r="W9" i="40"/>
  <c r="AA9" i="40"/>
  <c r="R44" i="40" s="1"/>
  <c r="S9" i="40"/>
  <c r="G42" i="35"/>
  <c r="H42" i="35" s="1"/>
  <c r="G43" i="35"/>
  <c r="H43" i="35" s="1"/>
  <c r="I27" i="6"/>
  <c r="S19" i="6"/>
  <c r="S27" i="6" s="1"/>
  <c r="B5" i="11"/>
  <c r="B4" i="11"/>
  <c r="B3" i="11"/>
  <c r="R39" i="35"/>
  <c r="E38" i="35"/>
  <c r="C8" i="59"/>
  <c r="D9" i="59"/>
  <c r="B2" i="46"/>
  <c r="H9" i="40"/>
  <c r="A20" i="64"/>
  <c r="A6" i="51"/>
  <c r="B7" i="63" s="1"/>
  <c r="A20" i="51"/>
  <c r="B15" i="63" s="1"/>
  <c r="A6" i="64"/>
  <c r="N5" i="54"/>
  <c r="B43" i="63" s="1"/>
  <c r="D30" i="6"/>
  <c r="R26" i="6"/>
  <c r="R21" i="6"/>
  <c r="H19" i="6"/>
  <c r="H27" i="6" s="1"/>
  <c r="H7" i="33"/>
  <c r="AA7" i="33"/>
  <c r="R48" i="33" s="1"/>
  <c r="S7" i="33"/>
  <c r="J7" i="33"/>
  <c r="K59" i="34"/>
  <c r="T13" i="1"/>
  <c r="T8" i="1"/>
  <c r="T10" i="1"/>
  <c r="T11" i="1"/>
  <c r="T12" i="1"/>
  <c r="T9" i="1"/>
  <c r="T7" i="1"/>
  <c r="T16" i="1" s="1"/>
  <c r="C14" i="43"/>
  <c r="C17" i="43"/>
  <c r="R19" i="6"/>
  <c r="D27" i="6"/>
  <c r="D31" i="6" s="1"/>
  <c r="D8" i="66"/>
  <c r="D7" i="66"/>
  <c r="D16" i="6"/>
  <c r="H40" i="39"/>
  <c r="J40" i="39"/>
  <c r="F40" i="39"/>
  <c r="R20" i="6"/>
  <c r="R7" i="1" s="1"/>
  <c r="B7" i="67"/>
  <c r="C14" i="15"/>
  <c r="F35" i="15"/>
  <c r="M21" i="15"/>
  <c r="C16" i="44"/>
  <c r="C18" i="43" l="1"/>
  <c r="C20" i="44"/>
  <c r="C17" i="44"/>
  <c r="J20" i="15"/>
  <c r="F62" i="15"/>
  <c r="C61" i="15" s="1"/>
  <c r="C58" i="15" s="1"/>
  <c r="C34" i="15"/>
  <c r="C31" i="15" s="1"/>
  <c r="C15" i="15"/>
  <c r="C18" i="15"/>
  <c r="B2" i="67"/>
  <c r="C19" i="43"/>
  <c r="C25" i="43" s="1"/>
  <c r="C24" i="43" s="1"/>
  <c r="L59" i="34"/>
  <c r="AB7" i="33"/>
  <c r="T48" i="33" s="1"/>
  <c r="G48" i="33" s="1"/>
  <c r="U7" i="33"/>
  <c r="U9" i="40"/>
  <c r="AB9" i="40"/>
  <c r="T44" i="40" s="1"/>
  <c r="G44" i="40" s="1"/>
  <c r="C38" i="35"/>
  <c r="C39" i="35"/>
  <c r="B3" i="35" s="1"/>
  <c r="B2" i="35" s="1"/>
  <c r="E44" i="40"/>
  <c r="R45" i="40"/>
  <c r="I48" i="40"/>
  <c r="J48" i="40" s="1"/>
  <c r="I49" i="40"/>
  <c r="J49" i="40" s="1"/>
  <c r="AA40" i="39"/>
  <c r="R49" i="39" s="1"/>
  <c r="S40" i="39"/>
  <c r="AB40" i="39"/>
  <c r="T49" i="39" s="1"/>
  <c r="G49" i="39" s="1"/>
  <c r="U40" i="39"/>
  <c r="I6" i="6"/>
  <c r="I5" i="6"/>
  <c r="AC40" i="39"/>
  <c r="V49" i="39" s="1"/>
  <c r="I49" i="39" s="1"/>
  <c r="W40" i="39"/>
  <c r="R6" i="1"/>
  <c r="R16" i="1" s="1"/>
  <c r="R27" i="6"/>
  <c r="AC7" i="33"/>
  <c r="V48" i="33" s="1"/>
  <c r="I48" i="33" s="1"/>
  <c r="W7" i="33"/>
  <c r="E48" i="33"/>
  <c r="R49" i="33"/>
  <c r="B3" i="46"/>
  <c r="D4" i="46"/>
  <c r="B4" i="46"/>
  <c r="C7" i="59"/>
  <c r="D8" i="59"/>
  <c r="E43" i="35"/>
  <c r="F43" i="35" s="1"/>
  <c r="E42" i="35"/>
  <c r="F42" i="35" s="1"/>
  <c r="I43" i="35"/>
  <c r="J43" i="35" s="1"/>
  <c r="C22" i="43" l="1"/>
  <c r="C21" i="43" s="1"/>
  <c r="C28" i="43" s="1"/>
  <c r="C30" i="43" s="1"/>
  <c r="C32" i="43" s="1"/>
  <c r="B2" i="43" s="1"/>
  <c r="C19" i="15"/>
  <c r="C21" i="44"/>
  <c r="C22" i="44" s="1"/>
  <c r="C28" i="44" s="1"/>
  <c r="C20" i="15"/>
  <c r="C23" i="15" s="1"/>
  <c r="C6" i="59"/>
  <c r="D7" i="59"/>
  <c r="C49" i="33"/>
  <c r="B3" i="33" s="1"/>
  <c r="B2" i="33" s="1"/>
  <c r="C48" i="33"/>
  <c r="I53" i="39"/>
  <c r="J53" i="39" s="1"/>
  <c r="G53" i="39"/>
  <c r="H53" i="39" s="1"/>
  <c r="G54" i="39"/>
  <c r="H54" i="39" s="1"/>
  <c r="R50" i="39"/>
  <c r="E49" i="39"/>
  <c r="E49" i="40"/>
  <c r="F49" i="40" s="1"/>
  <c r="E48" i="40"/>
  <c r="F48" i="40" s="1"/>
  <c r="G52" i="33"/>
  <c r="H52" i="33" s="1"/>
  <c r="G53" i="33"/>
  <c r="H53" i="33" s="1"/>
  <c r="M59" i="34"/>
  <c r="B3" i="67"/>
  <c r="B4" i="67"/>
  <c r="E52" i="33"/>
  <c r="F52" i="33" s="1"/>
  <c r="E53" i="33"/>
  <c r="F53" i="33" s="1"/>
  <c r="I52" i="33"/>
  <c r="J52" i="33" s="1"/>
  <c r="I53" i="33"/>
  <c r="J53" i="33" s="1"/>
  <c r="C44" i="40"/>
  <c r="C45" i="40"/>
  <c r="G48" i="40"/>
  <c r="H48" i="40" s="1"/>
  <c r="G49" i="40"/>
  <c r="H49" i="40" s="1"/>
  <c r="C26" i="15" l="1"/>
  <c r="C29" i="15" s="1"/>
  <c r="C25" i="44"/>
  <c r="C31" i="44" s="1"/>
  <c r="E54" i="39"/>
  <c r="F54" i="39" s="1"/>
  <c r="E53" i="39"/>
  <c r="F53" i="39" s="1"/>
  <c r="B55" i="40"/>
  <c r="F55" i="40" s="1"/>
  <c r="B56" i="40"/>
  <c r="F56" i="40" s="1"/>
  <c r="B59" i="40"/>
  <c r="F59" i="40" s="1"/>
  <c r="B53" i="40"/>
  <c r="F53" i="40" s="1"/>
  <c r="B60" i="40"/>
  <c r="F60" i="40" s="1"/>
  <c r="B54" i="40"/>
  <c r="F54" i="40" s="1"/>
  <c r="B57" i="40"/>
  <c r="F57" i="40" s="1"/>
  <c r="B61" i="40"/>
  <c r="F61" i="40" s="1"/>
  <c r="B62" i="40"/>
  <c r="F62" i="40" s="1"/>
  <c r="F63" i="40"/>
  <c r="B2" i="40" s="1"/>
  <c r="B58" i="40"/>
  <c r="F58" i="40" s="1"/>
  <c r="B4" i="43"/>
  <c r="B5" i="43"/>
  <c r="B3" i="43"/>
  <c r="N59" i="34"/>
  <c r="O59" i="34" s="1"/>
  <c r="J7" i="34" s="1"/>
  <c r="F7" i="34"/>
  <c r="H7" i="34"/>
  <c r="C50" i="39"/>
  <c r="C49" i="39"/>
  <c r="I54" i="39"/>
  <c r="J54" i="39" s="1"/>
  <c r="T6" i="59"/>
  <c r="C5" i="59"/>
  <c r="D6" i="59"/>
  <c r="D5" i="59" l="1"/>
  <c r="M20" i="46"/>
  <c r="B58" i="39"/>
  <c r="F58" i="39" s="1"/>
  <c r="B59" i="39"/>
  <c r="F59" i="39" s="1"/>
  <c r="B61" i="39"/>
  <c r="F61" i="39" s="1"/>
  <c r="B63" i="39"/>
  <c r="F63" i="39" s="1"/>
  <c r="B65" i="39"/>
  <c r="F65" i="39" s="1"/>
  <c r="B67" i="39"/>
  <c r="F67" i="39" s="1"/>
  <c r="B64" i="39"/>
  <c r="F64" i="39" s="1"/>
  <c r="B66" i="39"/>
  <c r="F66" i="39" s="1"/>
  <c r="B60" i="39"/>
  <c r="F60" i="39" s="1"/>
  <c r="B62" i="39"/>
  <c r="F62" i="39" s="1"/>
  <c r="S7" i="34"/>
  <c r="AA7" i="34"/>
  <c r="R49" i="34" s="1"/>
  <c r="B4" i="40"/>
  <c r="B3" i="40"/>
  <c r="B5" i="40"/>
  <c r="C36" i="15"/>
  <c r="C13" i="15"/>
  <c r="Q50" i="15"/>
  <c r="J14" i="15"/>
  <c r="C56" i="15"/>
  <c r="C63" i="15" s="1"/>
  <c r="J19" i="15"/>
  <c r="J17" i="15" s="1"/>
  <c r="J59" i="15"/>
  <c r="J60" i="15" s="1"/>
  <c r="Q49" i="15" s="1"/>
  <c r="AB7" i="34"/>
  <c r="T49" i="34" s="1"/>
  <c r="G49" i="34" s="1"/>
  <c r="U7" i="34"/>
  <c r="W7" i="34"/>
  <c r="AC7" i="34"/>
  <c r="V49" i="34" s="1"/>
  <c r="I49" i="34" s="1"/>
  <c r="C15" i="44"/>
  <c r="Q51" i="44"/>
  <c r="C35" i="44"/>
  <c r="C33" i="44" s="1"/>
  <c r="C38" i="44"/>
  <c r="J21" i="44"/>
  <c r="J19" i="44" s="1"/>
  <c r="J16" i="44"/>
  <c r="E49" i="34" l="1"/>
  <c r="R50" i="34"/>
  <c r="J24" i="44"/>
  <c r="J15" i="44"/>
  <c r="J25" i="44" s="1"/>
  <c r="I54" i="34"/>
  <c r="J54" i="34" s="1"/>
  <c r="I53" i="34"/>
  <c r="J53" i="34" s="1"/>
  <c r="Q72" i="44"/>
  <c r="C39" i="44"/>
  <c r="C32" i="44" s="1"/>
  <c r="C42" i="44" s="1"/>
  <c r="C43" i="44"/>
  <c r="G54" i="34"/>
  <c r="H54" i="34" s="1"/>
  <c r="G53" i="34"/>
  <c r="H53" i="34" s="1"/>
  <c r="J22" i="15"/>
  <c r="J13" i="15"/>
  <c r="J23" i="15" s="1"/>
  <c r="C37" i="15"/>
  <c r="C30" i="15" s="1"/>
  <c r="C39" i="15" s="1"/>
  <c r="J35" i="15"/>
  <c r="C55" i="15"/>
  <c r="C64" i="15" s="1"/>
  <c r="C57" i="15" s="1"/>
  <c r="C66" i="15" s="1"/>
  <c r="C67" i="15" s="1"/>
  <c r="Q71" i="15"/>
  <c r="F68" i="39"/>
  <c r="B2" i="39" s="1"/>
  <c r="D19" i="9"/>
  <c r="J18" i="44" l="1"/>
  <c r="J27" i="44" s="1"/>
  <c r="J16" i="15"/>
  <c r="J25" i="15" s="1"/>
  <c r="L44" i="9"/>
  <c r="C40" i="15"/>
  <c r="C46" i="15" s="1"/>
  <c r="Q70" i="15"/>
  <c r="Q69" i="15" s="1"/>
  <c r="Q71" i="44"/>
  <c r="Q70" i="44" s="1"/>
  <c r="C44" i="44"/>
  <c r="C45" i="44" s="1"/>
  <c r="C70" i="15"/>
  <c r="B4" i="39"/>
  <c r="B5" i="39"/>
  <c r="B3" i="39"/>
  <c r="J39" i="15"/>
  <c r="J40" i="15" s="1"/>
  <c r="C50" i="34"/>
  <c r="B3" i="34" s="1"/>
  <c r="B2" i="34" s="1"/>
  <c r="C49" i="34"/>
  <c r="E54" i="34"/>
  <c r="F54" i="34" s="1"/>
  <c r="E53" i="34"/>
  <c r="F53" i="34" s="1"/>
  <c r="L51" i="15"/>
  <c r="D21" i="9"/>
  <c r="D20" i="9"/>
  <c r="Q68" i="15" l="1"/>
  <c r="B2" i="44"/>
  <c r="L52" i="44"/>
  <c r="B2" i="15"/>
  <c r="Q57" i="15"/>
  <c r="Q63" i="15" s="1"/>
  <c r="C43" i="15"/>
  <c r="Q48" i="15"/>
  <c r="Q54" i="15" s="1"/>
  <c r="Q66" i="15"/>
  <c r="Q76" i="15" s="1"/>
  <c r="J42" i="15"/>
  <c r="J43" i="15" s="1"/>
  <c r="D10" i="12" l="1"/>
  <c r="B3" i="15"/>
  <c r="D8" i="12" s="1"/>
  <c r="B3" i="44"/>
  <c r="B4" i="44"/>
  <c r="B5" i="44"/>
  <c r="Q69" i="44"/>
  <c r="L58" i="44"/>
  <c r="L61" i="44" s="1"/>
  <c r="Q68" i="44" l="1"/>
  <c r="Q77" i="44" s="1"/>
  <c r="Q59" i="44"/>
  <c r="Q64" i="44" s="1"/>
  <c r="L8" i="12"/>
  <c r="C6" i="12"/>
  <c r="C29" i="12" l="1"/>
  <c r="C24" i="12"/>
  <c r="C35" i="12" l="1"/>
  <c r="C33" i="12" s="1"/>
  <c r="C28" i="12"/>
  <c r="C26" i="12" s="1"/>
  <c r="C31" i="12" s="1"/>
  <c r="C30" i="12" s="1"/>
  <c r="C36" i="12" l="1"/>
  <c r="B2" i="12" s="1"/>
  <c r="B3" i="12" s="1"/>
  <c r="C19" i="9"/>
  <c r="C20" i="9"/>
  <c r="B5" i="12" l="1"/>
  <c r="G19" i="9"/>
  <c r="C32" i="9" s="1"/>
  <c r="D22" i="9"/>
  <c r="L43" i="9"/>
  <c r="B4" i="12"/>
  <c r="G20" i="9"/>
  <c r="C21" i="9"/>
  <c r="G22" i="9" l="1"/>
  <c r="N43" i="9"/>
  <c r="G21" i="9"/>
  <c r="C42" i="9"/>
  <c r="C35" i="9"/>
  <c r="F42" i="9" s="1"/>
  <c r="O38" i="9"/>
  <c r="O43" i="9"/>
  <c r="C33" i="9"/>
  <c r="C34" i="9"/>
  <c r="E42" i="9" l="1"/>
  <c r="P5" i="54" s="1"/>
  <c r="B46" i="63" s="1"/>
  <c r="M38" i="9"/>
  <c r="K27" i="9" s="1"/>
  <c r="N38" i="9"/>
  <c r="K28" i="9" s="1"/>
  <c r="D42" i="9"/>
  <c r="Q5" i="54" s="1"/>
  <c r="B47" i="63" s="1"/>
  <c r="K25" i="9"/>
  <c r="K26" i="9"/>
  <c r="D14" i="66"/>
  <c r="C44" i="9"/>
  <c r="R5" i="54"/>
  <c r="B48" i="63" s="1"/>
  <c r="N68" i="9"/>
  <c r="D63" i="9"/>
  <c r="D44" i="9" l="1"/>
  <c r="N69" i="9"/>
  <c r="F44" i="9"/>
  <c r="O39" i="9"/>
  <c r="G14" i="66"/>
  <c r="B6" i="66" s="1"/>
  <c r="E44" i="9"/>
  <c r="C82" i="9"/>
  <c r="C81" i="9" s="1"/>
  <c r="C85" i="9" s="1"/>
  <c r="C86" i="9" s="1"/>
  <c r="D72" i="9" s="1"/>
  <c r="C96" i="9"/>
  <c r="C91" i="9" s="1"/>
  <c r="C103" i="9"/>
  <c r="D77" i="9"/>
  <c r="N75" i="9" s="1"/>
  <c r="D70" i="9"/>
  <c r="C90" i="9"/>
  <c r="C97" i="9" s="1"/>
  <c r="C111" i="9"/>
  <c r="C104" i="9" s="1"/>
  <c r="D71" i="9"/>
  <c r="D66" i="9" s="1"/>
  <c r="N72" i="9" s="1"/>
  <c r="F14" i="66"/>
  <c r="E14" i="66"/>
  <c r="B5" i="66"/>
  <c r="C98" i="9" l="1"/>
  <c r="E98" i="9" s="1"/>
  <c r="E99" i="9" s="1"/>
  <c r="K29" i="9"/>
  <c r="K30" i="9" s="1"/>
  <c r="R6" i="54"/>
  <c r="B50" i="63" s="1"/>
  <c r="M83" i="9"/>
  <c r="N83" i="9" s="1"/>
  <c r="M84" i="9"/>
  <c r="N84" i="9" s="1"/>
  <c r="M85" i="9"/>
  <c r="N85" i="9" s="1"/>
  <c r="M86" i="9"/>
  <c r="N86" i="9" s="1"/>
  <c r="M87" i="9"/>
  <c r="N87" i="9" s="1"/>
  <c r="M88" i="9"/>
  <c r="N88" i="9" s="1"/>
  <c r="D5" i="66"/>
  <c r="C5" i="66"/>
  <c r="C113" i="9"/>
  <c r="D6" i="66"/>
  <c r="C6" i="66"/>
  <c r="C99" i="9" l="1"/>
  <c r="N89" i="9"/>
  <c r="O89" i="9" s="1"/>
  <c r="C114" i="9"/>
  <c r="E114" i="9" s="1"/>
  <c r="E115" i="9" s="1"/>
  <c r="C115" i="9" l="1"/>
  <c r="D76" i="9" s="1"/>
  <c r="D74" i="9" s="1"/>
  <c r="N74" i="9" s="1"/>
  <c r="O77" i="9" s="1"/>
  <c r="Q77" i="9" l="1"/>
  <c r="O78" i="9"/>
  <c r="O79" i="9"/>
  <c r="O81" i="9" l="1"/>
  <c r="O8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<sst xmlns="http://schemas.openxmlformats.org/spreadsheetml/2006/main" count="7001" uniqueCount="3094">
  <si>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</si>
  <si>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</si>
  <si>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</si>
  <si>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</si>
  <si>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</si>
  <si>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</si>
  <si>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</si>
  <si>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</si>
  <si>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</si>
  <si>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</si>
  <si>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</si>
  <si>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</si>
  <si>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</si>
  <si>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</si>
  <si>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</si>
  <si>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</si>
  <si>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</si>
  <si>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</si>
  <si>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</si>
  <si>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</si>
  <si>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</si>
  <si>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</si>
  <si>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</si>
  <si>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</si>
  <si>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</si>
  <si>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</si>
  <si>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</si>
  <si>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</si>
  <si>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</si>
  <si>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</si>
  <si>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</si>
  <si>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</si>
  <si>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</si>
  <si>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</si>
  <si>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</si>
  <si>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</si>
  <si>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</si>
  <si>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</si>
  <si>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</si>
  <si>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</si>
  <si>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</si>
  <si>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</si>
  <si>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</si>
  <si>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</si>
  <si>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</si>
  <si>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</si>
  <si>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</si>
  <si>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</si>
  <si>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</si>
  <si>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</si>
  <si>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</si>
  <si>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</si>
  <si>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</si>
  <si>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</si>
  <si>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</si>
  <si>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</si>
  <si>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</si>
  <si>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</si>
  <si>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</si>
  <si>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</si>
  <si>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</si>
  <si>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</si>
  <si>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</si>
  <si>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</si>
  <si>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</si>
  <si>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</si>
  <si>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</si>
  <si>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</si>
  <si>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</si>
  <si>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</si>
  <si>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</si>
  <si>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</si>
  <si>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</si>
  <si>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</si>
  <si>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</si>
  <si>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</si>
  <si>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</si>
  <si>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</si>
  <si>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</si>
  <si>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</si>
  <si>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</si>
  <si>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</si>
  <si>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</si>
  <si>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</si>
  <si>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</si>
  <si>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</si>
  <si>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</si>
  <si>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</si>
  <si>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</si>
  <si>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</si>
  <si>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</si>
  <si>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</si>
  <si>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</si>
  <si>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</si>
  <si>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</si>
  <si>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</si>
  <si>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</si>
  <si>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</si>
  <si>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</si>
  <si>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</si>
  <si>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</si>
  <si>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</si>
  <si>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</si>
  <si>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</si>
  <si>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</si>
  <si>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</si>
  <si>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</si>
  <si>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</si>
  <si>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</si>
  <si>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</si>
  <si>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</si>
  <si>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</si>
  <si>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</si>
  <si>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</si>
  <si>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</si>
  <si>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</si>
  <si>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</si>
  <si>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</si>
  <si>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</si>
  <si>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</si>
  <si>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</si>
  <si>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</si>
  <si>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</si>
  <si>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</si>
  <si>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</si>
  <si>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</si>
  <si>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</si>
  <si>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</si>
  <si>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</si>
  <si>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</si>
  <si>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</si>
  <si>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</si>
  <si>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</si>
  <si>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</si>
  <si>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</si>
  <si>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</si>
  <si>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</si>
  <si>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</si>
  <si>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</si>
  <si>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</si>
  <si>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</si>
  <si>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</si>
  <si>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</si>
  <si>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</si>
  <si>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</si>
  <si>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</si>
  <si>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</si>
  <si>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</si>
  <si>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</si>
  <si>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</si>
  <si>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</si>
  <si>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</si>
  <si>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</si>
  <si>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</si>
  <si>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</si>
  <si>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</si>
  <si>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</si>
  <si>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</si>
  <si>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</si>
  <si>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</si>
  <si>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</si>
  <si>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</si>
  <si>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</si>
  <si>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</si>
  <si>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</si>
  <si>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</si>
  <si>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</si>
  <si>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</si>
  <si>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</si>
  <si>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</si>
  <si>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</si>
  <si>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</si>
  <si>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</si>
  <si>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</si>
  <si>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</si>
  <si>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</si>
  <si>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</si>
  <si>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</si>
  <si>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</si>
  <si>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</si>
  <si>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</si>
  <si>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</si>
  <si>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</si>
  <si>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</si>
  <si>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</si>
  <si>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</si>
  <si>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</si>
  <si>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</si>
  <si>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</si>
  <si>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</si>
  <si>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</si>
  <si>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</si>
  <si>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</si>
  <si>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</si>
  <si>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</si>
  <si>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</si>
  <si>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</si>
  <si>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</si>
  <si>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</si>
  <si>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</si>
  <si>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</si>
  <si>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</si>
  <si>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</si>
  <si>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</si>
  <si>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</si>
  <si>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</si>
  <si>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</si>
  <si>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</si>
  <si>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</si>
  <si>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</si>
  <si>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</si>
  <si>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</si>
  <si>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</si>
  <si>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</si>
  <si>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</si>
  <si>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</si>
  <si>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</si>
  <si>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</si>
  <si>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</si>
  <si>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</si>
  <si>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</si>
  <si>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</si>
  <si>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</si>
  <si>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</si>
  <si>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</si>
  <si>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</si>
  <si>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</si>
  <si>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</si>
  <si>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</si>
  <si>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</si>
  <si>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</si>
  <si>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</si>
  <si>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</si>
  <si>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</si>
  <si>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</si>
  <si>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</si>
  <si>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</si>
  <si>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</si>
  <si>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</si>
  <si>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</si>
  <si>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</si>
  <si>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</si>
  <si>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</si>
  <si>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</si>
  <si>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</si>
  <si>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</si>
  <si>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</si>
  <si>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</si>
  <si>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</si>
  <si>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</si>
  <si>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</si>
  <si>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</si>
  <si>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</si>
  <si>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</si>
  <si>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</si>
  <si>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</si>
  <si>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</si>
  <si>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</si>
  <si>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</si>
  <si>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</si>
  <si>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</si>
  <si>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</si>
  <si>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</si>
  <si>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</si>
  <si>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</si>
  <si>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</si>
  <si>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</si>
  <si>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</si>
  <si>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</si>
  <si>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</si>
  <si>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</si>
  <si>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</si>
  <si>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</si>
  <si>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</si>
  <si>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</si>
  <si>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</si>
  <si>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</si>
  <si>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</si>
  <si>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</si>
  <si>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</si>
  <si>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</si>
  <si>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</si>
  <si>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</si>
  <si>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</si>
  <si>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</si>
  <si>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</si>
  <si>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</si>
  <si>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</si>
  <si>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</si>
  <si>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</si>
  <si>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</si>
  <si>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</si>
  <si>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</si>
  <si>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</si>
  <si>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</si>
  <si>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</si>
  <si>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</si>
  <si>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</si>
  <si>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</si>
  <si>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</si>
  <si>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</si>
  <si>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</si>
  <si>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</si>
  <si>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</si>
  <si>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</si>
  <si>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</si>
  <si>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</si>
  <si>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</si>
  <si>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</si>
  <si>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</si>
  <si>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</si>
  <si>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</si>
  <si>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</si>
  <si>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</si>
  <si>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</si>
  <si>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</si>
  <si>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</si>
  <si>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</si>
  <si>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</si>
  <si>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</si>
  <si>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</si>
  <si>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</si>
  <si>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</si>
  <si>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</si>
  <si>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</si>
  <si>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</si>
  <si>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</si>
  <si>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</si>
  <si>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</si>
  <si>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</si>
  <si>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</si>
  <si>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</si>
  <si>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</si>
  <si>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</si>
  <si>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</si>
  <si>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</si>
  <si>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</si>
  <si>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</si>
  <si>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</si>
  <si>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</si>
  <si>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</si>
  <si>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</si>
  <si>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</si>
  <si>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</si>
  <si>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</si>
  <si>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</si>
  <si>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</si>
  <si>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</si>
  <si>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</si>
  <si>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</si>
  <si>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</si>
  <si>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</si>
  <si>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</si>
  <si>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</si>
  <si>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</si>
  <si>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</si>
  <si>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</si>
  <si>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</si>
  <si>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</si>
  <si>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</si>
  <si>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</si>
  <si>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</si>
  <si>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</si>
  <si>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</si>
  <si>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</si>
  <si>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</si>
  <si>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</si>
  <si>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</si>
  <si>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</si>
  <si>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</si>
  <si>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</si>
  <si>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</si>
  <si>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</si>
  <si>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</si>
  <si>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</si>
  <si>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</si>
  <si>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</si>
  <si>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</si>
  <si>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</si>
  <si>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</si>
  <si>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</si>
  <si>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</si>
  <si>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</si>
  <si>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</si>
  <si>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</si>
  <si>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</si>
  <si>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</si>
  <si>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</si>
  <si>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</si>
  <si>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</si>
  <si>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</si>
  <si>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</si>
  <si>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</si>
  <si>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</si>
  <si>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</si>
  <si>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</si>
  <si>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</si>
  <si>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</si>
  <si>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</si>
  <si>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</si>
  <si>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</si>
  <si>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</si>
  <si>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</si>
  <si>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</si>
  <si>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</si>
  <si>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</si>
  <si>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</si>
  <si>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</si>
  <si>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</si>
  <si>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</si>
  <si>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</si>
  <si>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</si>
  <si>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</si>
  <si>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</si>
  <si>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</si>
  <si>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</si>
  <si>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</si>
  <si>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</si>
  <si>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</si>
  <si>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</si>
  <si>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</si>
  <si>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</si>
  <si>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</si>
  <si>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</si>
  <si>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</si>
  <si>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</si>
  <si>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</si>
  <si>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</si>
  <si>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</si>
  <si>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</si>
  <si>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</si>
  <si>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</si>
  <si>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</si>
  <si>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</si>
  <si>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</si>
  <si>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</si>
  <si>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</si>
  <si>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</si>
  <si>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</si>
  <si>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</si>
  <si>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</si>
  <si>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</si>
  <si>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</si>
  <si>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</si>
  <si>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</si>
  <si>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</si>
  <si>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</si>
  <si>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</si>
  <si>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</si>
  <si>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</si>
  <si>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</si>
  <si>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</si>
  <si>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</si>
  <si>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</si>
  <si>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</si>
  <si>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</si>
  <si>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</si>
  <si>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</si>
  <si>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</si>
  <si>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</si>
  <si>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</si>
  <si>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</si>
  <si>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</si>
  <si>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</si>
  <si>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</si>
  <si>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</si>
  <si>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</si>
  <si>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</si>
  <si>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</si>
  <si>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</si>
  <si>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</si>
  <si>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</si>
  <si>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</si>
  <si>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</si>
  <si>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</si>
  <si>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</si>
  <si>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</si>
  <si>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</si>
  <si>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</si>
  <si>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</si>
  <si>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</si>
  <si>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</si>
  <si>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</si>
  <si>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</si>
  <si>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</si>
  <si>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</si>
  <si>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</si>
  <si>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</si>
  <si>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</si>
  <si>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</si>
  <si>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</si>
  <si>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</si>
  <si>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</si>
  <si>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</si>
  <si>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</si>
  <si>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</si>
  <si>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</si>
  <si>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</si>
  <si>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</si>
  <si>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</si>
  <si>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</si>
  <si>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</si>
  <si>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</si>
  <si>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</si>
  <si>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</si>
  <si>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</si>
  <si>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</si>
  <si>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</si>
  <si>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</si>
  <si>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</si>
  <si>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</si>
  <si>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</si>
  <si>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</si>
  <si>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</si>
  <si>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</si>
  <si>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</si>
  <si>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</si>
  <si>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</si>
  <si>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</si>
  <si>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</si>
  <si>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</si>
  <si>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</si>
  <si>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</si>
  <si>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</si>
  <si>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</si>
  <si>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</si>
  <si>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</si>
  <si>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</si>
  <si>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</si>
  <si>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</si>
  <si>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</si>
  <si>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</si>
  <si>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</si>
  <si>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</si>
  <si>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</si>
  <si>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</si>
  <si>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</si>
  <si>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</si>
  <si>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</si>
  <si>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</si>
  <si>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</si>
  <si>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</si>
  <si>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</si>
  <si>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</si>
  <si>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</si>
  <si>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</si>
  <si>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</si>
  <si>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</si>
  <si>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</si>
  <si>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</si>
  <si>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</si>
  <si>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</si>
  <si>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</si>
  <si>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</si>
  <si>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</si>
  <si>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</si>
  <si>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</si>
  <si>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</si>
  <si>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</si>
  <si>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</si>
  <si>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</si>
  <si>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</si>
  <si>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</si>
  <si>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</si>
  <si>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</si>
  <si>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</si>
  <si>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</si>
  <si>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</si>
  <si>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</si>
  <si>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</si>
  <si>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</si>
  <si>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</si>
  <si>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</si>
  <si>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</si>
  <si>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</si>
  <si>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</si>
  <si>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</si>
  <si>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</si>
  <si>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</si>
  <si>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</si>
  <si>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</si>
  <si>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</si>
  <si>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</si>
  <si>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</si>
  <si>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</si>
  <si>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</si>
  <si>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</si>
  <si>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</si>
  <si>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</si>
  <si>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</si>
  <si>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</si>
  <si>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</si>
  <si>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</si>
  <si>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</si>
  <si>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</si>
  <si>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</si>
  <si>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</si>
  <si>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</si>
  <si>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</si>
  <si>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</si>
  <si>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</si>
  <si>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</si>
  <si>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</si>
  <si>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</si>
  <si>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</si>
  <si>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</si>
  <si>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</si>
  <si>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</si>
  <si>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</si>
  <si>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</si>
  <si>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</si>
  <si>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</si>
  <si>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</si>
  <si>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</si>
  <si>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</si>
  <si>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</si>
  <si>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</si>
  <si>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</si>
  <si>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</si>
  <si>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</si>
  <si>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</si>
  <si>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</si>
  <si>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</si>
  <si>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</si>
  <si>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</si>
  <si>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</si>
  <si>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</si>
  <si>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</si>
  <si>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</si>
  <si>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</si>
  <si>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</si>
  <si>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</si>
  <si>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</si>
  <si>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</si>
  <si>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</si>
  <si>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</si>
  <si>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</si>
  <si>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</si>
  <si>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</si>
  <si>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</si>
  <si>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</si>
  <si>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</si>
  <si>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</si>
  <si>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</si>
  <si>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</si>
  <si>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</si>
  <si>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</si>
  <si>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</si>
  <si>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</si>
  <si>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</si>
  <si>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</si>
  <si>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</si>
  <si>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</si>
  <si>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</si>
  <si>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</si>
  <si>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</si>
  <si>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</si>
  <si>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</si>
  <si>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</si>
  <si>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</si>
  <si>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</si>
  <si>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</si>
  <si>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</si>
  <si>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</si>
  <si>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</si>
  <si>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</si>
  <si>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</si>
  <si>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</si>
  <si>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</si>
  <si>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</si>
  <si>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</si>
  <si>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</si>
  <si>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</si>
  <si>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</si>
  <si>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</si>
  <si>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</si>
  <si>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</si>
  <si>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</si>
  <si>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</si>
  <si>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</si>
  <si>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</si>
  <si>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</si>
  <si>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</si>
  <si>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</si>
  <si>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</si>
  <si>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</si>
  <si>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</si>
  <si>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</si>
  <si>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</si>
  <si>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</si>
  <si>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</si>
  <si>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</si>
  <si>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</si>
  <si>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</si>
  <si>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</si>
  <si>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</si>
  <si>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</si>
  <si>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</si>
  <si>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</si>
  <si>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</si>
  <si>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</si>
  <si>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</si>
  <si>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</si>
  <si>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</si>
  <si>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</si>
  <si>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</si>
  <si>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</si>
  <si>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</si>
  <si>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</si>
  <si>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</si>
  <si>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</si>
  <si>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</si>
  <si>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</si>
  <si>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</si>
  <si>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</si>
  <si>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</si>
  <si>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</si>
  <si>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</si>
  <si>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</si>
  <si>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</si>
  <si>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</si>
  <si>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</si>
  <si>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</si>
  <si>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</si>
  <si>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</si>
  <si>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</si>
  <si>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</si>
  <si>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</si>
  <si>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</si>
  <si>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</si>
  <si>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</si>
  <si>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</si>
  <si>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</si>
  <si>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</si>
  <si>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</si>
  <si>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</si>
  <si>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</si>
  <si>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</si>
  <si>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</si>
  <si>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</si>
  <si>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</si>
  <si>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</si>
  <si>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</si>
  <si>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</si>
  <si>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</si>
  <si>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</si>
  <si>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</si>
  <si>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</si>
  <si>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</si>
  <si>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</si>
  <si>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</si>
  <si>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</si>
  <si>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</si>
  <si>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</si>
  <si>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</si>
  <si>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</si>
  <si>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</si>
  <si>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</si>
  <si>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</si>
  <si>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</si>
  <si>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</si>
  <si>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</si>
  <si>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</si>
  <si>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</si>
  <si>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</si>
  <si>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</si>
  <si>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</si>
  <si>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</si>
  <si>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</si>
  <si>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</si>
  <si>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</si>
  <si>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</si>
  <si>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</si>
  <si>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</si>
  <si>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</si>
  <si>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</si>
  <si>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</si>
  <si>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</si>
  <si>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</si>
  <si>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</si>
  <si>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</si>
  <si>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</si>
  <si>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</si>
  <si>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</si>
  <si>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</si>
  <si>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</si>
  <si>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</si>
  <si>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</si>
  <si>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</si>
  <si>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</si>
  <si>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</si>
  <si>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</si>
  <si>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</si>
  <si>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</si>
  <si>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</si>
  <si>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</si>
  <si>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</si>
  <si>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</si>
  <si>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</si>
  <si>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</si>
  <si>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</si>
  <si>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</si>
  <si>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</si>
  <si>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</si>
  <si>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</si>
  <si>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</si>
  <si>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</si>
  <si>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</si>
  <si>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</si>
  <si>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</si>
  <si>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</si>
  <si>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</si>
  <si>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</si>
  <si>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</si>
  <si>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</si>
  <si>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</si>
  <si>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</si>
  <si>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</si>
  <si>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</si>
  <si>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</si>
  <si>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</si>
  <si>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</si>
  <si>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</si>
  <si>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</si>
  <si>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</si>
  <si>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</si>
  <si>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</si>
  <si>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</si>
  <si>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</si>
  <si>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</si>
  <si>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</si>
  <si>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</si>
  <si>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</si>
  <si>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</si>
  <si>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</si>
  <si>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</si>
  <si>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</si>
  <si>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</si>
  <si>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</si>
  <si>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</si>
  <si>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</si>
  <si>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</si>
  <si>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</si>
  <si>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</si>
  <si>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</si>
  <si>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</si>
  <si>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</si>
  <si>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</si>
  <si>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</si>
  <si>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</si>
  <si>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</si>
  <si>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</si>
  <si>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</si>
  <si>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</si>
  <si>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</si>
  <si>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</si>
  <si>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</si>
  <si>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</si>
  <si>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</si>
  <si>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</si>
  <si>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</si>
  <si>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</si>
  <si>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</si>
  <si>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</si>
  <si>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</si>
  <si>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</si>
  <si>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</si>
  <si>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</si>
  <si>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</si>
  <si>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</si>
  <si>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</si>
  <si>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</si>
  <si>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</si>
  <si>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</si>
  <si>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</si>
  <si>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</si>
  <si>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</si>
  <si>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</si>
  <si>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</si>
  <si>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</si>
  <si>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</si>
  <si>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</si>
  <si>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</si>
  <si>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</si>
  <si>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</si>
  <si>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</si>
  <si>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</si>
  <si>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</si>
  <si>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</si>
  <si>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</si>
  <si>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</si>
  <si>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</si>
  <si>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</si>
  <si>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</si>
  <si>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</si>
  <si>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</si>
  <si>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</si>
  <si>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</si>
  <si>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</si>
  <si>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</si>
  <si>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</si>
  <si>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</si>
  <si>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</si>
  <si>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</si>
  <si>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</si>
  <si>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</si>
  <si>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</si>
  <si>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</si>
  <si>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</si>
  <si>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</si>
  <si>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</si>
  <si>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</si>
  <si>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</si>
  <si>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</si>
  <si>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</si>
  <si>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</si>
  <si>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</si>
  <si>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</si>
  <si>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</si>
  <si>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</si>
  <si>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</si>
  <si>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</si>
  <si>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</si>
  <si>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</si>
  <si>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</si>
  <si>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</si>
  <si>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</si>
  <si>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</si>
  <si>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</si>
  <si>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</si>
  <si>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</si>
  <si>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</si>
  <si>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</si>
  <si>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</si>
  <si>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</si>
  <si>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</si>
  <si>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</si>
  <si>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</si>
  <si>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</si>
  <si>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</si>
  <si>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</si>
  <si>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</si>
  <si>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</si>
  <si>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</si>
  <si>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</si>
  <si>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</si>
  <si>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</si>
  <si>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</si>
  <si>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</si>
  <si>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</si>
  <si>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</si>
  <si>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</si>
  <si>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</si>
  <si>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</si>
  <si>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</si>
  <si>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</si>
  <si>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</si>
  <si>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</si>
  <si>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</si>
  <si>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</si>
  <si>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</si>
  <si>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</si>
  <si>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</si>
  <si>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</si>
  <si>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</si>
  <si>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</si>
  <si>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</si>
  <si>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</si>
  <si>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</si>
  <si>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</si>
  <si>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</si>
  <si>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</si>
  <si>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</si>
  <si>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</si>
  <si>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</si>
  <si>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</si>
  <si>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</si>
  <si>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</si>
  <si>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</si>
  <si>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</si>
  <si>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</si>
  <si>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</si>
  <si>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</si>
  <si>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</si>
  <si>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</si>
  <si>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</si>
  <si>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</si>
  <si>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</si>
  <si>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</si>
  <si>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</si>
  <si>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</si>
  <si>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</si>
  <si>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</si>
  <si>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</si>
  <si>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</si>
  <si>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</si>
  <si>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</si>
  <si>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</si>
  <si>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</si>
  <si>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</si>
  <si>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</si>
  <si>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</si>
  <si>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</si>
  <si>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</si>
  <si>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</si>
  <si>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</si>
  <si>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</si>
  <si>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</si>
  <si>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</si>
  <si>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</si>
  <si>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</si>
  <si>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</si>
  <si>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</si>
  <si>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</si>
  <si>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</si>
  <si>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</si>
  <si>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</si>
  <si>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</si>
  <si>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</si>
  <si>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</si>
  <si>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</si>
  <si>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</si>
  <si>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</si>
  <si>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</si>
  <si>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</si>
  <si>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</si>
  <si>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</si>
  <si>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</si>
  <si>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</si>
  <si>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</si>
  <si>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</si>
  <si>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</si>
  <si>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</si>
  <si>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</si>
  <si>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</si>
  <si>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</si>
  <si>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</si>
  <si>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</si>
  <si>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</si>
  <si>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</si>
  <si>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</si>
  <si>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</si>
  <si>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</si>
  <si>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</si>
  <si>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</si>
  <si>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</si>
  <si>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</si>
  <si>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</si>
  <si>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</si>
  <si>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</si>
  <si>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</si>
  <si>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</si>
  <si>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</si>
  <si>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</si>
  <si>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</si>
  <si>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</si>
  <si>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</si>
  <si>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</si>
  <si>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</si>
  <si>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</si>
  <si>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</si>
  <si>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</si>
  <si>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</si>
  <si>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</si>
  <si>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</si>
  <si>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</si>
  <si>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</si>
  <si>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</si>
  <si>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</si>
  <si>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</si>
  <si>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</si>
  <si>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</si>
  <si>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</si>
  <si>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</si>
  <si>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</si>
  <si>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</si>
  <si>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</si>
  <si>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</si>
  <si>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</si>
  <si>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</si>
  <si>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</si>
  <si>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</si>
  <si>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</si>
  <si>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</si>
  <si>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</si>
  <si>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</si>
  <si>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</si>
  <si>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</si>
  <si>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</si>
  <si>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</si>
  <si>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</si>
  <si>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</si>
  <si>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</si>
  <si>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</si>
  <si>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</si>
  <si>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</si>
  <si>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</si>
  <si>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</si>
  <si>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</si>
  <si>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</si>
  <si>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</si>
  <si>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</si>
  <si>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</si>
  <si>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</si>
  <si>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</si>
  <si>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</si>
  <si>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</si>
  <si>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</si>
  <si>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</si>
  <si>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</si>
  <si>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</si>
  <si>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</si>
  <si>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</si>
  <si>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</si>
  <si>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</si>
  <si>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</si>
  <si>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</si>
  <si>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</si>
  <si>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</si>
  <si>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</si>
  <si>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</si>
  <si>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</si>
  <si>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</si>
  <si>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</si>
  <si>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</si>
  <si>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</si>
  <si>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</si>
  <si>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</si>
  <si>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</si>
  <si>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</si>
  <si>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</si>
  <si>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</si>
  <si>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</si>
  <si>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</si>
  <si>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</si>
  <si>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</si>
  <si>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</si>
  <si>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</si>
  <si>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</si>
  <si>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</si>
  <si>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</si>
  <si>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</si>
  <si>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</si>
  <si>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</si>
  <si>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</si>
  <si>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</si>
  <si>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</si>
  <si>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</si>
  <si>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</si>
  <si>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</si>
  <si>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</si>
  <si>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</si>
  <si>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</si>
  <si>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</si>
  <si>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</si>
  <si>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</si>
  <si>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</si>
  <si>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</si>
  <si>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</si>
  <si>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</si>
  <si>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</si>
  <si>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</si>
  <si>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</si>
  <si>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</si>
  <si>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</si>
  <si>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</si>
  <si>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</si>
  <si>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</si>
  <si>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</si>
  <si>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</si>
  <si>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</si>
  <si>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</si>
  <si>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</si>
  <si>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</si>
  <si>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</si>
  <si>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</si>
  <si>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</si>
  <si>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</si>
  <si>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</si>
  <si>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</si>
  <si>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</si>
  <si>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</si>
  <si>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</si>
  <si>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</si>
  <si>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</si>
  <si>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</si>
  <si>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</si>
  <si>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</si>
  <si>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</si>
  <si>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</si>
  <si>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</si>
  <si>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</si>
  <si>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</si>
  <si>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</si>
  <si>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</si>
  <si>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</si>
  <si>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</si>
  <si>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</si>
  <si>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</si>
  <si>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</si>
  <si>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</si>
  <si>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</si>
  <si>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</si>
  <si>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</si>
  <si>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</si>
  <si>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</si>
  <si>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</si>
  <si>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</si>
  <si>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</si>
  <si>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</si>
  <si>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</si>
  <si>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</si>
  <si>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</si>
  <si>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</si>
  <si>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</si>
  <si>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</si>
  <si>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</si>
  <si>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</si>
  <si>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</si>
  <si>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</si>
  <si>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</si>
  <si>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</si>
  <si>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</si>
  <si>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</si>
  <si>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</si>
  <si>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</si>
  <si>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</si>
  <si>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</si>
  <si>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</si>
  <si>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</si>
  <si>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</si>
  <si>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</si>
  <si>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</si>
  <si>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</si>
  <si>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</si>
  <si>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</si>
  <si>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</si>
  <si>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</si>
  <si>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</si>
  <si>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</si>
  <si>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</si>
  <si>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</si>
  <si>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</si>
  <si>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</si>
  <si>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</si>
  <si>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</si>
  <si>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</si>
  <si>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</si>
  <si>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</si>
  <si>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</si>
  <si>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</si>
  <si>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</si>
  <si>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</si>
  <si>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</si>
  <si>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</si>
  <si>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</si>
  <si>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</si>
  <si>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</si>
  <si>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</si>
  <si>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</si>
  <si>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</si>
  <si>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</si>
  <si>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</si>
  <si>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</si>
  <si>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</si>
  <si>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</si>
  <si>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</si>
  <si>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</si>
  <si>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</si>
  <si>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</si>
  <si>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</si>
  <si>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</si>
  <si>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</si>
  <si>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</si>
  <si>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</si>
  <si>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</si>
  <si>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</si>
  <si>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</si>
  <si>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</si>
  <si>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</si>
  <si>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</si>
  <si>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</si>
  <si>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</si>
  <si>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</si>
  <si>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</si>
  <si>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</si>
  <si>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</si>
  <si>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</si>
  <si>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</si>
  <si>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</si>
  <si>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</si>
  <si>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</si>
  <si>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</si>
  <si>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</si>
  <si>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</si>
  <si>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</si>
  <si>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</si>
  <si>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</si>
  <si>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</si>
  <si>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</si>
  <si>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</si>
  <si>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</si>
  <si>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</si>
  <si>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</si>
  <si>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</si>
  <si>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</si>
  <si>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</si>
  <si>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</si>
  <si>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</si>
  <si>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</si>
  <si>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</si>
  <si>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</si>
  <si>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</si>
  <si>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</si>
  <si>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</si>
  <si>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</si>
  <si>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</si>
  <si>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</si>
  <si>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</si>
  <si>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</si>
  <si>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</si>
  <si>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</si>
  <si>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</si>
  <si>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</si>
  <si>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</si>
  <si>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</si>
  <si>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</si>
  <si>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</si>
  <si>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</si>
  <si>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</si>
  <si>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</si>
  <si>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</si>
  <si>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</si>
  <si>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</si>
  <si>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</si>
  <si>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</si>
  <si>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</si>
  <si>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</si>
  <si>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</si>
  <si>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</si>
  <si>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</si>
  <si>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</si>
  <si>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</si>
  <si>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</si>
  <si>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</si>
  <si>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</si>
  <si>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</si>
  <si>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</si>
  <si>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</si>
  <si>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</si>
  <si>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</si>
  <si>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</si>
  <si>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</si>
  <si>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</si>
  <si>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</si>
  <si>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</si>
  <si>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</si>
  <si>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</si>
  <si>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</si>
  <si>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</si>
  <si>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</si>
  <si>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</si>
  <si>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</si>
  <si>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</si>
  <si>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</si>
  <si>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</si>
  <si>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</si>
  <si>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</si>
  <si>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</si>
  <si>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</si>
  <si>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</si>
  <si>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</si>
  <si>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</si>
  <si>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</si>
  <si>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</si>
  <si>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</si>
  <si>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</si>
  <si>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</si>
  <si>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</si>
  <si>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</si>
  <si>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</si>
  <si>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</si>
  <si>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</si>
  <si>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</si>
  <si>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</si>
  <si>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</si>
  <si>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</si>
  <si>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</si>
  <si>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</si>
  <si>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</si>
  <si>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</si>
  <si>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</si>
  <si>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</si>
  <si>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</si>
  <si>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</si>
  <si>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</si>
  <si>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</si>
  <si>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</si>
  <si>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</si>
  <si>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</si>
  <si>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</si>
  <si>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</si>
  <si>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</si>
  <si>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</si>
  <si>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</si>
  <si>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</si>
  <si>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</si>
  <si>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</si>
  <si>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</si>
  <si>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</si>
  <si>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</si>
  <si>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</si>
  <si>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</si>
  <si>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</si>
  <si>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</si>
  <si>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</si>
  <si>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</si>
  <si>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</si>
  <si>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</si>
  <si>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</si>
  <si>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</si>
  <si>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</si>
  <si>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</si>
  <si>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</si>
  <si>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</si>
  <si>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</si>
  <si>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</si>
  <si>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</si>
  <si>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</si>
  <si>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</si>
  <si>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</si>
  <si>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</si>
  <si>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</si>
  <si>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</si>
  <si>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</si>
  <si>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</si>
  <si>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</si>
  <si>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</si>
  <si>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</si>
  <si>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</si>
  <si>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</si>
  <si>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</si>
  <si>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</si>
  <si>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</si>
  <si>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</si>
  <si>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</si>
  <si>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</si>
  <si>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</si>
  <si>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</si>
  <si>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</si>
  <si>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</si>
  <si>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</si>
  <si>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</si>
  <si>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</si>
  <si>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</si>
  <si>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</si>
  <si>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</si>
  <si>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</si>
  <si>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</si>
  <si>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</si>
  <si>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</si>
  <si>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</si>
  <si>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</si>
  <si>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</si>
  <si>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</si>
  <si>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</si>
  <si>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</si>
  <si>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</si>
  <si>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</si>
  <si>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</si>
  <si>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</si>
  <si>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</si>
  <si>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</si>
  <si>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</si>
  <si>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</si>
  <si>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</si>
  <si>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</si>
  <si>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</si>
  <si>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</si>
  <si>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</si>
  <si>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</si>
  <si>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</si>
  <si>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</si>
  <si>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</si>
  <si>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</si>
  <si>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</si>
  <si>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</si>
  <si>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</si>
  <si>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</si>
  <si>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</si>
  <si>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</si>
  <si>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</si>
  <si>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</si>
  <si>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</si>
  <si>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</si>
  <si>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</si>
  <si>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</si>
  <si>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</si>
  <si>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</si>
  <si>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</si>
  <si>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</si>
  <si>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</si>
  <si>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</si>
  <si>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</si>
  <si>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</si>
  <si>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</si>
  <si>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</si>
  <si>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</si>
  <si>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</si>
  <si>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</si>
  <si>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</si>
  <si>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</si>
  <si>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</si>
  <si>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</si>
  <si>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</si>
  <si>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</si>
  <si>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</si>
  <si>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</si>
  <si>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</si>
  <si>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</si>
  <si>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</si>
  <si>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</si>
  <si>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</si>
  <si>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</si>
  <si>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</si>
  <si>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</si>
  <si>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</si>
  <si>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</si>
  <si>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</si>
  <si>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</si>
  <si>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</si>
  <si>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</si>
  <si>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</si>
  <si>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</si>
  <si>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</si>
  <si>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</si>
  <si>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</si>
  <si>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</si>
  <si>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</si>
  <si>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</si>
  <si>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</si>
  <si>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</si>
  <si>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</si>
  <si>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</si>
  <si>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</si>
  <si>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</si>
  <si>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</si>
  <si>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</si>
  <si>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</si>
  <si>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</si>
  <si>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</si>
  <si>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</si>
  <si>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</si>
  <si>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</si>
  <si>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</si>
  <si>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</si>
  <si>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</si>
  <si>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</si>
  <si>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</si>
  <si>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</si>
  <si>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</si>
  <si>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</si>
  <si>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</si>
  <si>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</si>
  <si>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</si>
  <si>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</si>
  <si>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</si>
  <si>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</si>
  <si>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</si>
  <si>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</si>
  <si>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</si>
  <si>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</si>
  <si>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</si>
  <si>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</si>
  <si>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</si>
  <si>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</si>
  <si>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</si>
  <si>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</si>
  <si>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</si>
  <si>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</si>
  <si>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</si>
  <si>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</si>
  <si>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</si>
  <si>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</si>
  <si>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</si>
  <si>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</si>
  <si>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</si>
  <si>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</si>
  <si>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</si>
  <si>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</si>
  <si>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</si>
  <si>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</si>
  <si>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</si>
  <si>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</si>
  <si>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</si>
  <si>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</si>
  <si>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</si>
  <si>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</si>
  <si>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</si>
  <si>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</si>
  <si>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</si>
  <si>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</si>
  <si>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</si>
  <si>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</si>
  <si>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</si>
  <si>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</si>
  <si>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</si>
  <si>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</si>
  <si>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</si>
  <si>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</si>
  <si>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</si>
  <si>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</si>
  <si>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</si>
  <si>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</si>
  <si>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</si>
  <si>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</si>
  <si>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</si>
  <si>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</si>
  <si>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</si>
  <si>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</si>
  <si>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</si>
  <si>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</si>
  <si>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</si>
  <si>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</si>
  <si>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</si>
  <si>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</si>
  <si>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</si>
  <si>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</si>
  <si>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</si>
  <si>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</si>
  <si>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</si>
  <si>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</si>
  <si>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</si>
  <si>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</si>
  <si>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</si>
  <si>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</si>
  <si>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</si>
  <si>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</si>
  <si>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</si>
  <si>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</si>
  <si>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</si>
  <si>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</si>
  <si>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</si>
  <si>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</si>
  <si>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</si>
  <si>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</si>
  <si>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</si>
  <si>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</si>
  <si>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</si>
  <si>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</si>
  <si>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</si>
  <si>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</si>
  <si>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</si>
  <si>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</si>
  <si>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</si>
  <si>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</si>
  <si>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</si>
  <si>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</si>
  <si>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</si>
  <si>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</si>
  <si>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</si>
  <si>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</si>
  <si>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</si>
  <si>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</si>
  <si>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</si>
  <si>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</si>
  <si>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</si>
  <si>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</si>
  <si>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</si>
  <si>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</si>
  <si>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</si>
  <si>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</si>
  <si>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</si>
  <si>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</si>
  <si>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</si>
  <si>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</si>
  <si>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</si>
  <si>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</si>
  <si>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</si>
  <si>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</si>
  <si>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</si>
  <si>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</si>
  <si>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</si>
  <si>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</si>
  <si>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</si>
  <si>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</si>
  <si>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</si>
  <si>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</si>
  <si>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</si>
  <si>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</si>
  <si>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</si>
  <si>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</si>
  <si>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</si>
  <si>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</si>
  <si>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</si>
  <si>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</si>
  <si>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</si>
  <si>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</si>
  <si>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</si>
  <si>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</si>
  <si>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</si>
  <si>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</si>
  <si>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</si>
  <si>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</si>
  <si>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</si>
  <si>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</si>
  <si>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</si>
  <si>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</si>
  <si>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</si>
  <si>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</si>
  <si>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</si>
  <si>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</si>
  <si>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</si>
  <si>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</si>
  <si>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</si>
  <si>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</si>
  <si>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</si>
  <si>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</si>
  <si>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</si>
  <si>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</si>
  <si>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</si>
  <si>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</si>
  <si>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</si>
  <si>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</si>
  <si>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</si>
  <si>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</si>
  <si>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</si>
  <si>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</si>
  <si>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</si>
  <si>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</si>
  <si>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</si>
  <si>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</si>
  <si>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</si>
  <si>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</si>
  <si>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</si>
  <si>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</si>
  <si>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</si>
  <si>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</si>
  <si>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</si>
  <si>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</si>
  <si>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</si>
  <si>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</si>
  <si>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</si>
  <si>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</si>
  <si>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</si>
  <si>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</si>
  <si>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</si>
  <si>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</si>
  <si>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</si>
  <si>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</si>
  <si>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</si>
  <si>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</si>
  <si>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</si>
  <si>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</si>
  <si>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</si>
  <si>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</si>
  <si>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</si>
  <si>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</si>
  <si>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</si>
  <si>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</si>
  <si>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</si>
  <si>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</si>
  <si>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</si>
  <si>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</si>
  <si>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</si>
  <si>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</si>
  <si>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</si>
  <si>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</si>
  <si>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</si>
  <si>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</si>
  <si>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</si>
  <si>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</si>
  <si>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</si>
  <si>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</si>
  <si>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</si>
  <si>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</si>
  <si>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</si>
  <si>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</si>
  <si>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</si>
  <si>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</si>
  <si>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</si>
  <si>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</si>
  <si>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</si>
  <si>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</si>
  <si>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</si>
  <si>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</si>
  <si>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</si>
  <si>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</si>
  <si>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</si>
  <si>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</si>
  <si>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</si>
  <si>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</si>
  <si>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</si>
  <si>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</si>
  <si>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</si>
  <si>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</si>
  <si>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</si>
  <si>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</si>
  <si>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</si>
  <si>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</si>
  <si>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</si>
  <si>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</si>
  <si>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</si>
  <si>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</si>
  <si>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</si>
  <si>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</si>
  <si>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</si>
  <si>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</si>
  <si>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</si>
  <si>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</si>
  <si>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</si>
  <si>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</si>
  <si>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</si>
  <si>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</si>
  <si>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</si>
  <si>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</si>
  <si>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</si>
  <si>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</si>
  <si>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</si>
  <si>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</si>
  <si>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</si>
  <si>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</si>
  <si>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</si>
  <si>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</si>
  <si>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</si>
  <si>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</si>
  <si>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</si>
  <si>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</si>
  <si>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</si>
  <si>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</si>
  <si>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</si>
  <si>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</si>
  <si>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</si>
  <si>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</si>
  <si>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</si>
  <si>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</si>
  <si>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</si>
  <si>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</si>
  <si>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</si>
  <si>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</si>
  <si>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</si>
  <si>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</si>
  <si>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</si>
  <si>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</si>
  <si>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</si>
  <si>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</si>
  <si>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</si>
  <si>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</si>
  <si>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</si>
  <si>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</si>
  <si>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</si>
  <si>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</si>
  <si>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</si>
  <si>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</si>
  <si>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</si>
  <si>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</si>
  <si>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</si>
  <si>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</si>
  <si>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</si>
  <si>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</si>
  <si>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</si>
  <si>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</si>
  <si>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</si>
  <si>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</si>
  <si>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</si>
  <si>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</si>
  <si>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</si>
  <si>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</si>
  <si>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</si>
  <si>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</si>
  <si>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</si>
  <si>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</si>
  <si>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</si>
  <si>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</si>
  <si>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</si>
  <si>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</si>
  <si>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</si>
  <si>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</si>
  <si>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</si>
  <si>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</si>
  <si>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</si>
  <si>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</si>
  <si>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</si>
  <si>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</si>
  <si>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</si>
  <si>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</si>
  <si>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</si>
  <si>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</si>
  <si>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</si>
  <si>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</si>
  <si>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</si>
  <si>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</si>
  <si>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</si>
  <si>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</si>
  <si>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</si>
  <si>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</si>
  <si>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</si>
  <si>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</si>
  <si>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</si>
  <si>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</si>
  <si>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</si>
  <si>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</si>
  <si>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</si>
  <si>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</si>
  <si>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</si>
  <si>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</si>
  <si>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</si>
  <si>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</si>
  <si>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</si>
  <si>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</si>
  <si>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</si>
  <si>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</si>
  <si>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</si>
  <si>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</si>
  <si>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</si>
  <si>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</si>
  <si>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</si>
  <si>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</si>
  <si>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</si>
  <si>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</si>
  <si>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</si>
  <si>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</si>
  <si>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</si>
  <si>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</si>
  <si>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</si>
  <si>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</si>
  <si>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</si>
  <si>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</si>
  <si>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</si>
  <si>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</si>
  <si>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</si>
  <si>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</si>
  <si>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</si>
  <si>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</si>
  <si>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</si>
  <si>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</si>
  <si>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</si>
  <si>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</si>
  <si>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</si>
  <si>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</si>
  <si>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</si>
  <si>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</si>
  <si>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</si>
  <si>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</si>
  <si>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</si>
  <si>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</si>
  <si>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</si>
  <si>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</si>
  <si>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</si>
  <si>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</si>
  <si>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</si>
  <si>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</si>
  <si>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</si>
  <si>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</si>
  <si>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</si>
  <si>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</si>
  <si>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</si>
  <si>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</si>
  <si>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</si>
  <si>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</si>
  <si>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</si>
  <si>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</si>
  <si>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</si>
  <si>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</si>
  <si>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</si>
  <si>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</si>
  <si>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</si>
  <si>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</si>
  <si>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</si>
  <si>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</si>
  <si>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</si>
  <si>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</si>
  <si>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</si>
  <si>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</si>
  <si>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</si>
  <si>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</si>
  <si>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</si>
  <si>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</si>
  <si>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</si>
  <si>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</si>
  <si>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</si>
  <si>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</si>
  <si>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</si>
  <si>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</si>
  <si>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</si>
  <si>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</si>
  <si>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</si>
  <si>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</si>
  <si>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</si>
  <si>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</si>
  <si>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</si>
  <si>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</si>
  <si>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</si>
  <si>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</si>
  <si>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</si>
  <si>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</si>
  <si>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</si>
  <si>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</si>
  <si>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</si>
  <si>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</si>
  <si>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</si>
  <si>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</si>
  <si>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</si>
  <si>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</si>
  <si>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</si>
  <si>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</si>
  <si>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</si>
  <si>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</si>
  <si>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</si>
  <si>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</si>
  <si>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</si>
  <si>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</si>
  <si>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</si>
  <si>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</si>
  <si>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</si>
  <si>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</si>
  <si>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</si>
  <si>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</si>
  <si>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</si>
  <si>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</si>
  <si>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</si>
  <si>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</si>
  <si>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</si>
  <si>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</si>
  <si>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</si>
  <si>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</si>
  <si>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</si>
  <si>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</si>
  <si>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</si>
  <si>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</si>
  <si>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</si>
  <si>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</si>
  <si>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</si>
  <si>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</si>
  <si>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</si>
  <si>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</si>
  <si>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</si>
  <si>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</si>
  <si>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</si>
  <si>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</si>
  <si>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</si>
  <si>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</si>
  <si>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</si>
  <si>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</si>
  <si>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</si>
  <si>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</si>
  <si>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</si>
  <si>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</si>
  <si>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</si>
  <si>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</si>
  <si>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</si>
  <si>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</si>
  <si>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</si>
  <si>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</si>
  <si>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</si>
  <si>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</si>
  <si>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</si>
  <si>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</si>
  <si>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</si>
  <si>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</si>
  <si>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</si>
  <si>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</si>
  <si>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</si>
  <si>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</si>
  <si>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</si>
  <si>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</si>
  <si>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</si>
  <si>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</si>
  <si>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</si>
  <si>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</si>
  <si>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</si>
  <si>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</si>
  <si>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</si>
  <si>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</si>
  <si>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</si>
  <si>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</si>
  <si>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</si>
  <si>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</si>
  <si>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</si>
  <si>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</si>
  <si>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</si>
  <si>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</si>
  <si>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</si>
  <si>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</si>
  <si>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</si>
  <si>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</si>
  <si>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</si>
  <si>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</si>
  <si>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</si>
  <si>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</si>
  <si>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</si>
  <si>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</si>
  <si>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</si>
  <si>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</si>
  <si>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</si>
  <si>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</si>
  <si>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</si>
  <si>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</si>
  <si>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</si>
  <si>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</si>
  <si>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</si>
  <si>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</si>
  <si>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</si>
  <si>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</si>
  <si>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</si>
  <si>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</si>
  <si>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</si>
  <si>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</si>
  <si>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</si>
  <si>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</si>
  <si>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</si>
  <si>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</si>
  <si>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</si>
  <si>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</si>
  <si>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</si>
  <si>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</si>
  <si>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</si>
  <si>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</si>
  <si>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</si>
  <si>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</si>
  <si>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</si>
  <si>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</si>
  <si>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</si>
  <si>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</si>
  <si>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</si>
  <si>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</si>
  <si>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</si>
  <si>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</si>
  <si>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</si>
  <si>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</si>
  <si>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</si>
  <si>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</si>
  <si>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</si>
  <si>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</si>
  <si>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</si>
  <si>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</si>
  <si>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</si>
  <si>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</si>
  <si>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</si>
  <si>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</si>
  <si>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</si>
  <si>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</si>
  <si>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</si>
  <si>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</si>
  <si>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</si>
  <si>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</si>
  <si>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</si>
  <si>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</si>
  <si>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</si>
  <si>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</si>
  <si>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</si>
  <si>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</si>
  <si>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</si>
  <si>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</si>
  <si>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</si>
  <si>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</si>
  <si>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</si>
  <si>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</si>
  <si>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</si>
  <si>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</si>
  <si>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</si>
  <si>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</si>
  <si>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</si>
  <si>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</si>
  <si>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</si>
  <si>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</si>
  <si>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</si>
  <si>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</si>
  <si>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</si>
  <si>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</si>
  <si>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</si>
  <si>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</si>
  <si>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</si>
  <si>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</si>
  <si>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</si>
  <si>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</si>
  <si>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</si>
  <si>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</si>
  <si>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</si>
  <si>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</si>
  <si>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</si>
  <si>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</si>
  <si>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</si>
  <si>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</si>
  <si>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</si>
  <si>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</si>
  <si>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</si>
  <si>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</si>
  <si>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</si>
  <si>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</si>
  <si>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</si>
  <si>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</si>
  <si>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</si>
  <si>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</si>
  <si>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</si>
  <si>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</si>
  <si>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</si>
  <si>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</si>
  <si>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</si>
  <si>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</si>
  <si>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</si>
  <si>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</si>
  <si>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</si>
  <si>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</si>
  <si>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</si>
  <si>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</si>
  <si>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</si>
  <si>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</si>
  <si>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</si>
  <si>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</si>
  <si>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</si>
  <si>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</si>
  <si>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</si>
  <si>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</si>
  <si>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</si>
  <si>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</si>
  <si>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</si>
  <si>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</si>
  <si>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</si>
  <si>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</si>
  <si>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</si>
  <si>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</si>
  <si>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</si>
  <si>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</si>
  <si>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</si>
  <si>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</si>
  <si>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</si>
  <si>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</si>
  <si>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</si>
  <si>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</si>
  <si>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</si>
  <si>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</si>
  <si>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</si>
  <si>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</si>
  <si>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</si>
  <si>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</si>
  <si>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</si>
  <si>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</si>
  <si>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</si>
  <si>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</si>
  <si>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</si>
  <si>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</si>
  <si>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</si>
  <si>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</si>
  <si>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</si>
  <si>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</si>
  <si>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</si>
  <si>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</si>
  <si>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</si>
  <si>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</si>
  <si>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</si>
  <si>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</si>
  <si>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</si>
  <si>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</si>
  <si>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</si>
  <si>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</si>
  <si>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</si>
  <si>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</si>
  <si>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</si>
  <si>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</si>
  <si>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</si>
  <si>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</si>
  <si>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</si>
  <si>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</si>
  <si>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</si>
  <si>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</si>
  <si>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</si>
  <si>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</si>
  <si>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</si>
  <si>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</si>
  <si>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</si>
  <si>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</si>
  <si>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</si>
  <si>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</si>
  <si>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</si>
  <si>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</si>
  <si>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</si>
  <si>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</si>
  <si>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</si>
  <si>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</si>
  <si>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</si>
  <si>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</si>
  <si>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</si>
  <si>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</si>
  <si>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</si>
  <si>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</si>
  <si>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</si>
  <si>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</si>
  <si>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</si>
  <si>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</si>
  <si>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</si>
  <si>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</si>
  <si>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</si>
  <si>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</si>
  <si>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</si>
  <si>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</si>
  <si>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</si>
  <si>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</si>
  <si>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</si>
  <si>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</si>
  <si>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</si>
  <si>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</si>
  <si>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</si>
  <si>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</si>
  <si>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</si>
  <si>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</si>
  <si>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</si>
  <si>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</si>
  <si>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</si>
  <si>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</si>
  <si>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</si>
  <si>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</si>
  <si>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</si>
  <si>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</si>
  <si>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</si>
  <si>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</si>
  <si>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</si>
  <si>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</si>
  <si>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</si>
  <si>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</si>
  <si>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</si>
  <si>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</si>
  <si>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</si>
  <si>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</si>
  <si>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</si>
  <si>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</si>
  <si>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</si>
  <si>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</si>
  <si>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</si>
  <si>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</si>
  <si>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</si>
  <si>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</si>
  <si>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</si>
  <si>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</si>
  <si>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</si>
  <si>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</si>
  <si>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</si>
  <si>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</si>
  <si>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</si>
  <si>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</si>
  <si>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</si>
  <si>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</si>
  <si>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</si>
  <si>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</si>
  <si>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</si>
  <si>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</si>
  <si>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</si>
  <si>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</si>
  <si>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</si>
  <si>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</si>
  <si>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</si>
  <si>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</si>
  <si>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</si>
  <si>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</si>
  <si>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</si>
  <si>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</si>
  <si>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</si>
  <si>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</si>
  <si>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</si>
  <si>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</si>
  <si>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</si>
  <si>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</si>
  <si>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</si>
  <si>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</si>
  <si>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</si>
  <si>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</si>
  <si>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</si>
  <si>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</si>
  <si>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</si>
  <si>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</si>
  <si>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</si>
  <si>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</si>
  <si>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</si>
  <si>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</si>
  <si>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</si>
  <si>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</si>
  <si>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</si>
  <si>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</si>
  <si>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</si>
  <si>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</si>
  <si>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</si>
  <si>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</si>
  <si>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</si>
  <si>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</si>
  <si>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</si>
  <si>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</si>
  <si>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</si>
  <si>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</si>
  <si>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</si>
  <si>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</si>
  <si>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</si>
  <si>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</si>
  <si>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</si>
  <si>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</si>
  <si>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</si>
  <si>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</si>
  <si>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</si>
  <si>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</si>
  <si>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</si>
  <si>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</si>
  <si>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</si>
  <si>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</si>
  <si>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</si>
  <si>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</si>
  <si>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</si>
  <si>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</si>
  <si>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</si>
  <si>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</si>
  <si>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</si>
  <si>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</si>
  <si>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</si>
  <si>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</si>
  <si>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</si>
  <si>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</si>
  <si>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</si>
  <si>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</si>
  <si>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</si>
  <si>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</si>
  <si>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</si>
  <si>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</si>
  <si>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</si>
  <si>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</si>
  <si>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</si>
  <si>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</si>
  <si>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</si>
  <si>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</si>
  <si>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</si>
  <si>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</si>
  <si>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</si>
  <si>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</si>
  <si>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</si>
  <si>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</si>
  <si>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</si>
  <si>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</si>
  <si>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</si>
  <si>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</si>
  <si>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</si>
  <si>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</si>
  <si>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</si>
  <si>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</si>
  <si>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</si>
  <si>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</si>
  <si>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</si>
  <si>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</si>
  <si>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</si>
  <si>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</si>
  <si>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</si>
  <si>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</si>
  <si>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</si>
  <si>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</si>
  <si>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</si>
  <si>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</si>
  <si>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</si>
  <si>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</si>
  <si>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</si>
  <si>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</si>
  <si>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</si>
  <si>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</si>
  <si>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</si>
  <si>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</si>
  <si>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</si>
  <si>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</si>
  <si>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</si>
  <si>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</si>
  <si>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</si>
  <si>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</si>
  <si>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</si>
  <si>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</si>
  <si>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</si>
  <si>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</si>
  <si>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</si>
  <si>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</si>
  <si>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</si>
  <si>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</si>
  <si>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</si>
  <si>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</si>
  <si>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</si>
  <si>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</si>
  <si>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</si>
  <si>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</si>
  <si>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</si>
  <si>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</si>
  <si>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</si>
  <si>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</si>
  <si>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</si>
  <si>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</si>
  <si>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</si>
  <si>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</si>
  <si>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</si>
  <si>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</si>
  <si>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</si>
  <si>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</si>
  <si>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</si>
  <si>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</si>
  <si>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</si>
  <si>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</si>
  <si>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</si>
  <si>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</si>
  <si>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</si>
  <si>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</si>
  <si>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</si>
  <si>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</si>
  <si>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</si>
  <si>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</si>
  <si>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</si>
  <si>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</si>
  <si>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</si>
  <si>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</si>
  <si>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</si>
  <si>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</si>
  <si>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</si>
  <si>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</si>
  <si>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</si>
  <si>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</si>
  <si>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</si>
  <si>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</si>
  <si>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</si>
  <si>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</si>
  <si>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</si>
  <si>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</si>
  <si>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</si>
  <si>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</si>
  <si>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</si>
  <si>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</si>
  <si>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</si>
  <si>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</si>
  <si>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</si>
  <si>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</si>
  <si>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</si>
  <si>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</si>
  <si>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</si>
  <si>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</si>
  <si>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</si>
  <si>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</si>
  <si>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</si>
  <si>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</si>
  <si>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</si>
  <si>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</si>
  <si>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</si>
  <si>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</si>
  <si>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</si>
  <si>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</si>
  <si>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</si>
  <si>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</si>
  <si>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</si>
  <si>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</si>
  <si>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</si>
  <si>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</si>
  <si>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</si>
  <si>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</si>
  <si>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</si>
  <si>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</si>
  <si>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</si>
  <si>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</si>
  <si>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</si>
  <si>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</si>
  <si>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</si>
  <si>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</si>
  <si>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</si>
  <si>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</si>
  <si>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</si>
  <si>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</si>
  <si>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</si>
  <si>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</si>
  <si>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</si>
  <si>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</si>
  <si>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</si>
  <si>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</si>
  <si>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</si>
  <si>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</si>
  <si>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</si>
  <si>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</si>
  <si>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</si>
  <si>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</si>
  <si>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</si>
  <si>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</si>
  <si>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</si>
  <si>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</si>
  <si>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</si>
  <si>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</si>
  <si>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</si>
  <si>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</si>
  <si>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</si>
  <si>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</si>
  <si>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</si>
  <si>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</si>
  <si>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</si>
  <si>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</si>
  <si>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</si>
  <si>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</si>
  <si>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</si>
  <si>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</si>
  <si>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</si>
  <si>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</si>
  <si>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</si>
  <si>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</si>
  <si>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</si>
  <si>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</si>
  <si>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</si>
  <si>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</si>
  <si>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</si>
  <si>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</si>
  <si>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</si>
  <si>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</si>
  <si>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</si>
  <si>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</si>
  <si>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</si>
  <si>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</si>
  <si>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</si>
  <si>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</si>
  <si>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</si>
  <si>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</si>
  <si>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</si>
  <si>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</si>
  <si>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</si>
  <si>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</si>
  <si>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</si>
  <si>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</si>
  <si>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</si>
  <si>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</si>
  <si>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</si>
  <si>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</si>
  <si>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</si>
  <si>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</si>
  <si>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</si>
  <si>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</si>
  <si>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</si>
  <si>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</si>
  <si>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</si>
  <si>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</si>
  <si>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</si>
  <si>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</si>
  <si>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</si>
  <si>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</si>
  <si>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</si>
  <si>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</si>
  <si>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</si>
  <si>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</si>
  <si>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</si>
  <si>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</si>
  <si>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</si>
  <si>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</si>
  <si>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</si>
  <si>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</si>
  <si>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</si>
  <si>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</si>
  <si>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</si>
  <si>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</si>
  <si>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</si>
  <si>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</si>
  <si>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</si>
  <si>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</si>
  <si>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</si>
  <si>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</si>
  <si>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</si>
  <si>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</si>
  <si>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</si>
  <si>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</si>
  <si>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</si>
  <si>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</si>
  <si>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</si>
  <si>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</si>
  <si>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</si>
  <si>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</si>
  <si>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</si>
  <si>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</si>
  <si>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</si>
  <si>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</si>
  <si>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</si>
  <si>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</si>
  <si>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</si>
  <si>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</si>
  <si>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</si>
  <si>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</si>
  <si>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</si>
  <si>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</si>
  <si>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</si>
  <si>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</si>
  <si>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</si>
  <si>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</si>
  <si>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</si>
  <si>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</si>
  <si>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</si>
  <si>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</si>
  <si>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</si>
  <si>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</si>
  <si>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</si>
  <si>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</si>
  <si>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</si>
  <si>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</si>
  <si>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</si>
  <si>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</si>
  <si>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</si>
  <si>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</si>
  <si>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</si>
  <si>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</si>
  <si>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</si>
  <si>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</si>
  <si>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</si>
  <si>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</si>
  <si>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</si>
  <si>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</si>
  <si>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</si>
  <si>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</si>
  <si>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</si>
  <si>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</si>
  <si>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</si>
  <si>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</si>
  <si>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</si>
  <si>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</si>
  <si>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</si>
  <si>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</si>
  <si>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</si>
  <si>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</si>
  <si>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</si>
  <si>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</si>
  <si>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</si>
  <si>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</si>
  <si>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</si>
  <si>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</si>
  <si>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</si>
  <si>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</si>
  <si>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</si>
  <si>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</si>
  <si>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</si>
  <si>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</si>
  <si>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</si>
  <si>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</si>
  <si>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</si>
  <si>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</si>
  <si>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</si>
  <si>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</si>
  <si>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</si>
  <si>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</si>
  <si>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</si>
  <si>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</si>
  <si>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</si>
  <si>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</si>
  <si>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</si>
  <si>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</si>
  <si>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</si>
  <si>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</si>
  <si>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</si>
  <si>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</si>
  <si>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</si>
  <si>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</si>
  <si>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</si>
  <si>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</si>
  <si>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</si>
  <si>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</si>
  <si>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</si>
  <si>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</si>
  <si>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</si>
  <si>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</si>
  <si>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</si>
  <si>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</si>
  <si>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</si>
  <si>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</si>
  <si>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</si>
  <si>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</si>
  <si>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</si>
  <si>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</si>
  <si>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</si>
  <si>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</si>
  <si>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</si>
  <si>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</si>
  <si>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</si>
  <si>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</si>
  <si>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</si>
  <si>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</si>
  <si>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</si>
  <si>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</si>
  <si>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</si>
  <si>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</si>
  <si>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</si>
  <si>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</si>
  <si>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</si>
  <si>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</si>
  <si>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</si>
  <si>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</si>
  <si>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</si>
  <si>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</si>
  <si>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</si>
  <si>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</si>
  <si>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</si>
  <si>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</si>
  <si>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</si>
  <si>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</si>
  <si>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</si>
  <si>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</si>
  <si>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</si>
  <si>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</si>
  <si>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</si>
  <si>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</si>
  <si>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</si>
  <si>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</si>
  <si>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</si>
  <si>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</si>
  <si>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</si>
  <si>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</si>
  <si>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</si>
  <si>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</si>
  <si>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</si>
  <si>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</si>
  <si>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</si>
  <si>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</si>
  <si>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</si>
  <si>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</si>
  <si>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</si>
  <si>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</si>
  <si>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</si>
  <si>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</si>
  <si>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</si>
  <si>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</si>
  <si>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</si>
  <si>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</si>
  <si>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</si>
  <si>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</si>
  <si>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</si>
  <si>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</si>
  <si>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</si>
  <si>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</si>
  <si>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</si>
  <si>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</si>
  <si>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</si>
  <si>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</si>
  <si>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</si>
  <si>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</si>
  <si>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</si>
  <si>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</si>
  <si>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</si>
  <si>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</si>
  <si>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</si>
  <si>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</si>
  <si>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</si>
  <si>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</si>
  <si>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</si>
  <si>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</si>
  <si>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</si>
  <si>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</si>
  <si>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</si>
  <si>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</si>
  <si>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</si>
  <si>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</si>
  <si>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</si>
  <si>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</si>
  <si>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</si>
  <si>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</si>
  <si>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</si>
  <si>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</si>
  <si>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</si>
  <si>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</si>
  <si>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</si>
  <si>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</si>
  <si>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</si>
  <si>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</si>
  <si>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</si>
  <si>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</si>
  <si>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</si>
  <si>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</si>
  <si>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</si>
  <si>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</si>
  <si>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</si>
  <si>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</si>
  <si>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</si>
  <si>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</si>
  <si>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</si>
  <si>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</si>
  <si>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</si>
  <si>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</si>
  <si>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</si>
  <si>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</si>
  <si>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</si>
  <si>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</si>
  <si>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</si>
  <si>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</si>
  <si>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</si>
  <si>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</si>
  <si>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</si>
  <si>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</si>
  <si>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</si>
  <si>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</si>
  <si>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</si>
  <si>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</si>
  <si>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</si>
  <si>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</si>
  <si>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</si>
  <si>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</si>
  <si>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</si>
  <si>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</si>
  <si>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</si>
  <si>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</si>
  <si>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</si>
  <si>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</si>
  <si>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</si>
  <si>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</si>
  <si>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</si>
  <si>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</si>
  <si>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</si>
  <si>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</si>
  <si>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</si>
  <si>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</si>
  <si>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</si>
  <si>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</si>
  <si>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</si>
  <si>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</si>
  <si>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</si>
  <si>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</si>
  <si>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</si>
  <si>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</si>
  <si>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</si>
  <si>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</si>
  <si>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</si>
  <si>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</si>
  <si>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</si>
  <si>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</si>
  <si>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</si>
  <si>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</si>
  <si>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</si>
  <si>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</si>
  <si>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</si>
  <si>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</si>
  <si>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</si>
  <si>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</si>
  <si>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</si>
  <si>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</si>
  <si>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</si>
  <si>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</si>
  <si>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</si>
  <si>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</si>
  <si>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</si>
  <si>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</si>
  <si>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</si>
  <si>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</si>
  <si>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</si>
  <si>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</si>
  <si>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</si>
  <si>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</si>
  <si>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</si>
  <si>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</si>
  <si>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</si>
  <si>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</si>
  <si>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</si>
  <si>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</si>
  <si>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</si>
  <si>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</si>
  <si>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</si>
  <si>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</si>
  <si>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</si>
  <si>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</si>
  <si>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</si>
  <si>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</si>
  <si>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</si>
  <si>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</si>
  <si>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</si>
  <si>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</si>
  <si>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</si>
  <si>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</si>
  <si>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</si>
  <si>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</si>
  <si>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</si>
  <si>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</si>
  <si>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</si>
  <si>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</si>
  <si>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</si>
  <si>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</si>
  <si>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</si>
  <si>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</si>
  <si>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</si>
  <si>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</si>
  <si>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</si>
  <si>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</si>
  <si>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</si>
  <si>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</si>
  <si>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</si>
  <si>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</si>
  <si>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</si>
  <si>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</si>
  <si>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</si>
  <si>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</si>
  <si>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</si>
  <si>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</si>
  <si>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</si>
  <si>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</si>
  <si>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</si>
  <si>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</si>
  <si>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</si>
  <si>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</si>
  <si>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</si>
  <si>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</si>
  <si>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</si>
  <si>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</si>
  <si>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</si>
  <si>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</si>
  <si>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</si>
  <si>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</si>
  <si>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</si>
  <si>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</si>
  <si>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企业</t>
  </si>
  <si>
    <t>其他：</t>
  </si>
  <si>
    <t>抵押价格</t>
  </si>
  <si>
    <t>太原市尖草坪区大东流村</t>
    <phoneticPr fontId="6" type="noConversion"/>
  </si>
  <si>
    <t>商业</t>
  </si>
  <si>
    <t>车库</t>
  </si>
  <si>
    <t>通路</t>
  </si>
  <si>
    <t>通电</t>
  </si>
  <si>
    <t>通讯</t>
  </si>
  <si>
    <t>通上水</t>
  </si>
  <si>
    <t>通下水</t>
  </si>
  <si>
    <t>通热</t>
  </si>
  <si>
    <t>燃气</t>
  </si>
  <si>
    <t>地上</t>
  </si>
  <si>
    <t>公寓</t>
  </si>
  <si>
    <t>地下</t>
  </si>
  <si>
    <t>公寓</t>
    <phoneticPr fontId="7" type="noConversion"/>
  </si>
  <si>
    <t>车库</t>
    <phoneticPr fontId="7"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</si>
  <si>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</si>
  <si>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</si>
  <si>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</si>
  <si>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</si>
  <si>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</si>
  <si>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</si>
  <si>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</si>
  <si>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</si>
  <si>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</si>
  <si>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</si>
  <si>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</si>
  <si>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</si>
  <si>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</si>
  <si>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</si>
  <si>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</si>
  <si>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尖草坪区新村,东至、西至、北至山西新村滨河工贸有限公司用地,南至龙康街</t>
  </si>
  <si>
    <t>太原市</t>
  </si>
  <si>
    <t>商业/办公用地</t>
  </si>
  <si>
    <t>挂牌</t>
  </si>
  <si>
    <t>其他商服用地</t>
  </si>
  <si>
    <t>2019-04-30</t>
  </si>
  <si>
    <t>太原市城北市政工程有限公司</t>
  </si>
  <si>
    <t>5星</t>
  </si>
  <si>
    <t>城中村改造</t>
    <phoneticPr fontId="3" type="noConversion"/>
  </si>
  <si>
    <t>尖草坪区三给片区,四至:西至规划路、北至南至营村用地。</t>
  </si>
  <si>
    <t>拍卖</t>
  </si>
  <si>
    <t>2019-04-24</t>
  </si>
  <si>
    <t>太原旭凰鹏泰房地产开发有限公司</t>
  </si>
  <si>
    <t>储备地块</t>
    <phoneticPr fontId="3" type="noConversion"/>
  </si>
  <si>
    <t>尖草坪区西流村,东至西流路、南至兴华街、西至太原市龙泽欣工贸股份有限公司、北至太原市幼儿师范学校</t>
  </si>
  <si>
    <t>2018-09-28</t>
  </si>
  <si>
    <t>山西融创现代置业有限公司</t>
  </si>
  <si>
    <t>尖草坪区大东流村,东至九丰路、南至兴华街、西至太原钢铁(集团)有限公司、北至规划路。</t>
  </si>
  <si>
    <t>商务金融用地</t>
  </si>
  <si>
    <t>2018-09-06</t>
  </si>
  <si>
    <t>太原富润房地产开发有限公司</t>
  </si>
  <si>
    <t>太原市解放北路85号,东至解放北路,西至、南至太原钢铁(集团)有限公司,北至晋商银行股份有限公司</t>
  </si>
  <si>
    <t>2018-05-02</t>
  </si>
  <si>
    <t>晋商银行股份有限公司</t>
  </si>
  <si>
    <t>小返南街以南,城柏北路以西</t>
  </si>
  <si>
    <t>≤2</t>
  </si>
  <si>
    <t>2018-01-22</t>
  </si>
  <si>
    <t>太原润恒置业有限公司</t>
  </si>
  <si>
    <t>4星</t>
  </si>
  <si>
    <t>阳兴大道以南、小返东路以西</t>
  </si>
  <si>
    <t>≤1</t>
  </si>
  <si>
    <t>中国石油天然气股份有限公司山西销售分公司</t>
  </si>
  <si>
    <t>尖草坪区黄花园村</t>
  </si>
  <si>
    <t>等于1</t>
  </si>
  <si>
    <t>加油加气站用地</t>
  </si>
  <si>
    <t>2017-08-30</t>
  </si>
  <si>
    <t>太原市东山过境高速公路北服务区诚毅加油站(有限公司)</t>
  </si>
  <si>
    <t>3星</t>
  </si>
  <si>
    <t>批发零售用地</t>
  </si>
  <si>
    <t>2017-07-14</t>
  </si>
  <si>
    <t>太原润恒农产品市场有限公司</t>
  </si>
  <si>
    <t>尖草坪区三给片区内,四至为:北至规划路、西至和平北路、南至太原锦绣家园用地、东至西干渠</t>
  </si>
  <si>
    <t>2017-01-16</t>
  </si>
  <si>
    <t>尖草坪区迎新街百姓综合市场以西、迎新街南二巷以北、西南环铁路拆迁安置用地以南</t>
  </si>
  <si>
    <t>2016-07-21</t>
  </si>
  <si>
    <t>太原市亿鑫诚企业管理咨询有限公司</t>
  </si>
  <si>
    <t>和平北路以东、省化学纤维研究所宿舍以西、西矿街以南、迎泽西大街以北</t>
  </si>
  <si>
    <t>2015-04-28</t>
  </si>
  <si>
    <t>山西南丰房地产开发有限公司</t>
  </si>
  <si>
    <t>该地块位于和平北路以东、省化学纤维研究所宿舍以西、西矿街以南、迎泽西大街以北。</t>
  </si>
  <si>
    <t>小返河南侧</t>
  </si>
  <si>
    <t>≥1.5、≤2.5</t>
  </si>
  <si>
    <t>2014-03-19</t>
  </si>
  <si>
    <t>地面单价</t>
    <phoneticPr fontId="228" type="noConversion"/>
  </si>
  <si>
    <t>每亩价</t>
    <phoneticPr fontId="228" type="noConversion"/>
  </si>
  <si>
    <t>剩余法-待开发</t>
  </si>
  <si>
    <t>比较法-住宅、综合</t>
  </si>
  <si>
    <t>不动产收益法</t>
  </si>
  <si>
    <t>自定义</t>
  </si>
  <si>
    <t>按租金收入计税</t>
  </si>
  <si>
    <t>土地（套用方法）</t>
  </si>
  <si>
    <t>钢混</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</si>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</sst>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
      <sz val="12"/>
      <color rgb="FFFF000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8" fillId="2" borderId="20" xfId="0" applyFont="1" applyFill="1" applyBorder="1" applyAlignment="1" applyProtection="1">
      <alignment horizontal="left" vertical="center" wrapText="1"/>
      <protection locked="0"/>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158" fillId="6" borderId="0" xfId="0" applyFont="1" applyFill="1" applyAlignment="1"/>
    <xf numFmtId="178" fontId="158" fillId="6" borderId="0" xfId="0" applyNumberFormat="1" applyFont="1" applyFill="1" applyAlignment="1"/>
    <xf numFmtId="0" fontId="210" fillId="6" borderId="0" xfId="0" applyFont="1" applyFill="1" applyAlignment="1"/>
    <xf numFmtId="0" fontId="0" fillId="9" borderId="0" xfId="0" applyFill="1" applyAlignment="1"/>
    <xf numFmtId="178" fontId="158" fillId="0" borderId="0" xfId="0" applyNumberFormat="1" applyFont="1" applyFill="1" applyAlignment="1"/>
    <xf numFmtId="0" fontId="158" fillId="0" borderId="0" xfId="0" applyFont="1" applyFill="1" applyAlignment="1"/>
    <xf numFmtId="178" fontId="0" fillId="0" borderId="0" xfId="0" applyNumberFormat="1" applyFill="1" applyAlignment="1"/>
    <xf numFmtId="0" fontId="0" fillId="0" borderId="0" xfId="0" applyFont="1" applyAlignment="1"/>
    <xf numFmtId="177" fontId="153" fillId="6" borderId="12" xfId="2" applyNumberFormat="1" applyFont="1" applyFill="1" applyBorder="1" applyAlignment="1" applyProtection="1">
      <alignment horizontal="center" vertical="center"/>
      <protection locked="0"/>
    </xf>
    <xf numFmtId="0" fontId="275" fillId="6"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153" fillId="6" borderId="10" xfId="0" applyFont="1" applyFill="1" applyBorder="1" applyAlignment="1" applyProtection="1">
      <alignment horizontal="center" vertical="center"/>
      <protection locked="0"/>
    </xf>
    <xf numFmtId="0" fontId="153" fillId="6" borderId="3" xfId="0" applyFont="1" applyFill="1" applyBorder="1" applyAlignment="1" applyProtection="1">
      <alignment horizontal="center" vertical="center"/>
      <protection locked="0"/>
    </xf>
    <xf numFmtId="0" fontId="153" fillId="6" borderId="21" xfId="0" applyFont="1" applyFill="1" applyBorder="1" applyAlignment="1" applyProtection="1">
      <alignment horizontal="center" vertical="center"/>
      <protection locked="0"/>
    </xf>
    <xf numFmtId="0" fontId="153" fillId="6"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85725</xdr:colOff>
      <xdr:row>15</xdr:row>
      <xdr:rowOff>152400</xdr:rowOff>
    </xdr:to>
    <xdr:pic>
      <xdr:nvPicPr>
        <xdr:cNvPr id="54273" name="Picture 1">
          <a:extLst>
            <a:ext uri="{FF2B5EF4-FFF2-40B4-BE49-F238E27FC236}">
              <a16:creationId xmlns="" xmlns:a16="http://schemas.microsoft.com/office/drawing/2014/main" id="{00000000-0008-0000-0A00-000001D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257925" cy="2724150"/>
        </a:xfrm>
        <a:prstGeom prst="rect">
          <a:avLst/>
        </a:prstGeom>
        <a:noFill/>
        <a:ln w="1">
          <a:noFill/>
          <a:miter lim="800000"/>
          <a:headEnd/>
          <a:tailEnd type="none" w="med" len="med"/>
        </a:ln>
        <a:effectLst/>
      </xdr:spPr>
    </xdr:pic>
    <xdr:clientData/>
  </xdr:twoCellAnchor>
  <xdr:twoCellAnchor editAs="oneCell">
    <xdr:from>
      <xdr:col>8</xdr:col>
      <xdr:colOff>571500</xdr:colOff>
      <xdr:row>0</xdr:row>
      <xdr:rowOff>104775</xdr:rowOff>
    </xdr:from>
    <xdr:to>
      <xdr:col>16</xdr:col>
      <xdr:colOff>295275</xdr:colOff>
      <xdr:row>32</xdr:row>
      <xdr:rowOff>76200</xdr:rowOff>
    </xdr:to>
    <xdr:pic>
      <xdr:nvPicPr>
        <xdr:cNvPr id="54274" name="Picture 2">
          <a:extLst>
            <a:ext uri="{FF2B5EF4-FFF2-40B4-BE49-F238E27FC236}">
              <a16:creationId xmlns="" xmlns:a16="http://schemas.microsoft.com/office/drawing/2014/main" id="{00000000-0008-0000-0A00-000002D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057900" y="104775"/>
          <a:ext cx="5210175" cy="5457825"/>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20</xdr:row>
      <xdr:rowOff>123825</xdr:rowOff>
    </xdr:from>
    <xdr:to>
      <xdr:col>4</xdr:col>
      <xdr:colOff>346075</xdr:colOff>
      <xdr:row>42</xdr:row>
      <xdr:rowOff>28575</xdr:rowOff>
    </xdr:to>
    <xdr:pic>
      <xdr:nvPicPr>
        <xdr:cNvPr id="2" name="Picture 1">
          <a:extLst>
            <a:ext uri="{FF2B5EF4-FFF2-40B4-BE49-F238E27FC236}">
              <a16:creationId xmlns=""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19075" y="3619500"/>
          <a:ext cx="3829050" cy="367665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1" customWidth="1"/>
    <col min="2" max="2" width="78.21875" style="2842" customWidth="1"/>
    <col min="3" max="18" width="9" style="2836"/>
    <col min="19" max="19" width="17.88671875" style="2836" customWidth="1"/>
    <col min="20" max="51" width="9" style="2836"/>
    <col min="52" max="52" width="13.21875" style="2836" customWidth="1"/>
    <col min="53" max="53" width="13.44140625" style="2836" bestFit="1" customWidth="1"/>
    <col min="54" max="54" width="11.6640625" style="2836" bestFit="1" customWidth="1"/>
    <col min="55" max="55" width="13.44140625" style="2836" bestFit="1" customWidth="1"/>
    <col min="56" max="16384" width="9" style="2836"/>
  </cols>
  <sheetData>
    <row r="1" spans="1:55" s="2847" customFormat="1" ht="16.2" thickBot="1">
      <c r="A1" s="2845" t="s">
        <v>2650</v>
      </c>
      <c r="B1" s="2846" t="s">
        <v>2747</v>
      </c>
    </row>
    <row r="2" spans="1:55" s="2850" customFormat="1" ht="16.2" thickTop="1">
      <c r="A2" s="2848" t="s">
        <v>2654</v>
      </c>
      <c r="B2" s="2849" t="str">
        <f>'预评函-封皮'!B37</f>
        <v>太原市尖草坪区大东流村出让国有建设用地使用权抵押价格预评估</v>
      </c>
      <c r="AX2" s="2851"/>
      <c r="AZ2" s="2851"/>
      <c r="BA2" s="2852"/>
      <c r="BC2" s="2852"/>
    </row>
    <row r="3" spans="1:55" s="2853" customFormat="1">
      <c r="A3" s="2832" t="s">
        <v>2655</v>
      </c>
      <c r="B3" s="2835">
        <f>'预评函-封皮'!B40</f>
        <v>0</v>
      </c>
    </row>
    <row r="4" spans="1:55" s="2834" customFormat="1">
      <c r="A4" s="2832" t="s">
        <v>2656</v>
      </c>
      <c r="B4" s="2833" t="str">
        <f>'预评函-封皮'!B46</f>
        <v>土地估价师、土地估价师</v>
      </c>
      <c r="N4" s="2834" t="str">
        <f>'预评函-1'!A28</f>
        <v>本次估价的“抵押净值”是指估价对象“抵押价格”减去估价对象在估价期日以“土地销售收入”为基数计算的预计抵押权实现进行处置时需缴纳的各项费用、税金等相关费用后的价格。</v>
      </c>
    </row>
    <row r="5" spans="1:55" s="2847" customFormat="1" ht="16.2" thickBot="1">
      <c r="A5" s="2854" t="s">
        <v>2657</v>
      </c>
      <c r="B5" s="2855" t="str">
        <f>'预评函-封皮'!B49</f>
        <v>康正预评字号</v>
      </c>
    </row>
    <row r="6" spans="1:55" s="2856" customFormat="1" ht="16.2" thickTop="1">
      <c r="A6" s="2848" t="s">
        <v>2699</v>
      </c>
      <c r="B6" s="2849" t="str">
        <f>'预评函-1'!A4</f>
        <v>受贵公司委托，我公司对太原市尖草坪区大东流村出让国有建设用地使用权抵押价格进行了预评估。</v>
      </c>
      <c r="AM6" s="2857"/>
    </row>
    <row r="7" spans="1:55" s="2831" customFormat="1">
      <c r="A7" s="2832" t="s">
        <v>2651</v>
      </c>
      <c r="B7" s="2833" t="str">
        <f>'预评函-1'!A6</f>
        <v>估价对象为使用的、位于太原市尖草坪区大东流村出让国有建设用地使用权。根据《国有土地使用证》[]，估价对象（分摊）出让国有建设用地使用权面积为13713.98平方米。根据《建设工程规划许可证》[]、《出让合同》[]，估价对象规划建筑面积为110119平方米。</v>
      </c>
    </row>
    <row r="8" spans="1:55" s="2831" customFormat="1">
      <c r="A8" s="2832" t="s">
        <v>2652</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2702</v>
      </c>
      <c r="B9" s="2833" t="str">
        <f>'预评函-1'!A9</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1" customFormat="1">
      <c r="A10" s="2832" t="s">
        <v>2653</v>
      </c>
      <c r="B10" s="2833" t="str">
        <f>'预评函-1'!A11</f>
        <v>2020年6月24日</v>
      </c>
    </row>
    <row r="11" spans="1:55" s="2831" customFormat="1">
      <c r="A11" s="2832" t="s">
        <v>2659</v>
      </c>
      <c r="B11" s="2833" t="str">
        <f>'预评函-1'!A14</f>
        <v>根据《国有土地使用证》[]，本次评估估价对象证载（地类）用途为。</v>
      </c>
    </row>
    <row r="12" spans="1:55" s="2831" customFormat="1">
      <c r="A12" s="2832" t="s">
        <v>2660</v>
      </c>
      <c r="B12" s="2833" t="str">
        <f>'预评函-1'!A15</f>
        <v>本次评估设定用途即为证载用途。</v>
      </c>
    </row>
    <row r="13" spans="1:55" s="2831" customFormat="1">
      <c r="A13" s="2832" t="s">
        <v>2661</v>
      </c>
      <c r="B13" s="2833" t="str">
        <f>'预评函-1'!A17</f>
        <v>根据委托估价方介绍及评估专业人员现场勘查，本次评估估价对象实际土地开发程度为红线外市政基础设施达“七通”（即通路、通电、通讯、通上水、通下水、通热、燃气）、宗地红线内场地平整。</v>
      </c>
    </row>
    <row r="14" spans="1:55" s="2831" customFormat="1">
      <c r="A14" s="2832" t="s">
        <v>2662</v>
      </c>
      <c r="B14" s="2833" t="str">
        <f>'预评函-1'!A18</f>
        <v>。本次评估设定土地开发程度为红线外市政基础设施达“七通”、宗地红线内场地平整。</v>
      </c>
    </row>
    <row r="15" spans="1:55" s="2831" customFormat="1">
      <c r="A15" s="2832" t="s">
        <v>2658</v>
      </c>
      <c r="B15" s="2833" t="str">
        <f>'预评函-1'!A20</f>
        <v>根据《国有土地使用证》[]，估价对象（分摊）出让国有建设用地使用权面积为13713.98平方米。根据《建设工程规划许可证》[]、《出让合同》[]，估价对象规划建筑面积为110119平方米。</v>
      </c>
    </row>
    <row r="16" spans="1:55" s="2831" customFormat="1">
      <c r="A16" s="2832" t="s">
        <v>2663</v>
      </c>
      <c r="B16" s="28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2058年9月18日车库2058年9月18日。截至估价期日，出让国有建设用地使用权剩余土地使用年限为。</v>
      </c>
    </row>
    <row r="17" spans="1:48" s="2831" customFormat="1">
      <c r="A17" s="2832" t="s">
        <v>2664</v>
      </c>
      <c r="B17" s="2833" t="str">
        <f>'预评函-1'!A23</f>
        <v>本次评估设定估价对象剩余土地使用年限为。</v>
      </c>
    </row>
    <row r="18" spans="1:48" s="2831" customFormat="1">
      <c r="A18" s="2832" t="s">
        <v>2665</v>
      </c>
      <c r="B18" s="2833" t="str">
        <f>'预评函-1'!A25</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row>
    <row r="19" spans="1:48" s="2831" customFormat="1">
      <c r="A19" s="2832" t="s">
        <v>2666</v>
      </c>
      <c r="B19" s="2833" t="str">
        <f>'预评函-1'!A26</f>
        <v>本次估价的“抵押价格”是指估价对象在估价期日的“出让国有建设用地使用权价格”扣减估价师于估价期日所知悉的法定优先受偿款后的余额。</v>
      </c>
    </row>
    <row r="20" spans="1:48" s="2831" customFormat="1">
      <c r="A20" s="2832" t="s">
        <v>2667</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6.2" thickBot="1">
      <c r="A21" s="2854" t="s">
        <v>2668</v>
      </c>
      <c r="B21" s="2855" t="str">
        <f>'预评函-1'!A28</f>
        <v>本次估价的“抵押净值”是指估价对象“抵押价格”减去估价对象在估价期日以“土地销售收入”为基数计算的预计抵押权实现进行处置时需缴纳的各项费用、税金等相关费用后的价格。</v>
      </c>
    </row>
    <row r="22" spans="1:48" ht="16.2" thickTop="1">
      <c r="A22" s="2843" t="s">
        <v>2669</v>
      </c>
      <c r="B22" s="28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2" t="s">
        <v>2670</v>
      </c>
      <c r="B23" s="2833" t="str">
        <f>'预评函-2'!K2</f>
        <v>估价期日：2020年6月24日</v>
      </c>
    </row>
    <row r="24" spans="1:48">
      <c r="A24" s="2832" t="s">
        <v>2671</v>
      </c>
      <c r="B24" s="2833" t="str">
        <f>'预评函-2'!R2</f>
        <v>估价期日的国有建设用地使用权性质：出让</v>
      </c>
    </row>
    <row r="25" spans="1:48">
      <c r="A25" s="2832" t="s">
        <v>2727</v>
      </c>
      <c r="B25" s="2833" t="str">
        <f>'预评函-2'!A3</f>
        <v>估价期日土地使用者</v>
      </c>
    </row>
    <row r="26" spans="1:48">
      <c r="A26" s="2832" t="s">
        <v>2703</v>
      </c>
      <c r="B26" s="2833" t="str">
        <f>'预评函-2'!A5</f>
        <v>中信开发</v>
      </c>
    </row>
    <row r="27" spans="1:48">
      <c r="A27" s="2832" t="s">
        <v>2728</v>
      </c>
      <c r="B27" s="2833" t="str">
        <f>'预评函-2'!B3</f>
        <v>宗地编号/不动产单元号</v>
      </c>
    </row>
    <row r="28" spans="1:48">
      <c r="A28" s="2832" t="s">
        <v>2704</v>
      </c>
      <c r="B28" s="2833" t="str">
        <f>'预评函-2'!B5</f>
        <v>11111111111</v>
      </c>
    </row>
    <row r="29" spans="1:48">
      <c r="A29" s="2832" t="s">
        <v>2730</v>
      </c>
      <c r="B29" s="2833">
        <f>'预评函-2'!C5</f>
        <v>22</v>
      </c>
    </row>
    <row r="30" spans="1:48">
      <c r="A30" s="2832" t="s">
        <v>2731</v>
      </c>
      <c r="B30" s="2833" t="str">
        <f>'预评函-2'!D3</f>
        <v>土地使用证编号/不动产权证书编号</v>
      </c>
    </row>
    <row r="31" spans="1:48">
      <c r="A31" s="2832" t="s">
        <v>2705</v>
      </c>
      <c r="B31" s="2833" t="str">
        <f>'预评函-2'!D5</f>
        <v>京国土字第111号</v>
      </c>
    </row>
    <row r="32" spans="1:48">
      <c r="A32" s="2832" t="s">
        <v>2706</v>
      </c>
      <c r="B32" s="2833">
        <f>'预评函-2'!E5</f>
        <v>0</v>
      </c>
      <c r="AV32" s="2837"/>
    </row>
    <row r="33" spans="1:2">
      <c r="A33" s="2832" t="s">
        <v>2707</v>
      </c>
      <c r="B33" s="2833">
        <f>'预评函-2'!F5</f>
        <v>258</v>
      </c>
    </row>
    <row r="34" spans="1:2">
      <c r="A34" s="2832" t="s">
        <v>2708</v>
      </c>
      <c r="B34" s="2833">
        <f>'预评函-2'!G5</f>
        <v>0</v>
      </c>
    </row>
    <row r="35" spans="1:2">
      <c r="A35" s="2832" t="s">
        <v>2709</v>
      </c>
      <c r="B35" s="2833">
        <f>'预评函-2'!H5</f>
        <v>1.5</v>
      </c>
    </row>
    <row r="36" spans="1:2">
      <c r="A36" s="2832" t="s">
        <v>2710</v>
      </c>
      <c r="B36" s="2833">
        <f>'预评函-2'!I5</f>
        <v>1.5</v>
      </c>
    </row>
    <row r="37" spans="1:2">
      <c r="A37" s="2832" t="s">
        <v>2711</v>
      </c>
      <c r="B37" s="2833">
        <f>'预评函-2'!J5</f>
        <v>1.5</v>
      </c>
    </row>
    <row r="38" spans="1:2">
      <c r="A38" s="2832" t="s">
        <v>2712</v>
      </c>
      <c r="B38" s="2833" t="str">
        <f>'预评函-2'!K5</f>
        <v>红线外七通、宗地红线内</v>
      </c>
    </row>
    <row r="39" spans="1:2">
      <c r="A39" s="2832" t="s">
        <v>2713</v>
      </c>
      <c r="B39" s="2833" t="str">
        <f>'预评函-2'!L5</f>
        <v>红线外七通、宗地红线内场地</v>
      </c>
    </row>
    <row r="40" spans="1:2">
      <c r="A40" s="2832" t="s">
        <v>2732</v>
      </c>
      <c r="B40" s="2833" t="str">
        <f>'预评函-2'!M3</f>
        <v>（剩余）土地使用年限/年</v>
      </c>
    </row>
    <row r="41" spans="1:2">
      <c r="A41" s="2832" t="s">
        <v>2714</v>
      </c>
      <c r="B41" s="2833">
        <f>'预评函-2'!M5</f>
        <v>0</v>
      </c>
    </row>
    <row r="42" spans="1:2">
      <c r="A42" s="2832" t="s">
        <v>2733</v>
      </c>
      <c r="B42" s="2833" t="str">
        <f>'预评函-2'!N3</f>
        <v>（分摊）出让国有建设用地使用权面积/㎡</v>
      </c>
    </row>
    <row r="43" spans="1:2">
      <c r="A43" s="2832" t="s">
        <v>2715</v>
      </c>
      <c r="B43" s="2833">
        <f>'预评函-2'!N5</f>
        <v>13713.98</v>
      </c>
    </row>
    <row r="44" spans="1:2">
      <c r="A44" s="2832" t="s">
        <v>2734</v>
      </c>
      <c r="B44" s="2833" t="str">
        <f>'预评函-2'!O3</f>
        <v>规划建筑面积/㎡</v>
      </c>
    </row>
    <row r="45" spans="1:2">
      <c r="A45" s="2832" t="s">
        <v>2716</v>
      </c>
      <c r="B45" s="2833">
        <f>'预评函-2'!O5</f>
        <v>110119</v>
      </c>
    </row>
    <row r="46" spans="1:2">
      <c r="A46" s="2832" t="s">
        <v>2717</v>
      </c>
      <c r="B46" s="2833">
        <f ca="1">'预评函-2'!P5</f>
        <v>18503</v>
      </c>
    </row>
    <row r="47" spans="1:2">
      <c r="A47" s="2832" t="s">
        <v>2718</v>
      </c>
      <c r="B47" s="2833">
        <f ca="1">'预评函-2'!Q5</f>
        <v>2304</v>
      </c>
    </row>
    <row r="48" spans="1:2">
      <c r="A48" s="2832" t="s">
        <v>2719</v>
      </c>
      <c r="B48" s="2833">
        <f ca="1">'预评函-2'!R5</f>
        <v>25375</v>
      </c>
    </row>
    <row r="49" spans="1:2">
      <c r="A49" s="2832" t="s">
        <v>2735</v>
      </c>
      <c r="B49" s="2833" t="str">
        <f>'预评函-2'!A6</f>
        <v>抵押价格</v>
      </c>
    </row>
    <row r="50" spans="1:2">
      <c r="A50" s="2832" t="s">
        <v>2720</v>
      </c>
      <c r="B50" s="2833">
        <f ca="1">'预评函-2'!R6</f>
        <v>25375</v>
      </c>
    </row>
    <row r="51" spans="1:2">
      <c r="A51" s="2832" t="s">
        <v>2736</v>
      </c>
      <c r="B51" s="2833" t="str">
        <f>'预评函-2'!A7</f>
        <v>——</v>
      </c>
    </row>
    <row r="52" spans="1:2">
      <c r="A52" s="2832" t="s">
        <v>2721</v>
      </c>
      <c r="B52" s="2833" t="str">
        <f>'预评函-2'!R7</f>
        <v>——</v>
      </c>
    </row>
    <row r="53" spans="1:2">
      <c r="A53" s="2832" t="s">
        <v>2737</v>
      </c>
      <c r="B53" s="2833">
        <f>'预评函-2'!A8</f>
        <v>0</v>
      </c>
    </row>
    <row r="54" spans="1:2" s="2847" customFormat="1" ht="16.2" thickBot="1">
      <c r="A54" s="2854" t="s">
        <v>2722</v>
      </c>
      <c r="B54" s="2855" t="str">
        <f>'预评函-2'!R8</f>
        <v>——</v>
      </c>
    </row>
    <row r="55" spans="1:2" ht="16.2" thickTop="1">
      <c r="A55" s="2843" t="s">
        <v>2672</v>
      </c>
      <c r="B55" s="2844" t="str">
        <f>'预评函-3'!A2</f>
        <v>1.权利限制：根据估价对象《不动产权证书》原件、《国有土地使用权》复印件，截至估价期日，估价对象抵押权未见登记。未设定租赁等其他他项权利。</v>
      </c>
    </row>
    <row r="56" spans="1:2">
      <c r="A56" s="2832" t="s">
        <v>2673</v>
      </c>
      <c r="B56" s="2833" t="str">
        <f>'预评函-3'!A3</f>
        <v>2.基础设施条件：估价对象实际开发程度为红线外七通、宗地红线内；本次评估设定开发程度为红线外七通、宗地红线内场地。</v>
      </c>
    </row>
    <row r="57" spans="1:2">
      <c r="A57" s="2832" t="s">
        <v>2674</v>
      </c>
      <c r="B57" s="2833" t="str">
        <f>'预评函-3'!A4</f>
        <v>3.估价规划限制条件：详见《建设工程规划许可证》[]、《出让合同》[]。</v>
      </c>
    </row>
    <row r="58" spans="1:2" s="2847" customFormat="1" ht="16.2" thickBot="1">
      <c r="A58" s="2854" t="s">
        <v>2723</v>
      </c>
      <c r="B58" s="2855" t="str">
        <f>'预评函-3'!A5</f>
        <v>4.影响价格的其他限定条件：无。</v>
      </c>
    </row>
    <row r="59" spans="1:2" ht="16.2" thickTop="1">
      <c r="A59" s="2843" t="s">
        <v>2675</v>
      </c>
      <c r="B59" s="2844" t="str">
        <f>'预评函-3'!A8</f>
        <v>2.本《评估意见函》仅供金融机构进行内部审核使用，不做其他目的之用。</v>
      </c>
    </row>
    <row r="60" spans="1:2">
      <c r="A60" s="2832" t="s">
        <v>2676</v>
      </c>
      <c r="B60" s="2833" t="str">
        <f>'预评函-3'!A9</f>
        <v>3.抵押双方在办理抵押登记手续时，应使用本公司出具的正式《土地估价报告》，特提请报告使用者注意。</v>
      </c>
    </row>
    <row r="61" spans="1:2">
      <c r="A61" s="2832" t="s">
        <v>2678</v>
      </c>
      <c r="B61" s="2833" t="str">
        <f>'预评函-3'!A10</f>
        <v>4.估价师所知悉的法定优先受偿款情况为：</v>
      </c>
    </row>
    <row r="62" spans="1:2">
      <c r="A62" s="2832" t="s">
        <v>2677</v>
      </c>
      <c r="B62" s="283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2679</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2680</v>
      </c>
      <c r="B64" s="2838" t="str">
        <f>'预评函-3'!A13</f>
        <v>（3）。</v>
      </c>
    </row>
    <row r="65" spans="1:2">
      <c r="A65" s="2832" t="s">
        <v>2681</v>
      </c>
      <c r="B65" s="2839" t="str">
        <f>'预评函-3'!A14</f>
        <v>综上，本次评估不存在估价师知悉的法定优先受偿款</v>
      </c>
    </row>
    <row r="66" spans="1:2">
      <c r="A66" s="2832" t="s">
        <v>2682</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2683</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6.2" thickBot="1">
      <c r="A68" s="2854" t="s">
        <v>2686</v>
      </c>
      <c r="B68" s="2858">
        <f>'预评函-3'!D30</f>
        <v>42558</v>
      </c>
    </row>
    <row r="69" spans="1:2" ht="16.2" thickTop="1">
      <c r="A69" s="2843" t="s">
        <v>2684</v>
      </c>
      <c r="B69" s="2844" t="str">
        <f>'预评函-3'!A20</f>
        <v>土地估价师</v>
      </c>
    </row>
    <row r="70" spans="1:2">
      <c r="A70" s="2832" t="s">
        <v>2684</v>
      </c>
      <c r="B70" s="2839">
        <f>'预评函-3'!B20</f>
        <v>0</v>
      </c>
    </row>
    <row r="71" spans="1:2">
      <c r="A71" s="2832" t="s">
        <v>2685</v>
      </c>
      <c r="B71" s="2833" t="str">
        <f>'预评函-3'!A21</f>
        <v>土地估价师</v>
      </c>
    </row>
    <row r="72" spans="1:2" s="2847" customFormat="1" ht="16.2" thickBot="1">
      <c r="A72" s="2854" t="s">
        <v>2685</v>
      </c>
      <c r="B72" s="2860">
        <f>'预评函-3'!B21</f>
        <v>0</v>
      </c>
    </row>
    <row r="73" spans="1:2" ht="16.2" thickTop="1">
      <c r="A73" s="2843" t="s">
        <v>2744</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2745</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6.2" thickBot="1">
      <c r="A75" s="2854" t="s">
        <v>2746</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1" t="s">
        <v>2781</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44" sqref="I44"/>
    </sheetView>
  </sheetViews>
  <sheetFormatPr defaultColWidth="10" defaultRowHeight="15.6"/>
  <cols>
    <col min="1" max="1" width="15.33203125" style="1674" customWidth="1"/>
    <col min="2" max="2" width="11.33203125" style="1674" customWidth="1"/>
    <col min="3" max="3" width="12.6640625" style="1674" customWidth="1"/>
    <col min="4" max="4" width="10" style="1674" customWidth="1"/>
    <col min="5" max="5" width="12.44140625" style="1674" customWidth="1"/>
    <col min="6" max="6" width="11.33203125" style="1674" customWidth="1"/>
    <col min="7" max="7" width="12.33203125" style="1674" customWidth="1"/>
    <col min="8" max="8" width="10" style="1674" customWidth="1"/>
    <col min="9" max="9" width="12.441406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6.2" thickBot="1">
      <c r="A1" s="1642" t="s">
        <v>1933</v>
      </c>
      <c r="B1" s="3243" t="str">
        <f>IF(B10="北京市","北京市",C10)&amp;F10&amp;B16&amp;"国有建设用地使用权"&amp;B9&amp;"预评估"</f>
        <v>太原市尖草坪区大东流村出让国有建设用地使用权抵押价格预评估</v>
      </c>
      <c r="C1" s="3244"/>
      <c r="D1" s="3244"/>
      <c r="E1" s="3244"/>
      <c r="F1" s="3244"/>
      <c r="G1" s="3244"/>
      <c r="H1" s="3244"/>
      <c r="I1" s="3245"/>
      <c r="J1" s="1677"/>
      <c r="K1" s="2418" t="str">
        <f>IF(B10="北京市","北京市",C10)&amp;F10&amp;B16&amp;"国有建设用地使用权"&amp;B9</f>
        <v>太原市尖草坪区大东流村出让国有建设用地使用权抵押价格</v>
      </c>
      <c r="L1" s="1706"/>
      <c r="M1" s="1706"/>
      <c r="N1" s="1677"/>
      <c r="O1" s="1678"/>
      <c r="P1" s="1677"/>
      <c r="Q1" s="1677"/>
      <c r="R1" s="1677"/>
      <c r="S1" s="1677"/>
      <c r="T1" s="1677"/>
      <c r="U1" s="1677"/>
    </row>
    <row r="2" spans="1:21">
      <c r="A2" s="1643" t="s">
        <v>1934</v>
      </c>
      <c r="B2" s="1825"/>
      <c r="D2" s="1677"/>
      <c r="E2" s="1677"/>
      <c r="F2" s="1677"/>
      <c r="G2" s="1677"/>
      <c r="H2" s="1643"/>
      <c r="I2" s="1678"/>
      <c r="J2" s="1677"/>
      <c r="K2" s="2418" t="str">
        <f>IF(B10="北京市","北京市",C10)&amp;F10&amp;B16&amp;"国有建设用地使用权"</f>
        <v>太原市尖草坪区大东流村出让国有建设用地使用权</v>
      </c>
      <c r="L2" s="1706"/>
      <c r="M2" s="1706"/>
      <c r="N2" s="1677"/>
      <c r="O2" s="1678"/>
      <c r="P2" s="1677"/>
      <c r="Q2" s="1677"/>
      <c r="R2" s="1677"/>
      <c r="S2" s="1677"/>
      <c r="T2" s="1677"/>
      <c r="U2" s="1677"/>
    </row>
    <row r="3" spans="1:21">
      <c r="A3" s="1644" t="s">
        <v>1935</v>
      </c>
      <c r="B3" s="1645"/>
      <c r="C3" s="1646" t="s">
        <v>1991</v>
      </c>
      <c r="D3" s="1645">
        <v>44006</v>
      </c>
      <c r="E3" s="1677"/>
      <c r="F3" s="1677"/>
      <c r="G3" s="1677"/>
      <c r="H3" s="1643"/>
      <c r="I3" s="1678"/>
      <c r="J3" s="1677"/>
      <c r="K3" s="1757"/>
      <c r="L3" s="1706"/>
      <c r="M3" s="1706"/>
      <c r="N3" s="1677"/>
      <c r="O3" s="1678"/>
      <c r="P3" s="1677"/>
      <c r="Q3" s="1677"/>
      <c r="R3" s="1677"/>
      <c r="S3" s="1677"/>
      <c r="T3" s="1677"/>
      <c r="U3" s="1677"/>
    </row>
    <row r="4" spans="1:21" ht="31.8" thickBot="1">
      <c r="A4" s="1647" t="s">
        <v>1936</v>
      </c>
      <c r="B4" s="1826" t="s">
        <v>2883</v>
      </c>
      <c r="C4" s="1829">
        <f>SUMIF(土地估价师,B4,估价师及机构信息!E3:E24)</f>
        <v>0</v>
      </c>
      <c r="D4" s="1826" t="s">
        <v>2883</v>
      </c>
      <c r="E4" s="1829">
        <f>SUMIF(土地估价师,D4,估价师及机构信息!E3:E24)</f>
        <v>0</v>
      </c>
      <c r="F4" s="1826" t="s">
        <v>950</v>
      </c>
      <c r="G4" s="1829">
        <f>SUMIF(土地估价师,F4,估价师及机构信息!E3:E24)</f>
        <v>0</v>
      </c>
      <c r="H4" s="1826" t="s">
        <v>950</v>
      </c>
      <c r="I4" s="1829">
        <f>SUMIF(土地估价师,H4,估价师及机构信息!E3:E24)</f>
        <v>0</v>
      </c>
      <c r="J4" s="1677"/>
      <c r="K4" s="2418" t="str">
        <f>IF(AND(F4="——",H4="——"),B4&amp;"、"&amp;D4,IF(AND(F4&lt;&gt;"——",H4="——"),B4&amp;"、"&amp;D4&amp;"、"&amp;F4,B4&amp;"、"&amp;D4&amp;"、"&amp;F4&amp;"、"&amp;H4))</f>
        <v>土地估价师、土地估价师</v>
      </c>
      <c r="L4" s="1706"/>
      <c r="M4" s="1706"/>
      <c r="N4" s="1677"/>
      <c r="O4" s="1678"/>
      <c r="P4" s="1677"/>
      <c r="Q4" s="1677"/>
      <c r="R4" s="1677"/>
      <c r="S4" s="1677"/>
      <c r="T4" s="1677"/>
      <c r="U4" s="1677"/>
    </row>
    <row r="5" spans="1:21" ht="16.2" thickTop="1">
      <c r="A5" s="1648" t="s">
        <v>1937</v>
      </c>
      <c r="B5" s="1772"/>
      <c r="C5" s="1649"/>
      <c r="D5" s="1650"/>
      <c r="E5" s="1677"/>
      <c r="F5" s="1677"/>
      <c r="G5" s="1677"/>
      <c r="H5" s="1643"/>
      <c r="I5" s="1678"/>
      <c r="J5" s="1677"/>
      <c r="K5" s="1757"/>
      <c r="L5" s="1706"/>
      <c r="M5" s="1706"/>
      <c r="N5" s="1677"/>
      <c r="O5" s="1678"/>
      <c r="P5" s="1677"/>
      <c r="Q5" s="1677"/>
      <c r="R5" s="1677"/>
      <c r="S5" s="1677"/>
      <c r="T5" s="1677"/>
      <c r="U5" s="1677"/>
    </row>
    <row r="6" spans="1:21" ht="27.6">
      <c r="A6" s="1646" t="s">
        <v>2700</v>
      </c>
      <c r="B6" s="1772"/>
      <c r="C6" s="1744"/>
      <c r="D6" s="1651"/>
      <c r="E6" s="1677"/>
      <c r="F6" s="1677"/>
      <c r="G6" s="1677"/>
      <c r="H6" s="1643"/>
      <c r="I6" s="1678"/>
      <c r="J6" s="1677"/>
      <c r="K6" s="3000" t="str">
        <f>IF(COUNTIF(B6,"*上海银行*"),"上海银行","")</f>
        <v/>
      </c>
      <c r="L6" s="1706"/>
      <c r="M6" s="1706"/>
      <c r="N6" s="1677"/>
      <c r="O6" s="1678"/>
      <c r="P6" s="1677"/>
      <c r="Q6" s="1677"/>
      <c r="R6" s="1677"/>
      <c r="S6" s="1677"/>
      <c r="T6" s="1677"/>
      <c r="U6" s="1677"/>
    </row>
    <row r="7" spans="1:21">
      <c r="A7" s="1652" t="s">
        <v>2701</v>
      </c>
      <c r="B7" s="1772"/>
      <c r="C7" s="1744"/>
      <c r="D7" s="1651"/>
      <c r="E7" s="1677"/>
      <c r="F7" s="1677"/>
      <c r="G7" s="1677"/>
      <c r="H7" s="1643"/>
      <c r="I7" s="1678"/>
      <c r="J7" s="1677"/>
      <c r="K7" s="1757"/>
      <c r="L7" s="1706"/>
      <c r="M7" s="1706"/>
      <c r="N7" s="1677"/>
      <c r="O7" s="1678"/>
      <c r="P7" s="1677"/>
      <c r="Q7" s="1677"/>
      <c r="R7" s="1677"/>
      <c r="S7" s="1677"/>
      <c r="T7" s="1677"/>
      <c r="U7" s="1677"/>
    </row>
    <row r="8" spans="1:21">
      <c r="A8" s="1652" t="s">
        <v>1938</v>
      </c>
      <c r="B8" s="1653" t="s">
        <v>2987</v>
      </c>
      <c r="C8" s="1654"/>
      <c r="D8" s="3249" t="s">
        <v>1940</v>
      </c>
      <c r="E8" s="1827" t="s">
        <v>3000</v>
      </c>
      <c r="F8" s="1655"/>
      <c r="G8" s="1643"/>
      <c r="H8" s="1643"/>
      <c r="I8" s="1690"/>
      <c r="J8" s="1677"/>
      <c r="K8" s="1757"/>
      <c r="L8" s="1706"/>
      <c r="M8" s="1706"/>
      <c r="N8" s="1677"/>
      <c r="O8" s="1678"/>
      <c r="P8" s="1677"/>
      <c r="Q8" s="1677"/>
      <c r="R8" s="1677"/>
      <c r="S8" s="1677"/>
      <c r="T8" s="1677"/>
      <c r="U8" s="1677"/>
    </row>
    <row r="9" spans="1:21" ht="16.2" thickBot="1">
      <c r="A9" s="1656" t="s">
        <v>1939</v>
      </c>
      <c r="B9" s="1657" t="s">
        <v>3000</v>
      </c>
      <c r="C9" s="1658"/>
      <c r="D9" s="3250"/>
      <c r="E9" s="1657"/>
      <c r="F9" s="1730"/>
      <c r="G9" s="1725"/>
      <c r="H9" s="1725"/>
      <c r="I9" s="1726"/>
      <c r="J9" s="1677"/>
      <c r="K9" s="1757"/>
      <c r="L9" s="1706"/>
      <c r="M9" s="1706"/>
      <c r="N9" s="1677"/>
      <c r="O9" s="1678"/>
      <c r="P9" s="1677"/>
      <c r="Q9" s="1677"/>
      <c r="R9" s="1677"/>
      <c r="S9" s="1677"/>
      <c r="T9" s="1677"/>
      <c r="U9" s="1677"/>
    </row>
    <row r="10" spans="1:21" ht="16.2" thickTop="1">
      <c r="A10" s="1727" t="s">
        <v>1995</v>
      </c>
      <c r="B10" s="3187" t="s">
        <v>2999</v>
      </c>
      <c r="C10" s="1659"/>
      <c r="D10" s="1650"/>
      <c r="E10" s="1660" t="s">
        <v>1942</v>
      </c>
      <c r="F10" s="1661" t="s">
        <v>3001</v>
      </c>
      <c r="G10" s="1728"/>
      <c r="H10" s="1729"/>
      <c r="I10" s="1650"/>
      <c r="J10" s="1677"/>
      <c r="K10" s="1757"/>
      <c r="L10" s="1706"/>
      <c r="M10" s="1706"/>
      <c r="N10" s="1677"/>
      <c r="O10" s="1678"/>
      <c r="P10" s="1677"/>
      <c r="Q10" s="1677"/>
      <c r="R10" s="1677"/>
      <c r="S10" s="1677"/>
      <c r="T10" s="1677"/>
      <c r="U10" s="1677"/>
    </row>
    <row r="11" spans="1:21">
      <c r="A11" s="1680" t="s">
        <v>1996</v>
      </c>
      <c r="B11" s="1681" t="s">
        <v>2998</v>
      </c>
      <c r="C11" s="1662"/>
      <c r="D11" s="1745"/>
      <c r="E11" s="1643"/>
      <c r="F11" s="1643"/>
      <c r="G11" s="1643"/>
      <c r="H11" s="1643"/>
      <c r="I11" s="1643"/>
      <c r="J11" s="1677"/>
      <c r="K11" s="1757"/>
      <c r="L11" s="1706"/>
      <c r="M11" s="1706"/>
      <c r="N11" s="1677"/>
      <c r="O11" s="1678"/>
      <c r="P11" s="1677"/>
      <c r="Q11" s="1677"/>
      <c r="R11" s="1677"/>
      <c r="S11" s="1677"/>
      <c r="T11" s="1677"/>
      <c r="U11" s="1677"/>
    </row>
    <row r="12" spans="1:21">
      <c r="A12" s="1768" t="s">
        <v>2054</v>
      </c>
      <c r="B12" s="3246"/>
      <c r="C12" s="3247"/>
      <c r="D12" s="3248"/>
      <c r="E12" s="1682" t="s">
        <v>2057</v>
      </c>
      <c r="F12" s="3264" t="s">
        <v>2884</v>
      </c>
      <c r="G12" s="3265"/>
      <c r="H12" s="3265"/>
      <c r="I12" s="3266"/>
      <c r="J12" s="1677"/>
      <c r="K12" s="1757"/>
      <c r="L12" s="1706"/>
      <c r="M12" s="1706"/>
      <c r="N12" s="1677"/>
      <c r="O12" s="1678"/>
      <c r="P12" s="1677"/>
      <c r="Q12" s="1677"/>
      <c r="R12" s="1677"/>
      <c r="S12" s="1677"/>
      <c r="T12" s="1677"/>
      <c r="U12" s="1677"/>
    </row>
    <row r="13" spans="1:21">
      <c r="A13" s="1670" t="s">
        <v>2055</v>
      </c>
      <c r="B13" s="3246"/>
      <c r="C13" s="3247"/>
      <c r="D13" s="3248"/>
      <c r="E13" s="1682" t="s">
        <v>2057</v>
      </c>
      <c r="F13" s="3264" t="s">
        <v>2885</v>
      </c>
      <c r="G13" s="3265"/>
      <c r="H13" s="3265"/>
      <c r="I13" s="3266"/>
      <c r="J13" s="1677"/>
      <c r="K13" s="1757"/>
      <c r="L13" s="1706"/>
      <c r="M13" s="1706"/>
      <c r="N13" s="1677"/>
      <c r="O13" s="1678"/>
      <c r="P13" s="1677"/>
      <c r="Q13" s="1677"/>
      <c r="R13" s="1677"/>
      <c r="S13" s="1677"/>
      <c r="T13" s="1677"/>
      <c r="U13" s="1677"/>
    </row>
    <row r="14" spans="1:21">
      <c r="A14" s="1644" t="s">
        <v>2058</v>
      </c>
      <c r="B14" s="1682"/>
      <c r="C14" s="1828"/>
      <c r="D14" s="1716" t="str">
        <f>IF(C14="不一致","是否符合证载地类范围","")</f>
        <v/>
      </c>
      <c r="E14" s="1682"/>
      <c r="F14" s="1773"/>
      <c r="G14" s="1711"/>
      <c r="H14" s="1711"/>
      <c r="I14" s="1820"/>
      <c r="J14" s="1677"/>
      <c r="K14" s="1757"/>
      <c r="L14" s="1706"/>
      <c r="M14" s="1706"/>
      <c r="N14" s="1677"/>
      <c r="O14" s="1678"/>
      <c r="P14" s="1677"/>
      <c r="Q14" s="1677"/>
      <c r="R14" s="1677"/>
      <c r="S14" s="1677"/>
      <c r="T14" s="1677"/>
      <c r="U14" s="1677"/>
    </row>
    <row r="15" spans="1:21" hidden="1">
      <c r="A15" s="2608"/>
      <c r="B15" s="1646"/>
      <c r="C15" s="1646"/>
      <c r="D15" s="1749" t="s">
        <v>1945</v>
      </c>
      <c r="E15" s="1749" t="s">
        <v>1946</v>
      </c>
      <c r="F15" s="1749" t="s">
        <v>1947</v>
      </c>
      <c r="G15" s="1669" t="s">
        <v>1948</v>
      </c>
      <c r="H15" s="1669" t="s">
        <v>1949</v>
      </c>
      <c r="I15" s="1669" t="s">
        <v>1950</v>
      </c>
      <c r="J15" s="1677"/>
      <c r="K15" s="1757"/>
      <c r="L15" s="1706"/>
      <c r="M15" s="1706"/>
      <c r="N15" s="1677"/>
      <c r="O15" s="1678"/>
      <c r="P15" s="1677"/>
      <c r="Q15" s="1677"/>
      <c r="R15" s="1677"/>
      <c r="S15" s="1677"/>
      <c r="T15" s="1677"/>
      <c r="U15" s="1677"/>
    </row>
    <row r="16" spans="1:21" ht="46.8">
      <c r="A16" s="1663" t="s">
        <v>1943</v>
      </c>
      <c r="B16" s="1664" t="s">
        <v>2982</v>
      </c>
      <c r="C16" s="1682" t="s">
        <v>1944</v>
      </c>
      <c r="D16" s="2609" t="s">
        <v>1945</v>
      </c>
      <c r="E16" s="1705" t="s">
        <v>3002</v>
      </c>
      <c r="F16" s="1705"/>
      <c r="G16" s="1705" t="s">
        <v>3003</v>
      </c>
      <c r="H16" s="1705"/>
      <c r="I16" s="1669" t="s">
        <v>1950</v>
      </c>
      <c r="J16" s="1677"/>
      <c r="K16" s="2419" t="str">
        <f>IF(D17="","",D16&amp;TEXT(D17,"yyyy年m月d日;;"))</f>
        <v/>
      </c>
      <c r="L16" s="1682" t="str">
        <f>IF(OR(K16="",M16=""),"","、")</f>
        <v/>
      </c>
      <c r="M16" s="2419" t="str">
        <f>IF(E17="","",E16&amp;TEXT(E17,"yyyy年m月d日;;"))</f>
        <v>商业2058年9月18日</v>
      </c>
      <c r="N16" s="1682" t="str">
        <f>IF(OR(M16="",O16=""),"","、")</f>
        <v/>
      </c>
      <c r="O16" s="2419" t="str">
        <f>IF(F17="","",F16&amp;TEXT(F17,"yyyy年m月d日;;"))</f>
        <v/>
      </c>
      <c r="P16" s="1682" t="str">
        <f>IF(OR(O16="",Q16=""),"","、")</f>
        <v/>
      </c>
      <c r="Q16" s="2419" t="str">
        <f>IF(G17="","",G16&amp;TEXT(G17,"yyyy年m月d日;;"))</f>
        <v>车库2058年9月18日</v>
      </c>
      <c r="R16" s="1682" t="str">
        <f>IF(OR(Q16="",S16=""),"","、")</f>
        <v/>
      </c>
      <c r="S16" s="2419" t="str">
        <f>IF(H17="","",H16&amp;TEXT(H17,"yyyy年m月d日;;"))</f>
        <v/>
      </c>
      <c r="T16" s="1682" t="str">
        <f>IF(OR(S16="",U16=""),"","、")</f>
        <v/>
      </c>
      <c r="U16" s="2419" t="str">
        <f>IF(I17="","",I16&amp;TEXT(I17,"yyyy年m月d日;;"))</f>
        <v/>
      </c>
    </row>
    <row r="17" spans="1:21">
      <c r="A17" s="1746"/>
      <c r="B17" s="1665"/>
      <c r="C17" s="1666" t="s">
        <v>1951</v>
      </c>
      <c r="D17" s="1683"/>
      <c r="E17" s="1683">
        <v>57971</v>
      </c>
      <c r="F17" s="1683"/>
      <c r="G17" s="1683">
        <f>E17</f>
        <v>57971</v>
      </c>
      <c r="H17" s="1683"/>
      <c r="I17" s="1683"/>
      <c r="J17" s="1677"/>
      <c r="K17" s="2418" t="str">
        <f>CONCATENATE(K16,L16,M16,N16,O16,P16,Q16,R16,S16,T16,,U16)</f>
        <v>商业2058年9月18日车库2058年9月18日</v>
      </c>
      <c r="L17" s="1706"/>
      <c r="M17" s="1706"/>
      <c r="N17" s="1677"/>
      <c r="O17" s="1678"/>
      <c r="P17" s="1677"/>
      <c r="Q17" s="1677"/>
      <c r="R17" s="1677"/>
      <c r="S17" s="1677"/>
      <c r="T17" s="1677"/>
      <c r="U17" s="1677"/>
    </row>
    <row r="18" spans="1:21">
      <c r="A18" s="1746"/>
      <c r="B18" s="1665"/>
      <c r="C18" s="1666" t="s">
        <v>1952</v>
      </c>
      <c r="D18" s="1667"/>
      <c r="E18" s="1667">
        <v>40</v>
      </c>
      <c r="F18" s="1667"/>
      <c r="G18" s="1667">
        <v>40</v>
      </c>
      <c r="H18" s="1667"/>
      <c r="I18" s="1667"/>
      <c r="J18" s="1677"/>
      <c r="K18" s="1757"/>
      <c r="L18" s="1706"/>
      <c r="M18" s="1706"/>
      <c r="N18" s="1677"/>
      <c r="O18" s="1678"/>
      <c r="P18" s="1677"/>
      <c r="Q18" s="1677"/>
      <c r="R18" s="1677"/>
      <c r="S18" s="1677"/>
      <c r="T18" s="1677"/>
      <c r="U18" s="1677"/>
    </row>
    <row r="19" spans="1:21">
      <c r="A19" s="1746"/>
      <c r="B19" s="1665"/>
      <c r="C19" s="1643" t="s">
        <v>1953</v>
      </c>
      <c r="D19" s="1741" t="str">
        <f>IF(B16="出让",IF(D17="","",ROUNDDOWN(MIN((D17-$D$3)/365,D18),2)),D18)</f>
        <v/>
      </c>
      <c r="E19" s="1668">
        <f>IF(B16="出让",IF(E17="","",ROUNDDOWN(MIN((E17-$D$3)/365,E18),2)),E18)</f>
        <v>38.26</v>
      </c>
      <c r="F19" s="1668" t="str">
        <f>IF(B16="出让",IF(F17="","",ROUNDDOWN(MIN((F17-$D$3)/365,F18),2)),F18)</f>
        <v/>
      </c>
      <c r="G19" s="1668">
        <f>IF(B16="出让",IF(G17="","",ROUNDDOWN(MIN((G17-$D$3)/365,G18),2)),G18)</f>
        <v>38.26</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2056</v>
      </c>
      <c r="D20" s="3261"/>
      <c r="E20" s="3262"/>
      <c r="F20" s="3262"/>
      <c r="G20" s="3262"/>
      <c r="H20" s="3262"/>
      <c r="I20" s="3263"/>
      <c r="J20" s="1677"/>
      <c r="K20" s="1757"/>
      <c r="L20" s="1706"/>
      <c r="M20" s="1706"/>
      <c r="N20" s="1677"/>
      <c r="O20" s="1678"/>
      <c r="P20" s="1677"/>
      <c r="Q20" s="1677"/>
      <c r="R20" s="1677"/>
      <c r="S20" s="1677"/>
      <c r="T20" s="1677"/>
      <c r="U20" s="1677"/>
    </row>
    <row r="21" spans="1:21">
      <c r="A21" s="1746" t="s">
        <v>1954</v>
      </c>
      <c r="B21" s="1747" t="s">
        <v>1955</v>
      </c>
      <c r="C21" s="1742">
        <f>'数据-汇总表'!E3</f>
        <v>110119</v>
      </c>
      <c r="D21" s="1743" t="s">
        <v>1956</v>
      </c>
      <c r="E21" s="3251" t="s">
        <v>1994</v>
      </c>
      <c r="F21" s="3252"/>
      <c r="G21" s="3252"/>
      <c r="H21" s="3252"/>
      <c r="I21" s="3253"/>
      <c r="J21" s="1677"/>
      <c r="K21" s="1757"/>
      <c r="L21" s="1706"/>
      <c r="M21" s="1706"/>
      <c r="N21" s="1677"/>
      <c r="O21" s="1678"/>
      <c r="P21" s="1677"/>
      <c r="Q21" s="1677"/>
      <c r="R21" s="1677"/>
      <c r="S21" s="1677"/>
      <c r="T21" s="1677"/>
      <c r="U21" s="1677"/>
    </row>
    <row r="22" spans="1:21">
      <c r="A22" s="3090" t="s">
        <v>950</v>
      </c>
      <c r="B22" s="1644" t="s">
        <v>1957</v>
      </c>
      <c r="C22" s="1669">
        <f>'数据-汇总表'!D3</f>
        <v>13713.98</v>
      </c>
      <c r="D22" s="1670" t="s">
        <v>1956</v>
      </c>
      <c r="E22" s="3251" t="s">
        <v>2886</v>
      </c>
      <c r="F22" s="3252"/>
      <c r="G22" s="3252"/>
      <c r="H22" s="3252"/>
      <c r="I22" s="3253"/>
      <c r="J22" s="1677"/>
      <c r="K22" s="1757"/>
      <c r="L22" s="1706"/>
      <c r="M22" s="1706"/>
      <c r="N22" s="1677"/>
      <c r="O22" s="1678"/>
      <c r="P22" s="1677"/>
      <c r="Q22" s="1677"/>
      <c r="R22" s="1677"/>
      <c r="S22" s="1677"/>
      <c r="T22" s="1677"/>
      <c r="U22" s="1677"/>
    </row>
    <row r="23" spans="1:21" ht="47.4" thickBot="1">
      <c r="A23" s="1748" t="s">
        <v>1958</v>
      </c>
      <c r="B23" s="1684" t="s">
        <v>1959</v>
      </c>
      <c r="C23" s="1685"/>
      <c r="D23" s="1686" t="s">
        <v>1960</v>
      </c>
      <c r="E23" s="1687"/>
      <c r="F23" s="1688" t="str">
        <f>IF(AND(C23="是",E23="否"),"是否提供他项权证或相关说明","")</f>
        <v/>
      </c>
      <c r="G23" s="1689"/>
      <c r="H23" s="1677"/>
      <c r="I23" s="1690"/>
      <c r="J23" s="1677"/>
      <c r="K23" s="1757"/>
      <c r="L23" s="1706"/>
      <c r="M23" s="1706"/>
      <c r="N23" s="1677"/>
      <c r="O23" s="1678"/>
      <c r="P23" s="1677"/>
      <c r="Q23" s="1677"/>
      <c r="R23" s="1677"/>
      <c r="S23" s="1677"/>
      <c r="T23" s="1677"/>
      <c r="U23" s="1677"/>
    </row>
    <row r="24" spans="1:21">
      <c r="A24" s="1733" t="s">
        <v>1961</v>
      </c>
      <c r="B24" s="3254" t="s">
        <v>1962</v>
      </c>
      <c r="C24" s="3255"/>
      <c r="D24" s="3256" t="s">
        <v>1963</v>
      </c>
      <c r="E24" s="3257"/>
      <c r="F24" s="1691" t="s">
        <v>1964</v>
      </c>
      <c r="G24" s="1677"/>
      <c r="H24" s="1677"/>
      <c r="I24" s="1690"/>
      <c r="J24" s="1677"/>
      <c r="K24" s="3242" t="s">
        <v>1965</v>
      </c>
      <c r="L24" s="242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6"/>
      <c r="N24" s="1677"/>
      <c r="O24" s="1678"/>
      <c r="P24" s="1677"/>
      <c r="Q24" s="1677"/>
      <c r="R24" s="1677"/>
      <c r="S24" s="1677"/>
      <c r="T24" s="1677"/>
      <c r="U24" s="1677"/>
    </row>
    <row r="25" spans="1:21" ht="31.2">
      <c r="A25" s="1734"/>
      <c r="B25" s="1731" t="s">
        <v>2320</v>
      </c>
      <c r="C25" s="1692" t="s">
        <v>1966</v>
      </c>
      <c r="D25" s="1693"/>
      <c r="E25" s="1694" t="s">
        <v>950</v>
      </c>
      <c r="F25" s="1695"/>
      <c r="G25" s="1677"/>
      <c r="H25" s="1677"/>
      <c r="I25" s="1690"/>
      <c r="J25" s="1677"/>
      <c r="K25" s="3242"/>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47.4" thickBot="1">
      <c r="A26" s="1735"/>
      <c r="B26" s="1732" t="s">
        <v>1967</v>
      </c>
      <c r="C26" s="1692" t="s">
        <v>2321</v>
      </c>
      <c r="D26" s="1643"/>
      <c r="E26" s="1643"/>
      <c r="F26" s="1671"/>
      <c r="G26" s="1677"/>
      <c r="H26" s="1677"/>
      <c r="I26" s="1690"/>
      <c r="J26" s="1677"/>
      <c r="K26" s="3242"/>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1968</v>
      </c>
      <c r="B27" s="1736" t="s">
        <v>1969</v>
      </c>
      <c r="C27" s="1696"/>
      <c r="D27" s="2614" t="s">
        <v>1969</v>
      </c>
      <c r="E27" s="1697"/>
      <c r="F27" s="1671"/>
      <c r="G27" s="1677"/>
      <c r="H27" s="1677"/>
      <c r="I27" s="1690"/>
      <c r="J27" s="1677"/>
      <c r="K27" s="1757"/>
      <c r="L27" s="1706"/>
      <c r="M27" s="1706"/>
      <c r="N27" s="1677"/>
      <c r="O27" s="1678"/>
      <c r="P27" s="1677"/>
      <c r="Q27" s="1677"/>
      <c r="R27" s="1677"/>
      <c r="S27" s="1677"/>
      <c r="T27" s="1677"/>
      <c r="U27" s="1677"/>
    </row>
    <row r="28" spans="1:21">
      <c r="A28" s="1739"/>
      <c r="B28" s="1736" t="s">
        <v>1970</v>
      </c>
      <c r="C28" s="1698"/>
      <c r="D28" s="2615" t="s">
        <v>1970</v>
      </c>
      <c r="E28" s="1699"/>
      <c r="F28" s="1671"/>
      <c r="G28" s="1677"/>
      <c r="H28" s="1677"/>
      <c r="I28" s="1690"/>
      <c r="J28" s="1677"/>
      <c r="K28" s="1757"/>
      <c r="L28" s="1706"/>
      <c r="M28" s="1706"/>
      <c r="N28" s="1677"/>
      <c r="O28" s="1678"/>
      <c r="P28" s="1677"/>
      <c r="Q28" s="1677"/>
      <c r="R28" s="1677"/>
      <c r="S28" s="1677"/>
      <c r="T28" s="1677"/>
      <c r="U28" s="1677"/>
    </row>
    <row r="29" spans="1:21">
      <c r="A29" s="1739"/>
      <c r="B29" s="1736" t="s">
        <v>1971</v>
      </c>
      <c r="C29" s="1698"/>
      <c r="D29" s="2615" t="s">
        <v>1971</v>
      </c>
      <c r="E29" s="1699"/>
      <c r="F29" s="1671"/>
      <c r="G29" s="1677"/>
      <c r="H29" s="1677"/>
      <c r="I29" s="1690"/>
      <c r="J29" s="1677"/>
      <c r="K29" s="1757"/>
      <c r="L29" s="1706"/>
      <c r="M29" s="1706"/>
      <c r="N29" s="1677"/>
      <c r="O29" s="1678"/>
      <c r="P29" s="1677"/>
      <c r="Q29" s="1677"/>
      <c r="R29" s="1677"/>
      <c r="S29" s="1677"/>
      <c r="T29" s="1677"/>
      <c r="U29" s="1677"/>
    </row>
    <row r="30" spans="1:21" ht="16.2" thickBot="1">
      <c r="A30" s="1740"/>
      <c r="B30" s="1737" t="s">
        <v>1972</v>
      </c>
      <c r="C30" s="1700"/>
      <c r="D30" s="2616" t="s">
        <v>1972</v>
      </c>
      <c r="E30" s="1701"/>
      <c r="F30" s="1672"/>
      <c r="G30" s="1725"/>
      <c r="H30" s="1725"/>
      <c r="I30" s="1726"/>
      <c r="J30" s="1677"/>
      <c r="K30" s="1757"/>
      <c r="L30" s="1706"/>
      <c r="M30" s="1706"/>
      <c r="N30" s="1677"/>
      <c r="O30" s="1678"/>
      <c r="P30" s="1677"/>
      <c r="Q30" s="1677"/>
      <c r="R30" s="1677"/>
      <c r="S30" s="1677"/>
      <c r="T30" s="1677"/>
      <c r="U30" s="1677"/>
    </row>
    <row r="31" spans="1:21" ht="16.2" thickTop="1">
      <c r="A31" s="3228" t="s">
        <v>1997</v>
      </c>
      <c r="B31" s="1747" t="s">
        <v>1998</v>
      </c>
      <c r="C31" s="3267"/>
      <c r="D31" s="3268"/>
      <c r="E31" s="1677"/>
      <c r="F31" s="1677"/>
      <c r="G31" s="1677"/>
      <c r="H31" s="1677"/>
      <c r="I31" s="1690"/>
      <c r="J31" s="1677"/>
      <c r="K31" s="2421"/>
      <c r="L31" s="1677"/>
      <c r="M31" s="1677"/>
      <c r="N31" s="1677"/>
      <c r="O31" s="1677"/>
      <c r="P31" s="1677"/>
      <c r="Q31" s="1677"/>
      <c r="R31" s="1677"/>
      <c r="S31" s="1677"/>
      <c r="T31" s="1677"/>
      <c r="U31" s="1677"/>
    </row>
    <row r="32" spans="1:21">
      <c r="A32" s="3228"/>
      <c r="B32" s="1644" t="s">
        <v>1999</v>
      </c>
      <c r="C32" s="1702"/>
      <c r="D32" s="1703"/>
      <c r="E32" s="1677"/>
      <c r="F32" s="1677"/>
      <c r="G32" s="1677"/>
      <c r="H32" s="1677"/>
      <c r="I32" s="1690"/>
      <c r="J32" s="1677"/>
      <c r="K32" s="2421"/>
      <c r="L32" s="1677"/>
      <c r="M32" s="1677"/>
      <c r="N32" s="1677"/>
      <c r="O32" s="1677"/>
      <c r="P32" s="1677"/>
      <c r="Q32" s="1677"/>
      <c r="R32" s="1677"/>
      <c r="S32" s="1677"/>
      <c r="T32" s="1677"/>
      <c r="U32" s="1677"/>
    </row>
    <row r="33" spans="1:21">
      <c r="A33" s="3228"/>
      <c r="B33" s="1644" t="s">
        <v>2000</v>
      </c>
      <c r="C33" s="1704"/>
      <c r="D33" s="1821"/>
      <c r="E33" s="1677"/>
      <c r="F33" s="1677"/>
      <c r="G33" s="1677"/>
      <c r="H33" s="1677"/>
      <c r="I33" s="1690"/>
      <c r="J33" s="1677"/>
      <c r="K33" s="2421"/>
      <c r="L33" s="1677"/>
      <c r="M33" s="1677"/>
      <c r="N33" s="1677"/>
      <c r="O33" s="1677"/>
      <c r="P33" s="1677"/>
      <c r="Q33" s="1677"/>
      <c r="R33" s="1677"/>
      <c r="S33" s="1677"/>
      <c r="T33" s="1677"/>
      <c r="U33" s="1677"/>
    </row>
    <row r="34" spans="1:21">
      <c r="A34" s="3229"/>
      <c r="B34" s="1644" t="s">
        <v>2001</v>
      </c>
      <c r="C34" s="3230"/>
      <c r="D34" s="3231"/>
      <c r="E34" s="1677"/>
      <c r="F34" s="1677"/>
      <c r="G34" s="1677"/>
      <c r="H34" s="1677"/>
      <c r="I34" s="1690"/>
      <c r="J34" s="1677"/>
      <c r="K34" s="2421"/>
      <c r="L34" s="1677"/>
      <c r="M34" s="1677"/>
      <c r="N34" s="1677"/>
      <c r="O34" s="1677"/>
      <c r="P34" s="1677"/>
      <c r="Q34" s="1677"/>
      <c r="R34" s="1677"/>
      <c r="S34" s="1677"/>
      <c r="T34" s="1677"/>
      <c r="U34" s="1677"/>
    </row>
    <row r="35" spans="1:21">
      <c r="A35" s="3232" t="s">
        <v>845</v>
      </c>
      <c r="B35" s="1705"/>
      <c r="C35" s="1759" t="str">
        <f>IF(B35="场地平整","——","具体情况：")</f>
        <v>具体情况：</v>
      </c>
      <c r="D35" s="3234"/>
      <c r="E35" s="3235"/>
      <c r="F35" s="3235"/>
      <c r="G35" s="3235"/>
      <c r="H35" s="3235"/>
      <c r="I35" s="3236"/>
      <c r="J35" s="1677"/>
      <c r="K35" s="1758"/>
      <c r="L35" s="1706"/>
      <c r="M35" s="1706"/>
      <c r="N35" s="1677"/>
      <c r="O35" s="1678"/>
      <c r="P35" s="1677"/>
      <c r="Q35" s="1677"/>
      <c r="R35" s="1677"/>
      <c r="S35" s="1677"/>
      <c r="T35" s="1677"/>
      <c r="U35" s="1677"/>
    </row>
    <row r="36" spans="1:21">
      <c r="A36" s="3228"/>
      <c r="B36" s="3237" t="s">
        <v>2050</v>
      </c>
      <c r="C36" s="3238"/>
      <c r="D36" s="1775"/>
      <c r="E36" s="3239"/>
      <c r="F36" s="3239"/>
      <c r="G36" s="1670" t="str">
        <f>IF(B35="场地未平整","估价结果处理","")</f>
        <v/>
      </c>
      <c r="H36" s="3240"/>
      <c r="I36" s="3240"/>
      <c r="J36" s="1677"/>
      <c r="K36" s="1758"/>
      <c r="L36" s="1706"/>
      <c r="M36" s="1706"/>
      <c r="N36" s="1677"/>
      <c r="O36" s="1678"/>
      <c r="P36" s="1677"/>
      <c r="Q36" s="1677"/>
      <c r="R36" s="1677"/>
      <c r="S36" s="1677"/>
      <c r="T36" s="1677"/>
      <c r="U36" s="1677"/>
    </row>
    <row r="37" spans="1:21" ht="31.2">
      <c r="A37" s="3228"/>
      <c r="B37" s="3258" t="s">
        <v>846</v>
      </c>
      <c r="C37" s="1707" t="s">
        <v>847</v>
      </c>
      <c r="D37" s="1708"/>
      <c r="E37" s="1709"/>
      <c r="F37" s="1677"/>
      <c r="G37" s="1677"/>
      <c r="H37" s="1677"/>
      <c r="I37" s="1690"/>
      <c r="J37" s="1677"/>
      <c r="K37" s="1758"/>
      <c r="L37" s="1677"/>
      <c r="M37" s="1677"/>
      <c r="N37" s="1677"/>
      <c r="O37" s="1677"/>
      <c r="P37" s="1677"/>
      <c r="Q37" s="1677"/>
      <c r="R37" s="1677"/>
      <c r="S37" s="1677"/>
      <c r="T37" s="1677"/>
      <c r="U37" s="1677"/>
    </row>
    <row r="38" spans="1:21">
      <c r="A38" s="3228"/>
      <c r="B38" s="3259"/>
      <c r="C38" s="1652" t="s">
        <v>848</v>
      </c>
      <c r="D38" s="1774">
        <f>ROUNDDOWN(MIN(('数据-取费表'!$B$2-D37)/365,D34),1)</f>
        <v>120.5</v>
      </c>
      <c r="E38" s="1710" t="s">
        <v>849</v>
      </c>
      <c r="F38" s="1677"/>
      <c r="G38" s="1677"/>
      <c r="H38" s="1677"/>
      <c r="I38" s="1690"/>
      <c r="J38" s="1677"/>
      <c r="K38" s="1758"/>
      <c r="L38" s="1677"/>
      <c r="M38" s="1677"/>
      <c r="N38" s="1677"/>
      <c r="O38" s="1677"/>
      <c r="P38" s="1677"/>
      <c r="Q38" s="1677"/>
      <c r="R38" s="1677"/>
      <c r="S38" s="1677"/>
      <c r="T38" s="1677"/>
      <c r="U38" s="1677"/>
    </row>
    <row r="39" spans="1:21">
      <c r="A39" s="3229"/>
      <c r="B39" s="3260"/>
      <c r="C39" s="1680" t="str">
        <f>IF(D38&lt;1,"不存在土地闲置",IF(B35="宗地内已开工建设","已开工，不存在土地闲置","估价对象已涉嫌土地闲置"))</f>
        <v>估价对象已涉嫌土地闲置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1973</v>
      </c>
      <c r="B40" s="1673" t="s">
        <v>3004</v>
      </c>
      <c r="C40" s="1673" t="s">
        <v>3005</v>
      </c>
      <c r="D40" s="1673" t="s">
        <v>3006</v>
      </c>
      <c r="E40" s="1673" t="s">
        <v>3007</v>
      </c>
      <c r="F40" s="1673" t="s">
        <v>3008</v>
      </c>
      <c r="G40" s="1673" t="s">
        <v>3009</v>
      </c>
      <c r="H40" s="1673" t="s">
        <v>3010</v>
      </c>
      <c r="I40" s="1690"/>
      <c r="J40" s="1677"/>
      <c r="K40" s="1713">
        <f>COUNTIF(B40:H40,"——")</f>
        <v>0</v>
      </c>
      <c r="L40" s="1682" t="s">
        <v>1974</v>
      </c>
      <c r="M40" s="1679" t="s">
        <v>1975</v>
      </c>
      <c r="N40" s="1679" t="s">
        <v>1976</v>
      </c>
      <c r="O40" s="1679" t="s">
        <v>1977</v>
      </c>
      <c r="P40" s="1679" t="s">
        <v>1978</v>
      </c>
      <c r="Q40" s="1679" t="s">
        <v>1979</v>
      </c>
      <c r="R40" s="1679" t="s">
        <v>1980</v>
      </c>
      <c r="S40" s="3241" t="s">
        <v>1981</v>
      </c>
      <c r="T40" s="1714" t="str">
        <f>NUMBERSTRING(7-K40,1)&amp;"通"</f>
        <v>七通</v>
      </c>
      <c r="U40" s="1677"/>
    </row>
    <row r="41" spans="1:21">
      <c r="A41" s="1646"/>
      <c r="B41" s="3233" t="s">
        <v>1719</v>
      </c>
      <c r="C41" s="3233"/>
      <c r="D41" s="3233"/>
      <c r="E41" s="3233"/>
      <c r="F41" s="1715">
        <f>C10</f>
        <v>0</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通路、通电、通讯、通上水、通下水、通热</v>
      </c>
      <c r="R41" s="1717" t="str">
        <f>B40&amp;"、"&amp;C40&amp;"、"&amp;D40&amp;"、"&amp;E40&amp;"、"&amp;F40&amp;"、"&amp;G40&amp;"、"&amp;H40</f>
        <v>通路、通电、通讯、通上水、通下水、通热、燃气</v>
      </c>
      <c r="S41" s="3241"/>
      <c r="T41" s="1716" t="str">
        <f>IF(T40="一通",L41,IF(T40="二通",M41,IF(T40="三通",N41,IF(T40="四通",O41,IF(T40="五通",P41,IF(T40="六通",Q41,R41))))))</f>
        <v>通路、通电、通讯、通上水、通下水、通热、燃气</v>
      </c>
      <c r="U41" s="1677"/>
    </row>
    <row r="42" spans="1:21">
      <c r="A42" s="1718"/>
      <c r="B42" s="1749" t="s">
        <v>1895</v>
      </c>
      <c r="C42" s="1749" t="s">
        <v>1896</v>
      </c>
      <c r="D42" s="1749" t="s">
        <v>1897</v>
      </c>
      <c r="E42" s="1682" t="s">
        <v>1898</v>
      </c>
      <c r="F42" s="1719"/>
      <c r="G42" s="1677"/>
      <c r="H42" s="1677"/>
      <c r="I42" s="1690"/>
      <c r="J42" s="1677"/>
      <c r="K42" s="1757"/>
      <c r="L42" s="1706"/>
      <c r="M42" s="1706"/>
      <c r="N42" s="1677"/>
      <c r="O42" s="1678"/>
      <c r="P42" s="1677"/>
      <c r="Q42" s="1677"/>
      <c r="R42" s="1677"/>
      <c r="S42" s="1677"/>
      <c r="T42" s="1677"/>
      <c r="U42" s="1677"/>
    </row>
    <row r="43" spans="1:21">
      <c r="A43" s="1720" t="s">
        <v>1704</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1705</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17" customFormat="1" ht="21" thickBot="1">
      <c r="A45" s="3018" t="s">
        <v>2887</v>
      </c>
      <c r="B45" s="3013"/>
      <c r="C45" s="3013"/>
      <c r="D45" s="3013"/>
      <c r="E45" s="3013"/>
      <c r="F45" s="3013"/>
      <c r="G45" s="3013"/>
      <c r="H45" s="3013"/>
      <c r="I45" s="3014"/>
      <c r="J45" s="3013"/>
      <c r="K45" s="3015"/>
      <c r="L45" s="3016"/>
      <c r="M45" s="3016"/>
      <c r="N45" s="3013"/>
      <c r="O45" s="3014"/>
      <c r="P45" s="3013"/>
      <c r="Q45" s="3013"/>
      <c r="R45" s="3013"/>
      <c r="S45" s="3013"/>
      <c r="T45" s="3013"/>
      <c r="U45" s="3013"/>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2002</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46.8">
      <c r="A48" s="1682" t="s">
        <v>2003</v>
      </c>
      <c r="B48" s="1669" t="s">
        <v>2004</v>
      </c>
      <c r="C48" s="1669" t="s">
        <v>2005</v>
      </c>
      <c r="D48" s="1669" t="s">
        <v>2006</v>
      </c>
      <c r="E48" s="1669" t="s">
        <v>2007</v>
      </c>
      <c r="F48" s="1669" t="s">
        <v>2008</v>
      </c>
      <c r="G48" s="1669" t="s">
        <v>2009</v>
      </c>
      <c r="H48" s="1669" t="s">
        <v>2010</v>
      </c>
      <c r="I48" s="1669" t="s">
        <v>2011</v>
      </c>
      <c r="J48" s="1755" t="s">
        <v>2012</v>
      </c>
      <c r="K48" s="1749" t="s">
        <v>2013</v>
      </c>
      <c r="L48" s="1749" t="s">
        <v>2014</v>
      </c>
      <c r="M48" s="1749" t="s">
        <v>2015</v>
      </c>
      <c r="N48" s="1669" t="s">
        <v>2016</v>
      </c>
      <c r="O48" s="1669" t="s">
        <v>2017</v>
      </c>
      <c r="P48" s="1669" t="s">
        <v>2018</v>
      </c>
      <c r="Q48" s="1682" t="s">
        <v>2019</v>
      </c>
      <c r="R48" s="1682" t="s">
        <v>2020</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9"/>
  <sheetViews>
    <sheetView workbookViewId="0">
      <selection activeCell="C20" sqref="C20"/>
    </sheetView>
  </sheetViews>
  <sheetFormatPr defaultRowHeight="14.4"/>
  <sheetData>
    <row r="19" spans="3:3">
      <c r="C19">
        <f>33875/1060</f>
        <v>31.95754716981132</v>
      </c>
    </row>
  </sheetData>
  <phoneticPr fontId="228"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16" sqref="A16"/>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hidden="1" customWidth="1"/>
    <col min="18" max="18" width="9.21875" style="15" hidden="1" customWidth="1"/>
    <col min="19" max="19" width="10.88671875" style="15" hidden="1" customWidth="1"/>
    <col min="20"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1002"/>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23" t="s">
        <v>2328</v>
      </c>
      <c r="BA2" s="2324" t="s">
        <v>2327</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3.2">
      <c r="A3" s="21">
        <v>13713.98</v>
      </c>
      <c r="B3" s="22">
        <f>IF(C3="否",G5-AT5,G5)</f>
        <v>110119</v>
      </c>
      <c r="C3" s="23"/>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25"/>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3.2">
      <c r="A5" s="26" t="s">
        <v>168</v>
      </c>
      <c r="B5" s="988"/>
      <c r="C5" s="988"/>
      <c r="D5" s="995"/>
      <c r="E5" s="27" t="s">
        <v>1</v>
      </c>
      <c r="F5" s="27">
        <f>SUM(F13:F572)</f>
        <v>0</v>
      </c>
      <c r="G5" s="27">
        <f>SUM(G13:G572)</f>
        <v>110119</v>
      </c>
      <c r="H5" s="27">
        <f t="shared" ref="H5:AT5" si="0">SUM(H13:H641)</f>
        <v>109353</v>
      </c>
      <c r="I5" s="27">
        <f t="shared" si="0"/>
        <v>75478</v>
      </c>
      <c r="J5" s="27">
        <f t="shared" si="0"/>
        <v>0</v>
      </c>
      <c r="K5" s="27">
        <f t="shared" si="0"/>
        <v>33875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766</v>
      </c>
      <c r="AD5" s="27">
        <f t="shared" si="0"/>
        <v>0</v>
      </c>
      <c r="AE5" s="27">
        <f t="shared" si="0"/>
        <v>0</v>
      </c>
      <c r="AF5" s="27">
        <f t="shared" si="0"/>
        <v>0</v>
      </c>
      <c r="AG5" s="27">
        <f t="shared" si="0"/>
        <v>0</v>
      </c>
      <c r="AH5" s="27">
        <f t="shared" si="0"/>
        <v>0</v>
      </c>
      <c r="AI5" s="27">
        <f t="shared" si="0"/>
        <v>0</v>
      </c>
      <c r="AJ5" s="27">
        <f t="shared" si="0"/>
        <v>0</v>
      </c>
      <c r="AK5" s="27">
        <f t="shared" si="0"/>
        <v>0</v>
      </c>
      <c r="AL5" s="27">
        <f t="shared" si="0"/>
        <v>466</v>
      </c>
      <c r="AM5" s="27">
        <f t="shared" si="0"/>
        <v>0</v>
      </c>
      <c r="AN5" s="27">
        <f t="shared" si="0"/>
        <v>300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110119</v>
      </c>
      <c r="BA5" s="29">
        <f t="shared" si="1"/>
        <v>109353</v>
      </c>
      <c r="BB5" s="29">
        <f t="shared" si="1"/>
        <v>75478</v>
      </c>
      <c r="BC5" s="29">
        <f t="shared" si="1"/>
        <v>33875</v>
      </c>
      <c r="BD5" s="29">
        <f t="shared" si="1"/>
        <v>0</v>
      </c>
      <c r="BE5" s="29">
        <f t="shared" si="1"/>
        <v>0</v>
      </c>
      <c r="BF5" s="29">
        <f t="shared" si="1"/>
        <v>0</v>
      </c>
      <c r="BG5" s="29">
        <f t="shared" si="1"/>
        <v>0</v>
      </c>
      <c r="BH5" s="29">
        <f t="shared" si="1"/>
        <v>0</v>
      </c>
      <c r="BI5" s="29">
        <f t="shared" si="1"/>
        <v>0</v>
      </c>
      <c r="BJ5" s="29">
        <f t="shared" si="1"/>
        <v>0</v>
      </c>
      <c r="BK5" s="29">
        <f t="shared" si="1"/>
        <v>0</v>
      </c>
      <c r="BL5" s="29">
        <f t="shared" si="1"/>
        <v>766</v>
      </c>
      <c r="BM5" s="29">
        <f t="shared" si="1"/>
        <v>0</v>
      </c>
      <c r="BN5" s="29">
        <f t="shared" si="1"/>
        <v>0</v>
      </c>
      <c r="BO5" s="29">
        <f t="shared" si="1"/>
        <v>0</v>
      </c>
      <c r="BP5" s="29">
        <f t="shared" si="1"/>
        <v>0</v>
      </c>
      <c r="BQ5" s="29">
        <f t="shared" si="1"/>
        <v>466</v>
      </c>
      <c r="BR5" s="29">
        <f t="shared" si="1"/>
        <v>300</v>
      </c>
      <c r="BS5" s="29">
        <f t="shared" si="1"/>
        <v>0</v>
      </c>
      <c r="BT5" s="30">
        <f t="shared" si="1"/>
        <v>0</v>
      </c>
    </row>
    <row r="6" spans="1:72" s="37" customFormat="1" ht="13.2">
      <c r="A6" s="26" t="s">
        <v>169</v>
      </c>
      <c r="B6" s="31"/>
      <c r="C6" s="31"/>
      <c r="D6" s="32"/>
      <c r="E6" s="27">
        <f>H6+AC6+AT6</f>
        <v>13713.98</v>
      </c>
      <c r="F6" s="27" t="s">
        <v>1</v>
      </c>
      <c r="G6" s="27" t="s">
        <v>2</v>
      </c>
      <c r="H6" s="33">
        <f>SUMIF(I$12:AB$12,"总值",I6:AB6)</f>
        <v>13618.59</v>
      </c>
      <c r="I6" s="27">
        <f t="shared" ref="I6:AB6" si="2">ROUND($A$3*I5/$B$3,2)</f>
        <v>9399.8700000000008</v>
      </c>
      <c r="J6" s="27">
        <f t="shared" si="2"/>
        <v>0</v>
      </c>
      <c r="K6" s="27">
        <f t="shared" si="2"/>
        <v>4218.72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95.39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58.03</v>
      </c>
      <c r="AM6" s="27">
        <f t="shared" si="3"/>
        <v>0</v>
      </c>
      <c r="AN6" s="27">
        <f t="shared" si="3"/>
        <v>37.36</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13713.98</v>
      </c>
      <c r="AZ6" s="27" t="s">
        <v>3</v>
      </c>
      <c r="BA6" s="27">
        <f>ROUND($AY$6*BA5/$AZ$5,2)</f>
        <v>13618.58</v>
      </c>
      <c r="BB6" s="27">
        <f>ROUND($AY$6*BB5/$AZ$5,2)</f>
        <v>9399.8700000000008</v>
      </c>
      <c r="BC6" s="27">
        <f t="shared" ref="BC6:BH6" si="4">ROUND($AY$6*BC5/$AZ$5,2)</f>
        <v>4218.72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95.4</v>
      </c>
      <c r="BM6" s="27">
        <f t="shared" si="5"/>
        <v>0</v>
      </c>
      <c r="BN6" s="27">
        <f t="shared" si="5"/>
        <v>0</v>
      </c>
      <c r="BO6" s="27">
        <f t="shared" si="5"/>
        <v>0</v>
      </c>
      <c r="BP6" s="27">
        <f t="shared" si="5"/>
        <v>0</v>
      </c>
      <c r="BQ6" s="27">
        <f t="shared" si="5"/>
        <v>58.03</v>
      </c>
      <c r="BR6" s="27">
        <f t="shared" si="5"/>
        <v>37.36</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81"/>
      <c r="AT8" s="2312" t="s">
        <v>853</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70" t="s">
        <v>3011</v>
      </c>
      <c r="J9" s="51"/>
      <c r="K9" s="2970" t="s">
        <v>3013</v>
      </c>
      <c r="L9" s="51"/>
      <c r="M9" s="297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3"/>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70" t="s">
        <v>3002</v>
      </c>
      <c r="J10" s="51"/>
      <c r="K10" s="2972" t="s">
        <v>3002</v>
      </c>
      <c r="L10" s="51"/>
      <c r="M10" s="2972"/>
      <c r="N10" s="51"/>
      <c r="O10" s="66"/>
      <c r="P10" s="51"/>
      <c r="Q10" s="66"/>
      <c r="R10" s="51"/>
      <c r="S10" s="66"/>
      <c r="T10" s="51"/>
      <c r="U10" s="66"/>
      <c r="V10" s="51"/>
      <c r="W10" s="66"/>
      <c r="X10" s="51"/>
      <c r="Y10" s="66"/>
      <c r="Z10" s="51"/>
      <c r="AA10" s="66"/>
      <c r="AB10" s="51"/>
      <c r="AC10" s="55"/>
      <c r="AD10" s="2298" t="s">
        <v>2312</v>
      </c>
      <c r="AE10" s="2320"/>
      <c r="AF10" s="2298" t="s">
        <v>2312</v>
      </c>
      <c r="AG10" s="2320"/>
      <c r="AH10" s="2298" t="s">
        <v>2313</v>
      </c>
      <c r="AI10" s="2320"/>
      <c r="AJ10" s="26" t="s">
        <v>2326</v>
      </c>
      <c r="AK10" s="2317"/>
      <c r="AL10" s="2298" t="s">
        <v>2314</v>
      </c>
      <c r="AM10" s="2299"/>
      <c r="AN10" s="26" t="s">
        <v>198</v>
      </c>
      <c r="AO10" s="61"/>
      <c r="AP10" s="1182" t="s">
        <v>199</v>
      </c>
      <c r="AQ10" s="1184"/>
      <c r="AR10" s="1182" t="s">
        <v>199</v>
      </c>
      <c r="AS10" s="1184"/>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71" t="s">
        <v>3012</v>
      </c>
      <c r="J11" s="71"/>
      <c r="K11" s="2971" t="s">
        <v>3003</v>
      </c>
      <c r="L11" s="71"/>
      <c r="M11" s="70"/>
      <c r="N11" s="71"/>
      <c r="O11" s="70"/>
      <c r="P11" s="71"/>
      <c r="Q11" s="70"/>
      <c r="R11" s="71"/>
      <c r="S11" s="70"/>
      <c r="T11" s="71"/>
      <c r="U11" s="70"/>
      <c r="V11" s="71"/>
      <c r="W11" s="70"/>
      <c r="X11" s="71"/>
      <c r="Y11" s="70"/>
      <c r="Z11" s="71"/>
      <c r="AA11" s="70"/>
      <c r="AB11" s="71"/>
      <c r="AC11" s="55"/>
      <c r="AD11" s="2318" t="s">
        <v>2325</v>
      </c>
      <c r="AE11" s="1001"/>
      <c r="AF11" s="2318" t="s">
        <v>2325</v>
      </c>
      <c r="AG11" s="1001"/>
      <c r="AH11" s="2318" t="s">
        <v>2324</v>
      </c>
      <c r="AI11" s="2319"/>
      <c r="AJ11" s="2318" t="s">
        <v>2324</v>
      </c>
      <c r="AK11" s="2317"/>
      <c r="AL11" s="999"/>
      <c r="AM11" s="1001"/>
      <c r="AN11" s="999"/>
      <c r="AO11" s="1001"/>
      <c r="AP11" s="1183"/>
      <c r="AQ11" s="1185"/>
      <c r="AR11" s="1183"/>
      <c r="AS11" s="1185"/>
      <c r="AT11" s="1002"/>
      <c r="AU11" s="45"/>
      <c r="AV11" s="55"/>
      <c r="AW11" s="1002"/>
      <c r="AX11" s="55"/>
      <c r="AY11" s="62"/>
      <c r="AZ11" s="62"/>
      <c r="BA11" s="62"/>
      <c r="BB11" s="50" t="str">
        <f>I10</f>
        <v>商业</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公寓</v>
      </c>
      <c r="BC12" s="79" t="str">
        <f>K11</f>
        <v>车库</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65"/>
      <c r="B13" s="2965"/>
      <c r="C13" s="2965"/>
      <c r="D13" s="2966" t="s">
        <v>1676</v>
      </c>
      <c r="E13" s="27">
        <f t="shared" ref="E13:E20" si="6">IF($C$3="是",ROUND($A$3*G13/$B$3,2),ROUND($A$3*(G13-AT13)/$B$3,2))</f>
        <v>13713.98</v>
      </c>
      <c r="F13" s="81"/>
      <c r="G13" s="82">
        <f t="shared" ref="G13:G20" si="7">H13+AC13+AT13</f>
        <v>110119</v>
      </c>
      <c r="H13" s="33">
        <f t="shared" ref="H13:H20" si="8">SUMIF(I$12:AB$12,"总值",I13:AB13)</f>
        <v>109353</v>
      </c>
      <c r="I13" s="2969">
        <v>75478</v>
      </c>
      <c r="J13" s="2969"/>
      <c r="K13" s="2969">
        <v>33875</v>
      </c>
      <c r="L13" s="2969"/>
      <c r="M13" s="2969"/>
      <c r="N13" s="83"/>
      <c r="O13" s="83"/>
      <c r="P13" s="83"/>
      <c r="Q13" s="83"/>
      <c r="R13" s="83"/>
      <c r="S13" s="83"/>
      <c r="T13" s="83"/>
      <c r="U13" s="83"/>
      <c r="V13" s="83"/>
      <c r="W13" s="83"/>
      <c r="X13" s="83"/>
      <c r="Y13" s="83"/>
      <c r="Z13" s="83"/>
      <c r="AA13" s="83"/>
      <c r="AB13" s="83"/>
      <c r="AC13" s="27">
        <f t="shared" ref="AC13:AC20" si="9">SUMIF(AD$12:AS$12,"总值",AD13:AS13)</f>
        <v>766</v>
      </c>
      <c r="AD13" s="2973"/>
      <c r="AE13" s="2973"/>
      <c r="AF13" s="2973"/>
      <c r="AG13" s="2973"/>
      <c r="AH13" s="2973"/>
      <c r="AI13" s="2973"/>
      <c r="AJ13" s="2973"/>
      <c r="AK13" s="2973"/>
      <c r="AL13" s="2973">
        <f>116+350</f>
        <v>466</v>
      </c>
      <c r="AM13" s="2973"/>
      <c r="AN13" s="2973">
        <v>300</v>
      </c>
      <c r="AO13" s="2973"/>
      <c r="AP13" s="2973"/>
      <c r="AQ13" s="2973"/>
      <c r="AR13" s="2973"/>
      <c r="AS13" s="2973"/>
      <c r="AT13" s="2974"/>
      <c r="AU13" s="2975"/>
      <c r="AV13" s="17">
        <f t="shared" ref="AV13:AX20" si="10">A13</f>
        <v>0</v>
      </c>
      <c r="AW13" s="17">
        <f t="shared" si="10"/>
        <v>0</v>
      </c>
      <c r="AX13" s="17">
        <f t="shared" si="10"/>
        <v>0</v>
      </c>
      <c r="AY13" s="995">
        <f t="shared" ref="AY13:AY20" si="11">ROUND($AY$6*AZ13/$AZ$5,2)</f>
        <v>13713.98</v>
      </c>
      <c r="AZ13" s="27">
        <f t="shared" ref="AZ13:AZ20" si="12">BA13+BL13</f>
        <v>110119</v>
      </c>
      <c r="BA13" s="27">
        <f t="shared" ref="BA13:BA20" si="13">SUM(BB13:BK13)</f>
        <v>109353</v>
      </c>
      <c r="BB13" s="27">
        <f t="shared" ref="BB13:BB20" si="14">IF($D13="是",I13-J13,0)</f>
        <v>75478</v>
      </c>
      <c r="BC13" s="27">
        <f t="shared" ref="BC13:BC20" si="15">IF($D13="是",K13-L13,0)</f>
        <v>33875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766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466</v>
      </c>
      <c r="BR13" s="27">
        <f t="shared" ref="BR13:BR20" si="30">IF($D13="是",AN13-AO13,0)</f>
        <v>300</v>
      </c>
      <c r="BS13" s="27">
        <f t="shared" ref="BS13:BS20" si="31">IF($D13="是",AP13-AQ13,0)</f>
        <v>0</v>
      </c>
      <c r="BT13" s="36">
        <f t="shared" ref="BT13:BT20" si="32">IF($D13="是",AR13-AS13,0)</f>
        <v>0</v>
      </c>
    </row>
    <row r="14" spans="1:72" s="18" customFormat="1" ht="13.2">
      <c r="A14" s="2965"/>
      <c r="B14" s="2965"/>
      <c r="C14" s="2967"/>
      <c r="D14" s="2966"/>
      <c r="E14" s="27">
        <f t="shared" si="6"/>
        <v>0</v>
      </c>
      <c r="F14" s="81"/>
      <c r="G14" s="82">
        <f t="shared" si="7"/>
        <v>0</v>
      </c>
      <c r="H14" s="33">
        <f t="shared" si="8"/>
        <v>0</v>
      </c>
      <c r="I14" s="2969"/>
      <c r="J14" s="2969"/>
      <c r="K14" s="2969"/>
      <c r="L14" s="2969"/>
      <c r="M14" s="2969"/>
      <c r="N14" s="83"/>
      <c r="O14" s="83"/>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5">
        <f>A3*5.5</f>
        <v>75426.89</v>
      </c>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75426.89</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8"/>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59"/>
      <c r="AM18" s="92"/>
      <c r="AN18" s="1390"/>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59"/>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9"/>
      <c r="C22" s="1390"/>
      <c r="D22" s="80"/>
      <c r="E22" s="87">
        <f t="shared" si="33"/>
        <v>0</v>
      </c>
      <c r="F22" s="88"/>
      <c r="G22" s="89">
        <f t="shared" si="34"/>
        <v>0</v>
      </c>
      <c r="H22" s="90">
        <f t="shared" si="35"/>
        <v>0</v>
      </c>
      <c r="I22" s="1392"/>
      <c r="J22" s="91"/>
      <c r="K22" s="1392"/>
      <c r="L22" s="91"/>
      <c r="M22" s="1359"/>
      <c r="N22" s="91"/>
      <c r="O22" s="91"/>
      <c r="P22" s="91"/>
      <c r="Q22" s="91"/>
      <c r="R22" s="91"/>
      <c r="S22" s="91"/>
      <c r="T22" s="91"/>
      <c r="U22" s="91"/>
      <c r="V22" s="91"/>
      <c r="W22" s="91"/>
      <c r="X22" s="91"/>
      <c r="Y22" s="91"/>
      <c r="Z22" s="91"/>
      <c r="AA22" s="91"/>
      <c r="AB22" s="91"/>
      <c r="AC22" s="87">
        <f t="shared" si="36"/>
        <v>0</v>
      </c>
      <c r="AD22" s="1359"/>
      <c r="AE22" s="92"/>
      <c r="AF22" s="1393"/>
      <c r="AG22" s="92"/>
      <c r="AH22" s="92"/>
      <c r="AI22" s="92"/>
      <c r="AJ22" s="92"/>
      <c r="AK22" s="92"/>
      <c r="AL22" s="1359"/>
      <c r="AM22" s="92"/>
      <c r="AN22" s="1359"/>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9"/>
      <c r="C23" s="1390"/>
      <c r="D23" s="80"/>
      <c r="E23" s="87">
        <f t="shared" si="33"/>
        <v>0</v>
      </c>
      <c r="F23" s="88"/>
      <c r="G23" s="89">
        <f t="shared" si="34"/>
        <v>0</v>
      </c>
      <c r="H23" s="90">
        <f t="shared" si="35"/>
        <v>0</v>
      </c>
      <c r="I23" s="1392"/>
      <c r="J23" s="91"/>
      <c r="K23" s="1392"/>
      <c r="L23" s="91"/>
      <c r="M23" s="1359"/>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59"/>
      <c r="AM23" s="92"/>
      <c r="AN23" s="1359"/>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9"/>
      <c r="C24" s="1390"/>
      <c r="D24" s="80"/>
      <c r="E24" s="87">
        <f t="shared" si="33"/>
        <v>0</v>
      </c>
      <c r="F24" s="88"/>
      <c r="G24" s="89">
        <f t="shared" si="34"/>
        <v>0</v>
      </c>
      <c r="H24" s="90">
        <f t="shared" si="35"/>
        <v>0</v>
      </c>
      <c r="I24" s="1392"/>
      <c r="J24" s="91"/>
      <c r="K24" s="1392"/>
      <c r="L24" s="91"/>
      <c r="M24" s="91"/>
      <c r="N24" s="91"/>
      <c r="O24" s="1359"/>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59"/>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59"/>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9"/>
      <c r="C114" s="1390"/>
      <c r="D114" s="80"/>
      <c r="E114" s="87">
        <f t="shared" si="87"/>
        <v>0</v>
      </c>
      <c r="F114" s="88"/>
      <c r="G114" s="89">
        <f t="shared" si="62"/>
        <v>0</v>
      </c>
      <c r="H114" s="90">
        <f t="shared" si="63"/>
        <v>0</v>
      </c>
      <c r="I114" s="1392"/>
      <c r="J114" s="91"/>
      <c r="K114" s="1392"/>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3"/>
      <c r="AG114" s="92"/>
      <c r="AH114" s="92"/>
      <c r="AI114" s="92"/>
      <c r="AJ114" s="92"/>
      <c r="AK114" s="92"/>
      <c r="AL114" s="1359"/>
      <c r="AM114" s="92"/>
      <c r="AN114" s="1359"/>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9"/>
      <c r="C115" s="1390"/>
      <c r="D115" s="80"/>
      <c r="E115" s="87">
        <f t="shared" si="87"/>
        <v>0</v>
      </c>
      <c r="F115" s="88"/>
      <c r="G115" s="89">
        <f t="shared" si="62"/>
        <v>0</v>
      </c>
      <c r="H115" s="90">
        <f t="shared" si="63"/>
        <v>0</v>
      </c>
      <c r="I115" s="1392"/>
      <c r="J115" s="91"/>
      <c r="K115" s="1392"/>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59"/>
      <c r="AM115" s="92"/>
      <c r="AN115" s="1359"/>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9"/>
      <c r="C116" s="1390"/>
      <c r="D116" s="80"/>
      <c r="E116" s="87">
        <f t="shared" si="87"/>
        <v>0</v>
      </c>
      <c r="F116" s="88"/>
      <c r="G116" s="89">
        <f t="shared" si="62"/>
        <v>0</v>
      </c>
      <c r="H116" s="90">
        <f t="shared" si="63"/>
        <v>0</v>
      </c>
      <c r="I116" s="1392"/>
      <c r="J116" s="91"/>
      <c r="K116" s="1392"/>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59"/>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59"/>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9"/>
      <c r="C206" s="1390"/>
      <c r="D206" s="80"/>
      <c r="E206" s="87">
        <f t="shared" si="149"/>
        <v>0</v>
      </c>
      <c r="F206" s="88"/>
      <c r="G206" s="89">
        <f t="shared" si="150"/>
        <v>0</v>
      </c>
      <c r="H206" s="90">
        <f t="shared" si="151"/>
        <v>0</v>
      </c>
      <c r="I206" s="1392"/>
      <c r="J206" s="91"/>
      <c r="K206" s="1392"/>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3"/>
      <c r="AG206" s="92"/>
      <c r="AH206" s="92"/>
      <c r="AI206" s="92"/>
      <c r="AJ206" s="92"/>
      <c r="AK206" s="92"/>
      <c r="AL206" s="1359"/>
      <c r="AM206" s="92"/>
      <c r="AN206" s="1359"/>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9"/>
      <c r="C207" s="1390"/>
      <c r="D207" s="80"/>
      <c r="E207" s="87">
        <f t="shared" si="149"/>
        <v>0</v>
      </c>
      <c r="F207" s="88"/>
      <c r="G207" s="89">
        <f t="shared" si="150"/>
        <v>0</v>
      </c>
      <c r="H207" s="90">
        <f t="shared" si="151"/>
        <v>0</v>
      </c>
      <c r="I207" s="1392"/>
      <c r="J207" s="91"/>
      <c r="K207" s="1392"/>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59"/>
      <c r="AM207" s="92"/>
      <c r="AN207" s="1359"/>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9"/>
      <c r="C208" s="1390"/>
      <c r="D208" s="80"/>
      <c r="E208" s="87">
        <f t="shared" si="149"/>
        <v>0</v>
      </c>
      <c r="F208" s="88"/>
      <c r="G208" s="89">
        <f t="shared" si="150"/>
        <v>0</v>
      </c>
      <c r="H208" s="90">
        <f t="shared" si="151"/>
        <v>0</v>
      </c>
      <c r="I208" s="1392"/>
      <c r="J208" s="91"/>
      <c r="K208" s="1392"/>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59"/>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59"/>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9"/>
      <c r="C298" s="1390"/>
      <c r="D298" s="80"/>
      <c r="E298" s="87">
        <f t="shared" si="203"/>
        <v>0</v>
      </c>
      <c r="F298" s="88"/>
      <c r="G298" s="89">
        <f t="shared" si="178"/>
        <v>0</v>
      </c>
      <c r="H298" s="90">
        <f t="shared" si="179"/>
        <v>0</v>
      </c>
      <c r="I298" s="1392"/>
      <c r="J298" s="91"/>
      <c r="K298" s="1392"/>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3"/>
      <c r="AG298" s="92"/>
      <c r="AH298" s="92"/>
      <c r="AI298" s="92"/>
      <c r="AJ298" s="92"/>
      <c r="AK298" s="92"/>
      <c r="AL298" s="1359"/>
      <c r="AM298" s="92"/>
      <c r="AN298" s="1359"/>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9"/>
      <c r="C299" s="1390"/>
      <c r="D299" s="80"/>
      <c r="E299" s="87">
        <f t="shared" si="203"/>
        <v>0</v>
      </c>
      <c r="F299" s="88"/>
      <c r="G299" s="89">
        <f t="shared" si="178"/>
        <v>0</v>
      </c>
      <c r="H299" s="90">
        <f t="shared" si="179"/>
        <v>0</v>
      </c>
      <c r="I299" s="1392"/>
      <c r="J299" s="91"/>
      <c r="K299" s="1392"/>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59"/>
      <c r="AM299" s="92"/>
      <c r="AN299" s="1359"/>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9"/>
      <c r="C300" s="1390"/>
      <c r="D300" s="80"/>
      <c r="E300" s="87">
        <f t="shared" si="203"/>
        <v>0</v>
      </c>
      <c r="F300" s="88"/>
      <c r="G300" s="89">
        <f t="shared" si="178"/>
        <v>0</v>
      </c>
      <c r="H300" s="90">
        <f t="shared" si="179"/>
        <v>0</v>
      </c>
      <c r="I300" s="1392"/>
      <c r="J300" s="91"/>
      <c r="K300" s="1392"/>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59"/>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59"/>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9"/>
      <c r="C390" s="1390"/>
      <c r="D390" s="80"/>
      <c r="E390" s="87">
        <f t="shared" si="265"/>
        <v>0</v>
      </c>
      <c r="F390" s="88"/>
      <c r="G390" s="89">
        <f t="shared" si="266"/>
        <v>0</v>
      </c>
      <c r="H390" s="90">
        <f t="shared" si="267"/>
        <v>0</v>
      </c>
      <c r="I390" s="1392"/>
      <c r="J390" s="91"/>
      <c r="K390" s="1392"/>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3"/>
      <c r="AG390" s="92"/>
      <c r="AH390" s="92"/>
      <c r="AI390" s="92"/>
      <c r="AJ390" s="92"/>
      <c r="AK390" s="92"/>
      <c r="AL390" s="1359"/>
      <c r="AM390" s="92"/>
      <c r="AN390" s="1359"/>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9"/>
      <c r="C391" s="1390"/>
      <c r="D391" s="80"/>
      <c r="E391" s="87">
        <f t="shared" si="265"/>
        <v>0</v>
      </c>
      <c r="F391" s="88"/>
      <c r="G391" s="89">
        <f t="shared" si="266"/>
        <v>0</v>
      </c>
      <c r="H391" s="90">
        <f t="shared" si="267"/>
        <v>0</v>
      </c>
      <c r="I391" s="1392"/>
      <c r="J391" s="91"/>
      <c r="K391" s="1392"/>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59"/>
      <c r="AM391" s="92"/>
      <c r="AN391" s="1359"/>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9"/>
      <c r="C392" s="1390"/>
      <c r="D392" s="80"/>
      <c r="E392" s="87">
        <f t="shared" si="265"/>
        <v>0</v>
      </c>
      <c r="F392" s="88"/>
      <c r="G392" s="89">
        <f t="shared" si="266"/>
        <v>0</v>
      </c>
      <c r="H392" s="90">
        <f t="shared" si="267"/>
        <v>0</v>
      </c>
      <c r="I392" s="1392"/>
      <c r="J392" s="91"/>
      <c r="K392" s="1392"/>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59"/>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59"/>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9"/>
      <c r="C482" s="1390"/>
      <c r="D482" s="80"/>
      <c r="E482" s="87">
        <f t="shared" si="319"/>
        <v>0</v>
      </c>
      <c r="F482" s="88"/>
      <c r="G482" s="89">
        <f t="shared" si="294"/>
        <v>0</v>
      </c>
      <c r="H482" s="90">
        <f t="shared" si="295"/>
        <v>0</v>
      </c>
      <c r="I482" s="1392"/>
      <c r="J482" s="91"/>
      <c r="K482" s="1392"/>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3"/>
      <c r="AG482" s="92"/>
      <c r="AH482" s="92"/>
      <c r="AI482" s="92"/>
      <c r="AJ482" s="92"/>
      <c r="AK482" s="92"/>
      <c r="AL482" s="1359"/>
      <c r="AM482" s="92"/>
      <c r="AN482" s="1359"/>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9"/>
      <c r="C483" s="1390"/>
      <c r="D483" s="80"/>
      <c r="E483" s="87">
        <f t="shared" si="319"/>
        <v>0</v>
      </c>
      <c r="F483" s="88"/>
      <c r="G483" s="89">
        <f t="shared" si="294"/>
        <v>0</v>
      </c>
      <c r="H483" s="90">
        <f t="shared" si="295"/>
        <v>0</v>
      </c>
      <c r="I483" s="1392"/>
      <c r="J483" s="91"/>
      <c r="K483" s="1392"/>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59"/>
      <c r="AM483" s="92"/>
      <c r="AN483" s="1359"/>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9"/>
      <c r="C484" s="1390"/>
      <c r="D484" s="80"/>
      <c r="E484" s="87">
        <f t="shared" si="319"/>
        <v>0</v>
      </c>
      <c r="F484" s="88"/>
      <c r="G484" s="89">
        <f t="shared" si="294"/>
        <v>0</v>
      </c>
      <c r="H484" s="90">
        <f t="shared" si="295"/>
        <v>0</v>
      </c>
      <c r="I484" s="1392"/>
      <c r="J484" s="91"/>
      <c r="K484" s="1392"/>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59"/>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69" t="s">
        <v>0</v>
      </c>
      <c r="B1" s="3269" t="s">
        <v>4</v>
      </c>
      <c r="C1" s="3269" t="s">
        <v>5</v>
      </c>
      <c r="D1" s="3270" t="s">
        <v>40</v>
      </c>
      <c r="E1" s="3270" t="s">
        <v>41</v>
      </c>
      <c r="F1" s="3270"/>
      <c r="G1" s="3270"/>
      <c r="H1" s="3270"/>
      <c r="I1" s="3270"/>
      <c r="J1" s="3270"/>
      <c r="K1" s="3270"/>
      <c r="L1" s="3270"/>
      <c r="M1" s="3270"/>
    </row>
    <row r="2" spans="1:13" ht="27" customHeight="1">
      <c r="A2" s="3269"/>
      <c r="B2" s="3269"/>
      <c r="C2" s="3269"/>
      <c r="D2" s="3270"/>
      <c r="E2" s="3270" t="s">
        <v>24</v>
      </c>
      <c r="F2" s="3270" t="s">
        <v>25</v>
      </c>
      <c r="G2" s="3270"/>
      <c r="H2" s="3270"/>
      <c r="I2" s="3270"/>
      <c r="J2" s="3270" t="s">
        <v>26</v>
      </c>
      <c r="K2" s="3270"/>
      <c r="L2" s="3270"/>
      <c r="M2" s="3270"/>
    </row>
    <row r="3" spans="1:13" ht="46.8">
      <c r="A3" s="3269"/>
      <c r="B3" s="3269"/>
      <c r="C3" s="3269"/>
      <c r="D3" s="3270"/>
      <c r="E3" s="3270"/>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0" t="s">
        <v>42</v>
      </c>
      <c r="B9" s="3270"/>
      <c r="C9" s="327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14" sqref="G14"/>
    </sheetView>
  </sheetViews>
  <sheetFormatPr defaultColWidth="9.21875" defaultRowHeight="13.8"/>
  <cols>
    <col min="1" max="1" width="8.21875" style="1969" customWidth="1"/>
    <col min="2" max="2" width="10.21875" style="1969" customWidth="1"/>
    <col min="3" max="3" width="18.44140625" style="1969" customWidth="1"/>
    <col min="4" max="4" width="11.109375" style="1969" customWidth="1"/>
    <col min="5" max="5" width="13.33203125" style="1969" customWidth="1"/>
    <col min="6" max="8" width="11.44140625" style="1969" customWidth="1"/>
    <col min="9" max="9" width="10.33203125" style="1969" customWidth="1"/>
    <col min="10" max="10" width="3.109375" style="1969" customWidth="1"/>
    <col min="11" max="16" width="11.6640625" style="1969" customWidth="1"/>
    <col min="17" max="17" width="3.33203125" style="1969" customWidth="1"/>
    <col min="18" max="16384" width="9.21875" style="1969"/>
  </cols>
  <sheetData>
    <row r="1" spans="1:16" ht="17.399999999999999">
      <c r="A1" s="104" t="s">
        <v>202</v>
      </c>
      <c r="B1" s="1968"/>
      <c r="C1" s="1968"/>
      <c r="D1" s="1968"/>
      <c r="E1" s="1968"/>
      <c r="F1" s="1968"/>
      <c r="G1" s="1968"/>
      <c r="H1" s="1968"/>
      <c r="I1" s="1968"/>
      <c r="J1" s="1968"/>
      <c r="K1" s="1968"/>
      <c r="L1" s="1968"/>
    </row>
    <row r="2" spans="1:16" ht="14.4">
      <c r="A2" s="3280" t="s">
        <v>203</v>
      </c>
      <c r="B2" s="3280"/>
      <c r="C2" s="3280"/>
      <c r="D2" s="1959" t="s">
        <v>204</v>
      </c>
      <c r="E2" s="106" t="s">
        <v>205</v>
      </c>
      <c r="F2" s="1968"/>
      <c r="G2" s="1193"/>
      <c r="H2" s="1194"/>
      <c r="I2" s="1195" t="s">
        <v>855</v>
      </c>
      <c r="J2" s="1968"/>
      <c r="K2" s="1968"/>
      <c r="L2" s="1968"/>
    </row>
    <row r="3" spans="1:16" ht="15" thickBot="1">
      <c r="A3" s="3281" t="s">
        <v>206</v>
      </c>
      <c r="B3" s="3281"/>
      <c r="C3" s="3281"/>
      <c r="D3" s="107">
        <f>'数据-基础表'!AY6</f>
        <v>13713.98</v>
      </c>
      <c r="E3" s="107">
        <f>'数据-基础表'!AZ5</f>
        <v>110119</v>
      </c>
      <c r="F3" s="1968"/>
      <c r="G3" s="280" t="s">
        <v>856</v>
      </c>
      <c r="H3" s="275" t="s">
        <v>857</v>
      </c>
      <c r="I3" s="1960">
        <f>ROUND('数据-基础表'!B3/'数据-基础表'!A3,2)</f>
        <v>8.0299999999999994</v>
      </c>
      <c r="J3" s="1968"/>
      <c r="K3" s="1968"/>
      <c r="L3" s="1968"/>
    </row>
    <row r="4" spans="1:16" ht="14.4">
      <c r="A4" s="3282"/>
      <c r="B4" s="3283"/>
      <c r="C4" s="3284"/>
      <c r="D4" s="108" t="s">
        <v>204</v>
      </c>
      <c r="E4" s="109" t="s">
        <v>205</v>
      </c>
      <c r="F4" s="1968"/>
      <c r="G4" s="1196"/>
      <c r="H4" s="275" t="s">
        <v>858</v>
      </c>
      <c r="I4" s="1960">
        <f>ROUND(SUMIF('数据-基础表'!I9:AS9,"地上",'数据-基础表'!I5:AS5)/'数据-基础表'!A3,2)</f>
        <v>5.54</v>
      </c>
      <c r="J4" s="1968"/>
      <c r="K4" s="1968"/>
      <c r="L4" s="1968"/>
    </row>
    <row r="5" spans="1:16" ht="14.4">
      <c r="A5" s="110" t="s">
        <v>207</v>
      </c>
      <c r="B5" s="3285" t="s">
        <v>230</v>
      </c>
      <c r="C5" s="3285"/>
      <c r="D5" s="111">
        <f>ROUND($D$3*E5/$E$3,2)</f>
        <v>0</v>
      </c>
      <c r="E5" s="112">
        <f>SUMIF('数据-基础表'!$11:$11,"住宅",'数据-基础表'!$5:$5)</f>
        <v>0</v>
      </c>
      <c r="F5" s="1968"/>
      <c r="G5" s="280" t="s">
        <v>859</v>
      </c>
      <c r="H5" s="275" t="s">
        <v>857</v>
      </c>
      <c r="I5" s="1960">
        <f>ROUND(E31/D31,2)</f>
        <v>8.0299999999999994</v>
      </c>
      <c r="J5" s="1968"/>
      <c r="K5" s="1968"/>
      <c r="L5" s="1968"/>
    </row>
    <row r="6" spans="1:16" ht="15" thickBot="1">
      <c r="A6" s="113"/>
      <c r="B6" s="3285" t="s">
        <v>208</v>
      </c>
      <c r="C6" s="3285"/>
      <c r="D6" s="111">
        <f>ROUND($D$3*E6/$E$3,2)</f>
        <v>13713.98</v>
      </c>
      <c r="E6" s="112">
        <f>E3-E5</f>
        <v>110119</v>
      </c>
      <c r="F6" s="1968"/>
      <c r="G6" s="1196"/>
      <c r="H6" s="275" t="s">
        <v>858</v>
      </c>
      <c r="I6" s="1960">
        <f>ROUND(F31/D31,2)</f>
        <v>5.54</v>
      </c>
      <c r="J6" s="1968"/>
      <c r="K6" s="1968"/>
      <c r="L6" s="1968"/>
    </row>
    <row r="7" spans="1:16" ht="14.4">
      <c r="A7" s="3277"/>
      <c r="B7" s="3278"/>
      <c r="C7" s="3279"/>
      <c r="D7" s="108" t="s">
        <v>204</v>
      </c>
      <c r="E7" s="114" t="s">
        <v>231</v>
      </c>
      <c r="F7" s="1968"/>
      <c r="G7" s="1151" t="s">
        <v>1643</v>
      </c>
      <c r="H7" s="1152"/>
      <c r="I7" s="1830">
        <v>4</v>
      </c>
      <c r="J7" s="1968"/>
      <c r="K7" s="1968"/>
      <c r="L7" s="1968"/>
    </row>
    <row r="8" spans="1:16" ht="14.4">
      <c r="A8" s="110" t="s">
        <v>209</v>
      </c>
      <c r="B8" s="115" t="s">
        <v>210</v>
      </c>
      <c r="C8" s="111" t="s">
        <v>211</v>
      </c>
      <c r="D8" s="111">
        <f t="shared" ref="D8:D15" si="0">ROUND($D$3*E8/$E$3,2)</f>
        <v>9399.8700000000008</v>
      </c>
      <c r="E8" s="116">
        <f>SUMIF('数据-基础表'!BB10:BK10,"地上",'数据-基础表'!BB5:BK5)</f>
        <v>75478</v>
      </c>
      <c r="F8" s="1968"/>
      <c r="G8" s="1970"/>
      <c r="H8" s="1970"/>
      <c r="I8" s="1968"/>
      <c r="J8" s="1968"/>
      <c r="K8" s="1968"/>
      <c r="L8" s="1968"/>
    </row>
    <row r="9" spans="1:16" ht="14.4">
      <c r="A9" s="117"/>
      <c r="B9" s="118"/>
      <c r="C9" s="111" t="s">
        <v>212</v>
      </c>
      <c r="D9" s="111">
        <f t="shared" si="0"/>
        <v>0</v>
      </c>
      <c r="E9" s="119">
        <v>0</v>
      </c>
      <c r="F9" s="1968"/>
      <c r="G9" s="1970"/>
      <c r="H9" s="1970"/>
      <c r="I9" s="1968"/>
      <c r="J9" s="1968"/>
      <c r="K9" s="1968"/>
      <c r="L9" s="1968"/>
    </row>
    <row r="10" spans="1:16" ht="14.4">
      <c r="A10" s="117"/>
      <c r="B10" s="118"/>
      <c r="C10" s="111" t="s">
        <v>213</v>
      </c>
      <c r="D10" s="111">
        <f t="shared" si="0"/>
        <v>4218.72</v>
      </c>
      <c r="E10" s="116">
        <f>SUMPRODUCT(('数据-基础表'!BB10:BK10="地下")*('数据-基础表'!BB11:BK11="商业")*('数据-基础表'!BB5:BK5))</f>
        <v>33875</v>
      </c>
      <c r="F10" s="1968"/>
      <c r="G10" s="1970"/>
      <c r="H10" s="1970"/>
      <c r="I10" s="1968"/>
      <c r="J10" s="1968"/>
      <c r="K10" s="1968"/>
      <c r="L10" s="1968"/>
    </row>
    <row r="11" spans="1:16" ht="14.4">
      <c r="A11" s="117"/>
      <c r="B11" s="118"/>
      <c r="C11" s="2315" t="s">
        <v>2322</v>
      </c>
      <c r="D11" s="111">
        <f t="shared" si="0"/>
        <v>0</v>
      </c>
      <c r="E11" s="116">
        <f>SUMPRODUCT(('数据-基础表'!BB10:BK10="地下")*('数据-基础表'!BB11:BK11="办公")*('数据-基础表'!BB5:BK5))+'数据-基础表'!AJ5</f>
        <v>0</v>
      </c>
      <c r="F11" s="1968"/>
      <c r="G11" s="1970"/>
      <c r="H11" s="1970"/>
      <c r="I11" s="1968"/>
      <c r="J11" s="1968"/>
      <c r="K11" s="1968"/>
      <c r="L11" s="1968"/>
    </row>
    <row r="12" spans="1:16" ht="14.4">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ht="14.4">
      <c r="A13" s="117"/>
      <c r="B13" s="118"/>
      <c r="C13" s="2315" t="s">
        <v>2329</v>
      </c>
      <c r="D13" s="111">
        <f t="shared" si="0"/>
        <v>0</v>
      </c>
      <c r="E13" s="116">
        <f>SUMPRODUCT(('数据-基础表'!BB10:BK10="地下")*('数据-基础表'!BB11:BK11="车库")*('数据-基础表'!BB5:BK5))</f>
        <v>0</v>
      </c>
      <c r="F13" s="1968"/>
      <c r="G13" s="1970"/>
      <c r="H13" s="1970"/>
      <c r="I13" s="1968"/>
      <c r="J13" s="1968"/>
      <c r="K13" s="1968"/>
      <c r="L13" s="1968"/>
    </row>
    <row r="14" spans="1:16" ht="14.4">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 thickBot="1">
      <c r="A16" s="113"/>
      <c r="B16" s="118"/>
      <c r="C16" s="115" t="s">
        <v>215</v>
      </c>
      <c r="D16" s="115">
        <f>SUM(D8:D15)</f>
        <v>13618.59</v>
      </c>
      <c r="E16" s="120">
        <f>SUM(E8:E15)</f>
        <v>109353</v>
      </c>
      <c r="F16" s="1968"/>
      <c r="G16" s="1970"/>
      <c r="H16" s="967" t="s">
        <v>219</v>
      </c>
      <c r="I16" s="968"/>
      <c r="J16" s="1968"/>
      <c r="K16" s="3271" t="s">
        <v>2561</v>
      </c>
      <c r="L16" s="3272"/>
      <c r="M16" s="3272"/>
      <c r="N16" s="3272"/>
      <c r="O16" s="3272"/>
      <c r="P16" s="3273"/>
    </row>
    <row r="17" spans="1:19" ht="14.4">
      <c r="A17" s="121" t="s">
        <v>216</v>
      </c>
      <c r="B17" s="122" t="s">
        <v>217</v>
      </c>
      <c r="C17" s="2282" t="s">
        <v>2308</v>
      </c>
      <c r="D17" s="108" t="s">
        <v>204</v>
      </c>
      <c r="E17" s="124" t="s">
        <v>205</v>
      </c>
      <c r="F17" s="125"/>
      <c r="G17" s="1361"/>
      <c r="H17" s="969" t="s">
        <v>218</v>
      </c>
      <c r="I17" s="970" t="s">
        <v>2307</v>
      </c>
      <c r="J17" s="1968"/>
      <c r="K17" s="3274" t="s">
        <v>2562</v>
      </c>
      <c r="L17" s="3275"/>
      <c r="M17" s="3276"/>
      <c r="N17" s="3274" t="s">
        <v>2563</v>
      </c>
      <c r="O17" s="3275"/>
      <c r="P17" s="3276"/>
      <c r="R17" s="2283" t="s">
        <v>2306</v>
      </c>
      <c r="S17" s="144"/>
    </row>
    <row r="18" spans="1:19" ht="14.4">
      <c r="A18" s="117"/>
      <c r="B18" s="128"/>
      <c r="C18" s="129"/>
      <c r="D18" s="2605"/>
      <c r="E18" s="130" t="s">
        <v>220</v>
      </c>
      <c r="F18" s="131" t="s">
        <v>221</v>
      </c>
      <c r="G18" s="1362" t="s">
        <v>222</v>
      </c>
      <c r="H18" s="971" t="s">
        <v>223</v>
      </c>
      <c r="I18" s="972" t="s">
        <v>224</v>
      </c>
      <c r="J18" s="1968"/>
      <c r="K18" s="2568" t="s">
        <v>2564</v>
      </c>
      <c r="L18" s="2569" t="s">
        <v>2565</v>
      </c>
      <c r="M18" s="2570" t="s">
        <v>2566</v>
      </c>
      <c r="N18" s="2568" t="s">
        <v>2564</v>
      </c>
      <c r="O18" s="2569" t="s">
        <v>2565</v>
      </c>
      <c r="P18" s="2570" t="s">
        <v>2566</v>
      </c>
      <c r="R18" s="2284" t="s">
        <v>2304</v>
      </c>
      <c r="S18" s="2284" t="s">
        <v>2305</v>
      </c>
    </row>
    <row r="19" spans="1:19" ht="14.4">
      <c r="A19" s="133"/>
      <c r="B19" s="115" t="s">
        <v>225</v>
      </c>
      <c r="C19" s="2976" t="s">
        <v>3014</v>
      </c>
      <c r="D19" s="111">
        <f t="shared" ref="D19:D26" si="1">ROUND($D$3*E19/$E$3,2)</f>
        <v>9399.8700000000008</v>
      </c>
      <c r="E19" s="134">
        <f t="shared" ref="E19:E26" si="2">SUM(F19:G19)</f>
        <v>75478</v>
      </c>
      <c r="F19" s="135">
        <f>'数据-基础表'!I5</f>
        <v>75478</v>
      </c>
      <c r="G19" s="1363"/>
      <c r="H19" s="973">
        <f>ROUND($D$3*I19/$E$3,2)</f>
        <v>65.84</v>
      </c>
      <c r="I19" s="116">
        <f>IF($I$17="自定义",P19,M19)</f>
        <v>528.71</v>
      </c>
      <c r="J19" s="1968"/>
      <c r="K19" s="2571">
        <f t="shared" ref="K19:K26" si="3">ROUND(E$28*E19/E$27,2)</f>
        <v>528.71</v>
      </c>
      <c r="L19" s="275">
        <f t="shared" ref="L19:L26" si="4">ROUND(IF(COUNTIF(C19,"*住宅*")&gt;0,E$29*E19/E$32,0),2)</f>
        <v>0</v>
      </c>
      <c r="M19" s="2572">
        <f>K19+L19</f>
        <v>528.71</v>
      </c>
      <c r="N19" s="2573"/>
      <c r="O19" s="2574"/>
      <c r="P19" s="2575">
        <f>N19+O19</f>
        <v>0</v>
      </c>
      <c r="R19" s="275">
        <f t="shared" ref="R19:S26" si="5">D19+H19</f>
        <v>9465.7100000000009</v>
      </c>
      <c r="S19" s="2285">
        <f t="shared" si="5"/>
        <v>76006.710000000006</v>
      </c>
    </row>
    <row r="20" spans="1:19" ht="14.4">
      <c r="A20" s="138"/>
      <c r="B20" s="115" t="s">
        <v>226</v>
      </c>
      <c r="C20" s="2976" t="s">
        <v>3015</v>
      </c>
      <c r="D20" s="111">
        <f t="shared" si="1"/>
        <v>4218.72</v>
      </c>
      <c r="E20" s="134">
        <f t="shared" si="2"/>
        <v>33875</v>
      </c>
      <c r="F20" s="135"/>
      <c r="G20" s="1363">
        <f>'数据-基础表'!K5</f>
        <v>33875</v>
      </c>
      <c r="H20" s="973">
        <f t="shared" ref="H20:H26" si="6">ROUND($D$3*I20/$E$3,2)</f>
        <v>29.55</v>
      </c>
      <c r="I20" s="116">
        <f t="shared" ref="I20:I26" si="7">IF($I$17="自定义",P20,M20)</f>
        <v>237.29</v>
      </c>
      <c r="J20" s="1968"/>
      <c r="K20" s="2571">
        <f t="shared" si="3"/>
        <v>237.29</v>
      </c>
      <c r="L20" s="275">
        <f t="shared" si="4"/>
        <v>0</v>
      </c>
      <c r="M20" s="2572">
        <f t="shared" ref="M20:M26" si="8">K20+L20</f>
        <v>237.29</v>
      </c>
      <c r="N20" s="2573"/>
      <c r="O20" s="2574"/>
      <c r="P20" s="2575">
        <f t="shared" ref="P20:P26" si="9">N20+O20</f>
        <v>0</v>
      </c>
      <c r="R20" s="275">
        <f t="shared" si="5"/>
        <v>4248.2700000000004</v>
      </c>
      <c r="S20" s="2285">
        <f t="shared" si="5"/>
        <v>34112.29</v>
      </c>
    </row>
    <row r="21" spans="1:19" ht="14.4">
      <c r="A21" s="138"/>
      <c r="B21" s="115" t="s">
        <v>226</v>
      </c>
      <c r="C21" s="2976"/>
      <c r="D21" s="111">
        <f t="shared" si="1"/>
        <v>0</v>
      </c>
      <c r="E21" s="134">
        <f t="shared" si="2"/>
        <v>0</v>
      </c>
      <c r="F21" s="135"/>
      <c r="G21" s="1363"/>
      <c r="H21" s="973">
        <f t="shared" si="6"/>
        <v>0</v>
      </c>
      <c r="I21" s="116">
        <f t="shared" si="7"/>
        <v>0</v>
      </c>
      <c r="J21" s="1968"/>
      <c r="K21" s="2571">
        <f t="shared" si="3"/>
        <v>0</v>
      </c>
      <c r="L21" s="275">
        <f t="shared" si="4"/>
        <v>0</v>
      </c>
      <c r="M21" s="2572">
        <f t="shared" si="8"/>
        <v>0</v>
      </c>
      <c r="N21" s="2573"/>
      <c r="O21" s="2574"/>
      <c r="P21" s="2575">
        <f t="shared" si="9"/>
        <v>0</v>
      </c>
      <c r="R21" s="275">
        <f t="shared" si="5"/>
        <v>0</v>
      </c>
      <c r="S21" s="2285">
        <f t="shared" si="5"/>
        <v>0</v>
      </c>
    </row>
    <row r="22" spans="1:19" ht="14.4">
      <c r="A22" s="138"/>
      <c r="B22" s="115" t="s">
        <v>226</v>
      </c>
      <c r="C22" s="1360"/>
      <c r="D22" s="111">
        <f t="shared" si="1"/>
        <v>0</v>
      </c>
      <c r="E22" s="134">
        <f t="shared" si="2"/>
        <v>0</v>
      </c>
      <c r="F22" s="140"/>
      <c r="G22" s="1364"/>
      <c r="H22" s="973">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ht="14.4">
      <c r="A23" s="138"/>
      <c r="B23" s="115" t="s">
        <v>226</v>
      </c>
      <c r="C23" s="139"/>
      <c r="D23" s="111">
        <f>ROUND($D$3*E23/$E$3,2)</f>
        <v>0</v>
      </c>
      <c r="E23" s="134">
        <f>SUM(F23:G23)</f>
        <v>0</v>
      </c>
      <c r="F23" s="140"/>
      <c r="G23" s="1364"/>
      <c r="H23" s="973">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ht="14.4">
      <c r="A24" s="138"/>
      <c r="B24" s="115" t="s">
        <v>226</v>
      </c>
      <c r="C24" s="139"/>
      <c r="D24" s="111">
        <f>ROUND($D$3*E24/$E$3,2)</f>
        <v>0</v>
      </c>
      <c r="E24" s="134">
        <f>SUM(F24:G24)</f>
        <v>0</v>
      </c>
      <c r="F24" s="140"/>
      <c r="G24" s="1364"/>
      <c r="H24" s="973">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ht="14.4">
      <c r="A25" s="138"/>
      <c r="B25" s="115" t="s">
        <v>226</v>
      </c>
      <c r="C25" s="139"/>
      <c r="D25" s="111">
        <f t="shared" si="1"/>
        <v>0</v>
      </c>
      <c r="E25" s="134">
        <f t="shared" si="2"/>
        <v>0</v>
      </c>
      <c r="F25" s="140"/>
      <c r="G25" s="1364"/>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ht="14.4">
      <c r="A26" s="138"/>
      <c r="B26" s="115" t="s">
        <v>226</v>
      </c>
      <c r="C26" s="142"/>
      <c r="D26" s="111">
        <f t="shared" si="1"/>
        <v>0</v>
      </c>
      <c r="E26" s="134">
        <f t="shared" si="2"/>
        <v>0</v>
      </c>
      <c r="F26" s="140"/>
      <c r="G26" s="1364"/>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15" thickBot="1">
      <c r="A27" s="138"/>
      <c r="B27" s="111"/>
      <c r="C27" s="127" t="s">
        <v>215</v>
      </c>
      <c r="D27" s="134">
        <f>SUM(D19:D26)</f>
        <v>13618.59</v>
      </c>
      <c r="E27" s="143">
        <f>IF(SUM(E19:E26)='数据-基础表'!BA5,SUM(E19:E26),IF(F27="地上面积有误","面积有误","地下面积有误"))</f>
        <v>109353</v>
      </c>
      <c r="F27" s="134">
        <f>IF(SUM(F19:F26)=E8,SUM(F19:F26),"地上面积有误")</f>
        <v>75478</v>
      </c>
      <c r="G27" s="112">
        <f>SUM(G19:G26)</f>
        <v>33875</v>
      </c>
      <c r="H27" s="974">
        <f>SUM(H19:H26)</f>
        <v>95.39</v>
      </c>
      <c r="I27" s="975">
        <f>SUM(I19:I26)</f>
        <v>766</v>
      </c>
      <c r="J27" s="1968"/>
      <c r="K27" s="2580">
        <f>SUM(K19:K26)</f>
        <v>766</v>
      </c>
      <c r="L27" s="2581">
        <f>SUM(L19:L26)</f>
        <v>0</v>
      </c>
      <c r="M27" s="2582">
        <f>SUM(M19:M26)</f>
        <v>766</v>
      </c>
      <c r="N27" s="2580">
        <f t="shared" ref="N27:O27" si="10">SUM(N19:N26)</f>
        <v>0</v>
      </c>
      <c r="O27" s="2581">
        <f t="shared" si="10"/>
        <v>0</v>
      </c>
      <c r="P27" s="2583">
        <f>SUM(P19:P26)</f>
        <v>0</v>
      </c>
      <c r="R27" s="2289">
        <f>IF(SUM(R19:R26)=$D$3,SUM(R19:R26),SUM(R19:R26)&amp;"误差"&amp;ROUND(SUM(R19:R26)-$D$3,2))</f>
        <v>13713.980000000001</v>
      </c>
      <c r="S27" s="275">
        <f>IF(SUM(S19:S26)=$E$3,SUM(S19:S26),SUM(S19:S26)&amp;"误差"&amp;ROUND(SUM(S19:S26)-E3,2))</f>
        <v>110119</v>
      </c>
    </row>
    <row r="28" spans="1:19" ht="14.4">
      <c r="A28" s="138"/>
      <c r="B28" s="115" t="s">
        <v>227</v>
      </c>
      <c r="C28" s="136" t="s">
        <v>228</v>
      </c>
      <c r="D28" s="111">
        <f>ROUND($D$3*E28/$E$3,2)</f>
        <v>95.4</v>
      </c>
      <c r="E28" s="134">
        <f>SUM(F28:G28)</f>
        <v>766</v>
      </c>
      <c r="F28" s="144">
        <f>'数据-基础表'!BQ5+'数据-基础表'!BS5</f>
        <v>466</v>
      </c>
      <c r="G28" s="145">
        <f>'数据-基础表'!BR5+'数据-基础表'!BT5</f>
        <v>300</v>
      </c>
      <c r="H28" s="1968"/>
      <c r="I28" s="1968"/>
      <c r="J28" s="1968"/>
      <c r="K28" s="1968"/>
      <c r="L28" s="1968"/>
    </row>
    <row r="29" spans="1:19" ht="14.4">
      <c r="A29" s="138"/>
      <c r="B29" s="115" t="s">
        <v>227</v>
      </c>
      <c r="C29" s="2297" t="s">
        <v>2315</v>
      </c>
      <c r="D29" s="111">
        <f>ROUND($D$3*E29/$E$3,2)</f>
        <v>0</v>
      </c>
      <c r="E29" s="134">
        <f>SUM(F29:G29)</f>
        <v>0</v>
      </c>
      <c r="F29" s="144">
        <f>'数据-基础表'!BM5+'数据-基础表'!BO5</f>
        <v>0</v>
      </c>
      <c r="G29" s="146">
        <f>'数据-基础表'!BN5+'数据-基础表'!BP5</f>
        <v>0</v>
      </c>
      <c r="H29" s="1968"/>
      <c r="I29" s="1968"/>
      <c r="J29" s="1968"/>
      <c r="K29" s="1968"/>
      <c r="L29" s="1968"/>
    </row>
    <row r="30" spans="1:19" ht="14.4">
      <c r="A30" s="138"/>
      <c r="B30" s="111"/>
      <c r="C30" s="147" t="s">
        <v>215</v>
      </c>
      <c r="D30" s="134">
        <f>SUM(D28:D29)</f>
        <v>95.4</v>
      </c>
      <c r="E30" s="134">
        <f>SUM(E28:E29)</f>
        <v>766</v>
      </c>
      <c r="F30" s="134">
        <f>SUM(F28:F29)</f>
        <v>466</v>
      </c>
      <c r="G30" s="112">
        <f>SUM(G28:G29)</f>
        <v>300</v>
      </c>
      <c r="H30" s="1968"/>
      <c r="I30" s="1968"/>
      <c r="J30" s="1968"/>
      <c r="K30" s="1968"/>
      <c r="L30" s="1968"/>
    </row>
    <row r="31" spans="1:19" ht="32.25" customHeight="1" thickBot="1">
      <c r="A31" s="1365"/>
      <c r="B31" s="1366" t="s">
        <v>229</v>
      </c>
      <c r="C31" s="2314" t="s">
        <v>2317</v>
      </c>
      <c r="D31" s="1367">
        <f>D27+D30</f>
        <v>13713.99</v>
      </c>
      <c r="E31" s="1367">
        <f>E27+E30</f>
        <v>110119</v>
      </c>
      <c r="F31" s="1368">
        <f>F27+F30</f>
        <v>75944</v>
      </c>
      <c r="G31" s="1369">
        <f>G27+G30</f>
        <v>34175</v>
      </c>
      <c r="H31" s="1968"/>
      <c r="I31" s="1968"/>
      <c r="J31" s="1968"/>
      <c r="K31" s="1968"/>
      <c r="L31" s="1968"/>
    </row>
    <row r="32" spans="1:19" ht="14.4">
      <c r="A32" s="1968"/>
      <c r="B32" s="2326" t="s">
        <v>2316</v>
      </c>
      <c r="C32" s="2610"/>
      <c r="D32" s="1196"/>
      <c r="E32" s="1196">
        <f>SUMIF(C19:C26,"*住宅*",E19:E26)</f>
        <v>0</v>
      </c>
      <c r="F32" s="1196"/>
      <c r="G32" s="1196"/>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T6" activePane="bottomRight" state="frozen"/>
      <selection pane="topRight" activeCell="D1" sqref="D1"/>
      <selection pane="bottomLeft" activeCell="A4" sqref="A4"/>
      <selection pane="bottomRight" activeCell="AL7" sqref="AL7"/>
    </sheetView>
  </sheetViews>
  <sheetFormatPr defaultColWidth="13.77734375" defaultRowHeight="13.2"/>
  <cols>
    <col min="1" max="1" width="20.88671875" style="1211" customWidth="1"/>
    <col min="2" max="3" width="12" style="1198" customWidth="1"/>
    <col min="4" max="4" width="9.109375" style="1212" customWidth="1"/>
    <col min="5" max="5" width="15" style="1198" bestFit="1" customWidth="1"/>
    <col min="6" max="10" width="8.88671875" style="1198" customWidth="1"/>
    <col min="11" max="12" width="12.33203125" style="1213" customWidth="1"/>
    <col min="13" max="13" width="8.6640625" style="1198" customWidth="1"/>
    <col min="14" max="14" width="9.77734375" style="1198" customWidth="1"/>
    <col min="15" max="16" width="9.6640625" style="1198" customWidth="1"/>
    <col min="17" max="17" width="10.88671875" style="1198" customWidth="1"/>
    <col min="18" max="19" width="12.44140625" style="1198" customWidth="1"/>
    <col min="20" max="20" width="12.109375" style="1198" customWidth="1"/>
    <col min="21" max="21" width="7.44140625" style="1198" customWidth="1"/>
    <col min="22" max="22" width="6.33203125" style="1198" customWidth="1"/>
    <col min="23" max="24" width="6.77734375" style="1198" customWidth="1"/>
    <col min="25" max="25" width="8.109375" style="1198" customWidth="1"/>
    <col min="26" max="30" width="6.77734375" style="1198" customWidth="1"/>
    <col min="31" max="31" width="6.44140625" style="1198" customWidth="1"/>
    <col min="32" max="34" width="7.21875" style="1198" customWidth="1"/>
    <col min="35" max="39" width="8" style="1198" customWidth="1"/>
    <col min="40" max="41" width="13.77734375" style="1982"/>
    <col min="42" max="42" width="0" style="1982" hidden="1" customWidth="1"/>
    <col min="43" max="83" width="13.77734375" style="1982"/>
    <col min="84" max="16384" width="13.77734375" style="1198"/>
  </cols>
  <sheetData>
    <row r="1" spans="1:83" ht="18" thickBot="1">
      <c r="A1" s="148" t="s">
        <v>234</v>
      </c>
      <c r="B1" s="1197"/>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1" customFormat="1" ht="15" thickBot="1">
      <c r="A2" s="149" t="s">
        <v>235</v>
      </c>
      <c r="B2" s="2322">
        <f>项目基本情况!D3</f>
        <v>44006</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1" customFormat="1" ht="14.4" thickBot="1">
      <c r="A3" s="1202"/>
      <c r="B3" s="1199"/>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1" customFormat="1" ht="15" thickBot="1">
      <c r="A4" s="150" t="s">
        <v>862</v>
      </c>
      <c r="B4" s="152"/>
      <c r="C4" s="153"/>
      <c r="D4" s="1203"/>
      <c r="E4" s="1204" t="s">
        <v>863</v>
      </c>
      <c r="F4" s="153"/>
      <c r="G4" s="153"/>
      <c r="H4" s="153"/>
      <c r="I4" s="153"/>
      <c r="J4" s="154"/>
      <c r="K4" s="1205"/>
      <c r="L4" s="1206"/>
      <c r="M4" s="153"/>
      <c r="N4" s="1204" t="s">
        <v>864</v>
      </c>
      <c r="O4" s="153"/>
      <c r="P4" s="153"/>
      <c r="Q4" s="153"/>
      <c r="R4" s="153"/>
      <c r="S4" s="154"/>
      <c r="T4" s="976"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7" customFormat="1" ht="57.6">
      <c r="A5" s="2288"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4" t="s">
        <v>2822</v>
      </c>
      <c r="O5" s="163" t="s">
        <v>246</v>
      </c>
      <c r="P5" s="165" t="s">
        <v>247</v>
      </c>
      <c r="Q5" s="166" t="s">
        <v>248</v>
      </c>
      <c r="R5" s="167" t="s">
        <v>249</v>
      </c>
      <c r="S5" s="2584" t="s">
        <v>2567</v>
      </c>
      <c r="T5" s="168" t="s">
        <v>250</v>
      </c>
      <c r="U5" s="169" t="s">
        <v>251</v>
      </c>
      <c r="V5" s="159" t="s">
        <v>252</v>
      </c>
      <c r="W5" s="159" t="s">
        <v>253</v>
      </c>
      <c r="X5" s="1802"/>
      <c r="Y5" s="170" t="s">
        <v>254</v>
      </c>
      <c r="Z5" s="171" t="s">
        <v>255</v>
      </c>
      <c r="AA5" s="159" t="s">
        <v>252</v>
      </c>
      <c r="AB5" s="159" t="s">
        <v>253</v>
      </c>
      <c r="AC5" s="1803"/>
      <c r="AD5" s="172" t="s">
        <v>254</v>
      </c>
      <c r="AE5" s="1" t="s">
        <v>868</v>
      </c>
      <c r="AF5" s="159" t="s">
        <v>256</v>
      </c>
      <c r="AG5" s="170" t="s">
        <v>257</v>
      </c>
      <c r="AH5" s="1803" t="s">
        <v>2318</v>
      </c>
      <c r="AI5" s="171" t="s">
        <v>2287</v>
      </c>
      <c r="AJ5" s="171" t="s">
        <v>258</v>
      </c>
      <c r="AK5" s="159" t="s">
        <v>259</v>
      </c>
      <c r="AL5" s="159" t="s">
        <v>260</v>
      </c>
      <c r="AM5" s="172" t="s">
        <v>261</v>
      </c>
      <c r="AN5" s="2354" t="s">
        <v>2368</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1" customFormat="1" ht="14.4">
      <c r="A6" s="2286" t="str">
        <f>'数据-汇总表'!C19</f>
        <v>公寓</v>
      </c>
      <c r="B6" s="2321" t="str">
        <f>IF(A6=0,"","经营性")</f>
        <v>经营性</v>
      </c>
      <c r="C6" s="173" t="s">
        <v>3002</v>
      </c>
      <c r="D6" s="2292">
        <f>SUMIF(项目基本情况!D$15:I$15,C6,项目基本情况!D$18:I$18)</f>
        <v>40</v>
      </c>
      <c r="E6" s="2293">
        <f>IF(B6="","",SUMIF(项目基本情况!D$15:I$15,C6,项目基本情况!D$17:I$17))</f>
        <v>57971</v>
      </c>
      <c r="F6" s="174">
        <f>SUMIF(项目基本情况!D$15:I$15,C6,项目基本情况!D$19:I$19)</f>
        <v>38.26</v>
      </c>
      <c r="G6" s="175">
        <f>IF(ISERROR(ROUND(POWER(1+H6,D6-F6)*(POWER(1+H6,F6)-1)/(POWER(1+H6,D6)-1),3)),0,ROUND(POWER(1+H6,D6-F6)*(POWER(1+H6,F6)-1)/(POWER(1+H6,D6)-1),3))</f>
        <v>0.98699999999999999</v>
      </c>
      <c r="H6" s="2977">
        <v>5.5E-2</v>
      </c>
      <c r="I6" s="2977">
        <v>0.06</v>
      </c>
      <c r="J6" s="176">
        <v>8.5000000000000006E-2</v>
      </c>
      <c r="K6" s="179">
        <f>SUMIF('数据-汇总表'!C$19:C$33,'数据-取费表'!A6,'数据-汇总表'!E$19:E$33)</f>
        <v>75478</v>
      </c>
      <c r="L6" s="2978">
        <v>2800</v>
      </c>
      <c r="M6" s="177">
        <f t="shared" ref="M6:M14" si="0">ROUND(K6*L6/10000,0)</f>
        <v>21134</v>
      </c>
      <c r="N6" s="2979">
        <v>0</v>
      </c>
      <c r="O6" s="177">
        <f>IF($N$5="成新度","——",ROUND(M6*N6,0))</f>
        <v>0</v>
      </c>
      <c r="P6" s="178">
        <f>IF($N$5="成新度","——",M6-O6)</f>
        <v>21134</v>
      </c>
      <c r="Q6" s="2980">
        <v>0.1</v>
      </c>
      <c r="R6" s="179">
        <f>SUMIF('数据-汇总表'!C$19:C$33,A6,'数据-汇总表'!R$19:R$33)</f>
        <v>9465.7100000000009</v>
      </c>
      <c r="S6" s="132">
        <f>IF('数据-汇总表'!$I$17="按面积比例",SUMIF('数据-汇总表'!C$19:C$33,A6,'数据-汇总表'!K$19:K$33),SUMIF('数据-汇总表'!C$19:C$33,A6,'数据-汇总表'!N$19:N$33))</f>
        <v>528.71</v>
      </c>
      <c r="T6" s="2218">
        <f>IF($T$4="按面积比例",IF(ISERROR(ROUND($M$14*S6/S$16,0)),"0",ROUND($M$14*S6/S$16,0)),"需自行计算录入")</f>
        <v>106</v>
      </c>
      <c r="U6" s="180"/>
      <c r="V6" s="181"/>
      <c r="W6" s="181"/>
      <c r="X6" s="2305"/>
      <c r="Y6" s="182"/>
      <c r="Z6" s="183"/>
      <c r="AA6" s="176"/>
      <c r="AB6" s="176"/>
      <c r="AC6" s="2308"/>
      <c r="AD6" s="184"/>
      <c r="AE6" s="971">
        <f ca="1">IF(AN6="",0,SUMIF(INDIRECT("'"&amp;AN6&amp;"'"&amp;"!E:E"),$AE$5,INDIRECT("'"&amp;AN6&amp;"'"&amp;"!F:F")))</f>
        <v>0</v>
      </c>
      <c r="AF6" s="141"/>
      <c r="AG6" s="1208">
        <f>IF(AF6="",0,AE6-AF6)</f>
        <v>0</v>
      </c>
      <c r="AH6" s="141"/>
      <c r="AI6" s="187"/>
      <c r="AJ6" s="188"/>
      <c r="AK6" s="189"/>
      <c r="AL6" s="190"/>
      <c r="AM6" s="2991"/>
      <c r="AN6" s="2355"/>
      <c r="AO6" s="1984"/>
      <c r="AP6" s="1199">
        <f>ROUND(1-1/(1+H6)^F6,3)</f>
        <v>0.871</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1" customFormat="1" ht="14.4">
      <c r="A7" s="2286" t="str">
        <f>'数据-汇总表'!C20</f>
        <v>车库</v>
      </c>
      <c r="B7" s="2321" t="str">
        <f t="shared" ref="B7:B13" si="1">IF(A7=0,"","经营性")</f>
        <v>经营性</v>
      </c>
      <c r="C7" s="173" t="s">
        <v>3003</v>
      </c>
      <c r="D7" s="2292">
        <f>SUMIF(项目基本情况!D$15:I$15,C7,项目基本情况!D$18:I$18)</f>
        <v>40</v>
      </c>
      <c r="E7" s="2293">
        <f>IF(B7="","",SUMIF(项目基本情况!D$15:I$15,C7,项目基本情况!D$17:I$17))</f>
        <v>57971</v>
      </c>
      <c r="F7" s="174">
        <f>SUMIF(项目基本情况!D$15:I$15,C7,项目基本情况!D$19:I$19)</f>
        <v>38.26</v>
      </c>
      <c r="G7" s="175">
        <f t="shared" ref="G7:G11" si="2">IF(ISERROR(ROUND(POWER(1+H7,D7-F7)*(POWER(1+H7,F7)-1)/(POWER(1+H7,D7)-1),3)),0,ROUND(POWER(1+H7,D7-F7)*(POWER(1+H7,F7)-1)/(POWER(1+H7,D7)-1),3))</f>
        <v>0.98299999999999998</v>
      </c>
      <c r="H7" s="2977">
        <v>4.4999999999999998E-2</v>
      </c>
      <c r="I7" s="2977">
        <v>0.05</v>
      </c>
      <c r="J7" s="176">
        <v>8.5000000000000006E-2</v>
      </c>
      <c r="K7" s="179">
        <f>SUMIF('数据-汇总表'!C$19:C$33,'数据-取费表'!A7,'数据-汇总表'!E$19:E$33)</f>
        <v>33875</v>
      </c>
      <c r="L7" s="2978">
        <v>2000</v>
      </c>
      <c r="M7" s="177">
        <f t="shared" si="0"/>
        <v>6775</v>
      </c>
      <c r="N7" s="2979">
        <v>0</v>
      </c>
      <c r="O7" s="177">
        <f t="shared" ref="O7:O14" si="3">IF($N$5="成新度","——",ROUND(M7*N7,0))</f>
        <v>0</v>
      </c>
      <c r="P7" s="178">
        <f t="shared" ref="P7:P14" si="4">IF($N$5="成新度","——",M7-O7)</f>
        <v>6775</v>
      </c>
      <c r="Q7" s="2980">
        <v>0.05</v>
      </c>
      <c r="R7" s="179">
        <f>SUMIF('数据-汇总表'!C$19:C$33,A7,'数据-汇总表'!R$19:R$33)</f>
        <v>4248.2700000000004</v>
      </c>
      <c r="S7" s="132">
        <f>IF('数据-汇总表'!$I$17="按面积比例",SUMIF('数据-汇总表'!C$19:C$33,A7,'数据-汇总表'!K$19:K$33),SUMIF('数据-汇总表'!C$19:C$33,A7,'数据-汇总表'!N$19:N$33))</f>
        <v>237.29</v>
      </c>
      <c r="T7" s="2218">
        <f t="shared" ref="T7:T13" si="5">IF($T$4="按面积比例",IF(ISERROR(ROUND($M$14*S7/S$16,0)),"0",ROUND($M$14*S7/S$16,0)),"需自行计算录入")</f>
        <v>47</v>
      </c>
      <c r="U7" s="180">
        <v>350</v>
      </c>
      <c r="V7" s="181">
        <v>0.02</v>
      </c>
      <c r="W7" s="181">
        <v>0.2</v>
      </c>
      <c r="X7" s="2305"/>
      <c r="Y7" s="182">
        <v>1</v>
      </c>
      <c r="Z7" s="183"/>
      <c r="AA7" s="176"/>
      <c r="AB7" s="176"/>
      <c r="AC7" s="2308"/>
      <c r="AD7" s="184"/>
      <c r="AE7" s="971">
        <f t="shared" ref="AE7:AE13" ca="1" si="6">IF(AN7="",0,SUMIF(INDIRECT("'"&amp;AN7&amp;"'"&amp;"!E:E"),$AE$5,INDIRECT("'"&amp;AN7&amp;"'"&amp;"!F:F")))</f>
        <v>36.76</v>
      </c>
      <c r="AF7" s="141"/>
      <c r="AG7" s="1208">
        <f t="shared" ref="AG7:AG13" si="7">IF(AF7="",0,AE7-AF7)</f>
        <v>0</v>
      </c>
      <c r="AH7" s="141">
        <f>ROUNDDOWN(K7/35,0)</f>
        <v>967</v>
      </c>
      <c r="AI7" s="187">
        <v>12</v>
      </c>
      <c r="AJ7" s="188"/>
      <c r="AK7" s="189">
        <v>0.01</v>
      </c>
      <c r="AL7" s="190">
        <v>1.5E-3</v>
      </c>
      <c r="AM7" s="2353">
        <v>0.02</v>
      </c>
      <c r="AN7" s="2355" t="s">
        <v>3088</v>
      </c>
      <c r="AO7" s="1984"/>
      <c r="AP7" s="1199">
        <f t="shared" ref="AP7:AP13" si="8">ROUND(1-1/(1+H7)^F7,3)</f>
        <v>0.81399999999999995</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1" customFormat="1" ht="14.4">
      <c r="A8" s="2286">
        <f>'数据-汇总表'!C21</f>
        <v>0</v>
      </c>
      <c r="B8" s="2321" t="str">
        <f t="shared" si="1"/>
        <v/>
      </c>
      <c r="C8" s="173"/>
      <c r="D8" s="2292">
        <f>SUMIF(项目基本情况!D$15:I$15,C8,项目基本情况!D$18:I$18)</f>
        <v>0</v>
      </c>
      <c r="E8" s="2293" t="str">
        <f>IF(B8="","",SUMIF(项目基本情况!D$15:I$15,C8,项目基本情况!D$17:I$17))</f>
        <v/>
      </c>
      <c r="F8" s="174">
        <f>SUMIF(项目基本情况!D$15:I$15,C8,项目基本情况!D$19:I$19)</f>
        <v>0</v>
      </c>
      <c r="G8" s="175">
        <f t="shared" si="2"/>
        <v>0</v>
      </c>
      <c r="H8" s="2977"/>
      <c r="I8" s="2977"/>
      <c r="J8" s="176"/>
      <c r="K8" s="179">
        <f>SUMIF('数据-汇总表'!C$19:C$33,'数据-取费表'!A8,'数据-汇总表'!E$19:E$33)</f>
        <v>0</v>
      </c>
      <c r="L8" s="2978"/>
      <c r="M8" s="177">
        <f>ROUND(K8*L8/10000,0)</f>
        <v>0</v>
      </c>
      <c r="N8" s="2979"/>
      <c r="O8" s="177">
        <f t="shared" si="3"/>
        <v>0</v>
      </c>
      <c r="P8" s="178">
        <f t="shared" si="4"/>
        <v>0</v>
      </c>
      <c r="Q8" s="2980"/>
      <c r="R8" s="179">
        <f>SUMIF('数据-汇总表'!C$19:C$33,A8,'数据-汇总表'!R$19:R$33)</f>
        <v>0</v>
      </c>
      <c r="S8" s="132">
        <f>IF('数据-汇总表'!$I$17="按面积比例",SUMIF('数据-汇总表'!C$19:C$33,A8,'数据-汇总表'!K$19:K$33),SUMIF('数据-汇总表'!C$19:C$33,A8,'数据-汇总表'!N$19:N$33))</f>
        <v>0</v>
      </c>
      <c r="T8" s="2218">
        <f t="shared" si="5"/>
        <v>0</v>
      </c>
      <c r="U8" s="180"/>
      <c r="V8" s="181"/>
      <c r="W8" s="181"/>
      <c r="X8" s="2305"/>
      <c r="Y8" s="182"/>
      <c r="Z8" s="183"/>
      <c r="AA8" s="176"/>
      <c r="AB8" s="176"/>
      <c r="AC8" s="2308"/>
      <c r="AD8" s="184"/>
      <c r="AE8" s="971">
        <f t="shared" ca="1" si="6"/>
        <v>0</v>
      </c>
      <c r="AF8" s="141"/>
      <c r="AG8" s="1208">
        <f t="shared" si="7"/>
        <v>0</v>
      </c>
      <c r="AH8" s="141"/>
      <c r="AI8" s="187"/>
      <c r="AJ8" s="188"/>
      <c r="AK8" s="189"/>
      <c r="AL8" s="190"/>
      <c r="AM8" s="2353"/>
      <c r="AN8" s="2355"/>
      <c r="AO8" s="1984"/>
      <c r="AP8" s="1199">
        <f t="shared" si="8"/>
        <v>0</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1" customFormat="1" ht="14.4">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1">
        <f t="shared" ca="1" si="6"/>
        <v>0</v>
      </c>
      <c r="AF9" s="141"/>
      <c r="AG9" s="1208">
        <f t="shared" si="7"/>
        <v>0</v>
      </c>
      <c r="AH9" s="141"/>
      <c r="AI9" s="187"/>
      <c r="AJ9" s="188"/>
      <c r="AK9" s="189"/>
      <c r="AL9" s="190"/>
      <c r="AM9" s="2353"/>
      <c r="AN9" s="2355"/>
      <c r="AO9" s="1984"/>
      <c r="AP9" s="1199">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1" customFormat="1" ht="14.4">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1">
        <f t="shared" ca="1" si="6"/>
        <v>0</v>
      </c>
      <c r="AF10" s="141"/>
      <c r="AG10" s="1208">
        <f t="shared" si="7"/>
        <v>0</v>
      </c>
      <c r="AH10" s="141"/>
      <c r="AI10" s="187"/>
      <c r="AJ10" s="188"/>
      <c r="AK10" s="189"/>
      <c r="AL10" s="190"/>
      <c r="AM10" s="2353"/>
      <c r="AN10" s="2355"/>
      <c r="AO10" s="1984"/>
      <c r="AP10" s="1199">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1" customFormat="1" ht="14.4">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1">
        <f t="shared" ca="1" si="6"/>
        <v>0</v>
      </c>
      <c r="AF11" s="141"/>
      <c r="AG11" s="1208">
        <f t="shared" si="7"/>
        <v>0</v>
      </c>
      <c r="AH11" s="141"/>
      <c r="AI11" s="187"/>
      <c r="AJ11" s="188"/>
      <c r="AK11" s="196"/>
      <c r="AL11" s="197"/>
      <c r="AM11" s="1801"/>
      <c r="AN11" s="2355"/>
      <c r="AO11" s="1984"/>
      <c r="AP11" s="1199">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1" customFormat="1" ht="14.4">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1">
        <f t="shared" ca="1" si="6"/>
        <v>0</v>
      </c>
      <c r="AF12" s="141"/>
      <c r="AG12" s="1208">
        <f t="shared" si="7"/>
        <v>0</v>
      </c>
      <c r="AH12" s="141"/>
      <c r="AI12" s="187"/>
      <c r="AJ12" s="188"/>
      <c r="AK12" s="196"/>
      <c r="AL12" s="197"/>
      <c r="AM12" s="1801"/>
      <c r="AN12" s="2355"/>
      <c r="AO12" s="1984"/>
      <c r="AP12" s="1199">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1" customFormat="1" ht="14.4">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1">
        <f t="shared" ca="1" si="6"/>
        <v>0</v>
      </c>
      <c r="AF13" s="141"/>
      <c r="AG13" s="1208">
        <f t="shared" si="7"/>
        <v>0</v>
      </c>
      <c r="AH13" s="141"/>
      <c r="AI13" s="187"/>
      <c r="AJ13" s="188"/>
      <c r="AK13" s="189"/>
      <c r="AL13" s="190"/>
      <c r="AM13" s="2353"/>
      <c r="AN13" s="2355"/>
      <c r="AO13" s="1984"/>
      <c r="AP13" s="1199">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1" customFormat="1" ht="13.8">
      <c r="A14" s="2287" t="s">
        <v>2309</v>
      </c>
      <c r="B14" s="2290" t="s">
        <v>1677</v>
      </c>
      <c r="C14" s="2291" t="s">
        <v>2309</v>
      </c>
      <c r="D14" s="2292"/>
      <c r="E14" s="2293"/>
      <c r="F14" s="174"/>
      <c r="G14" s="175"/>
      <c r="H14" s="2294"/>
      <c r="I14" s="2294"/>
      <c r="J14" s="2294"/>
      <c r="K14" s="179">
        <f>SUMIF('数据-汇总表'!C$19:C$33,'数据-取费表'!A14,'数据-汇总表'!E$19:E$33)</f>
        <v>766</v>
      </c>
      <c r="L14" s="193">
        <f>L7</f>
        <v>2000</v>
      </c>
      <c r="M14" s="177">
        <f t="shared" si="0"/>
        <v>153</v>
      </c>
      <c r="N14" s="194">
        <v>0</v>
      </c>
      <c r="O14" s="177">
        <f t="shared" si="3"/>
        <v>0</v>
      </c>
      <c r="P14" s="178">
        <f t="shared" si="4"/>
        <v>153</v>
      </c>
      <c r="Q14" s="2302"/>
      <c r="R14" s="179"/>
      <c r="S14" s="132"/>
      <c r="T14" s="2301"/>
      <c r="U14" s="973"/>
      <c r="V14" s="2304"/>
      <c r="W14" s="2304"/>
      <c r="X14" s="2305"/>
      <c r="Y14" s="2306"/>
      <c r="Z14" s="136"/>
      <c r="AA14" s="2307"/>
      <c r="AB14" s="2307"/>
      <c r="AC14" s="2308"/>
      <c r="AD14" s="2305"/>
      <c r="AE14" s="971"/>
      <c r="AF14" s="2280"/>
      <c r="AG14" s="1208"/>
      <c r="AH14" s="2280"/>
      <c r="AI14" s="1557"/>
      <c r="AJ14" s="1557"/>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1" customFormat="1" ht="28.8">
      <c r="A15" s="2296" t="s">
        <v>2311</v>
      </c>
      <c r="B15" s="2290" t="s">
        <v>1677</v>
      </c>
      <c r="C15" s="2291" t="s">
        <v>2310</v>
      </c>
      <c r="D15" s="2292"/>
      <c r="E15" s="2293"/>
      <c r="F15" s="174"/>
      <c r="G15" s="175"/>
      <c r="H15" s="2294"/>
      <c r="I15" s="2294"/>
      <c r="J15" s="2294"/>
      <c r="K15" s="179">
        <f>SUMIF('数据-汇总表'!C$19:C$33,'数据-取费表'!A15,'数据-汇总表'!E$19:E$33)</f>
        <v>0</v>
      </c>
      <c r="L15" s="2300"/>
      <c r="M15" s="177"/>
      <c r="N15" s="2303"/>
      <c r="O15" s="177"/>
      <c r="P15" s="178"/>
      <c r="Q15" s="2302"/>
      <c r="R15" s="179"/>
      <c r="S15" s="132"/>
      <c r="T15" s="2301"/>
      <c r="U15" s="973"/>
      <c r="V15" s="2304"/>
      <c r="W15" s="2304"/>
      <c r="X15" s="2305"/>
      <c r="Y15" s="2306"/>
      <c r="Z15" s="136"/>
      <c r="AA15" s="2307"/>
      <c r="AB15" s="2307"/>
      <c r="AC15" s="2308"/>
      <c r="AD15" s="2305"/>
      <c r="AE15" s="971"/>
      <c r="AF15" s="2280"/>
      <c r="AG15" s="1208"/>
      <c r="AH15" s="2280"/>
      <c r="AI15" s="1557"/>
      <c r="AJ15" s="1557"/>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1" customFormat="1" ht="15" thickBot="1">
      <c r="A16" s="198" t="s">
        <v>262</v>
      </c>
      <c r="B16" s="199"/>
      <c r="C16" s="200"/>
      <c r="D16" s="201"/>
      <c r="E16" s="199"/>
      <c r="F16" s="199"/>
      <c r="G16" s="202">
        <f>ROUND(SUMPRODUCT(G6:G13,K6:K13)/SUMPRODUCT((G6:G13&gt;0)*(K6:K13)),3)</f>
        <v>0.98599999999999999</v>
      </c>
      <c r="H16" s="203">
        <f>ROUND(SUMPRODUCT(H6:H13,K6:K13)/SUMPRODUCT((H6:H13&gt;0)*(K6:K13)),3)</f>
        <v>5.1999999999999998E-2</v>
      </c>
      <c r="I16" s="204"/>
      <c r="J16" s="204"/>
      <c r="K16" s="205">
        <f>SUM(K6:K15)</f>
        <v>110119</v>
      </c>
      <c r="L16" s="206">
        <f>ROUND(M16*10000/SUM(K6:K14),0)</f>
        <v>2548</v>
      </c>
      <c r="M16" s="206">
        <f>SUM(M6:M14)</f>
        <v>28062</v>
      </c>
      <c r="N16" s="207">
        <f>ROUND(SUMPRODUCT(M6:M14,N6:N14)/M16,3)</f>
        <v>0</v>
      </c>
      <c r="O16" s="206">
        <f>SUM(O6:O14)</f>
        <v>0</v>
      </c>
      <c r="P16" s="206">
        <f>SUM(P6:P14)</f>
        <v>28062</v>
      </c>
      <c r="Q16" s="208">
        <f>ROUND(SUMPRODUCT(Q6:Q13,K6:K13)/SUMPRODUCT((Q6:Q13&gt;0)*(K6:K13)),2)</f>
        <v>0.08</v>
      </c>
      <c r="R16" s="2295">
        <f>SUM(R6:R13)</f>
        <v>13713.980000000001</v>
      </c>
      <c r="S16" s="209">
        <f>SUM(S6:S13)</f>
        <v>766</v>
      </c>
      <c r="T16" s="210">
        <f>IF(SUMIF(T6:T13,"&lt;9E307")=M14,SUMIF(T6:T13,"&lt;9E307"),"有误，请检查")</f>
        <v>153</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199">
        <f>ROUND(SUMPRODUCT(AP6:AP13,K6:K13)/SUMPRODUCT((AP6:AP13&gt;0)*(K6:K13)),3)</f>
        <v>0.85299999999999998</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8" thickBot="1">
      <c r="A17" s="1209"/>
      <c r="B17" s="1197"/>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199"/>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4">
      <c r="A19" s="217" t="s">
        <v>264</v>
      </c>
      <c r="B19" s="218">
        <v>0</v>
      </c>
      <c r="C19" s="2327" t="s">
        <v>2331</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4">
      <c r="A20" s="219" t="s">
        <v>265</v>
      </c>
      <c r="B20" s="3198">
        <v>1.5</v>
      </c>
      <c r="C20" s="2327" t="s">
        <v>2330</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4">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4">
      <c r="A22" s="219" t="s">
        <v>267</v>
      </c>
      <c r="B22" s="222">
        <f>B19+B20</f>
        <v>1.5</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4">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1.5</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4.4" thickBot="1">
      <c r="A25" s="1202"/>
      <c r="B25" s="1199"/>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0" customFormat="1" ht="28.8">
      <c r="A27" s="226" t="s">
        <v>2333</v>
      </c>
      <c r="B27" s="227">
        <v>90</v>
      </c>
      <c r="C27" s="2330" t="s">
        <v>2337</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0" customFormat="1" ht="28.8">
      <c r="A28" s="228" t="s">
        <v>2334</v>
      </c>
      <c r="B28" s="229">
        <v>90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0" customFormat="1" ht="29.4" thickBot="1">
      <c r="A29" s="231" t="s">
        <v>2332</v>
      </c>
      <c r="B29" s="232"/>
      <c r="C29" s="1538" t="s">
        <v>2335</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0" customFormat="1" ht="28.8">
      <c r="A30" s="235" t="s">
        <v>273</v>
      </c>
      <c r="B30" s="977">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0" customFormat="1" ht="28.8">
      <c r="A31" s="228" t="s">
        <v>274</v>
      </c>
      <c r="B31" s="230">
        <f>B30-B32</f>
        <v>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0" customFormat="1" ht="29.4" thickBot="1">
      <c r="A32" s="237" t="s">
        <v>275</v>
      </c>
      <c r="B32" s="1373">
        <v>200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0" customFormat="1" ht="14.4">
      <c r="A33" s="226" t="s">
        <v>278</v>
      </c>
      <c r="B33" s="1374">
        <v>0.03</v>
      </c>
      <c r="C33" s="2328" t="s">
        <v>2888</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4">
      <c r="A34" s="228" t="s">
        <v>279</v>
      </c>
      <c r="B34" s="233"/>
      <c r="C34" s="2328" t="s">
        <v>2889</v>
      </c>
      <c r="D34" s="1977" t="s">
        <v>869</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4">
      <c r="A35" s="228" t="s">
        <v>276</v>
      </c>
      <c r="B35" s="229">
        <v>200</v>
      </c>
      <c r="C35" s="2328" t="s">
        <v>2890</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2891</v>
      </c>
      <c r="D36" s="1974"/>
      <c r="E36" s="1197"/>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4">
      <c r="A37" s="235" t="s">
        <v>280</v>
      </c>
      <c r="B37" s="236">
        <v>0.02</v>
      </c>
      <c r="C37" s="2328" t="s">
        <v>2892</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4">
      <c r="A38" s="228" t="s">
        <v>281</v>
      </c>
      <c r="B38" s="233">
        <v>0.02</v>
      </c>
      <c r="C38" s="2328" t="s">
        <v>2892</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4">
      <c r="A39" s="2452" t="s">
        <v>2451</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2452</v>
      </c>
      <c r="B40" s="2444">
        <f ca="1">存贷款利率!E2</f>
        <v>4.7500000000000001E-2</v>
      </c>
      <c r="C40" s="2328" t="s">
        <v>2336</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4">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4">
      <c r="A42" s="978" t="s">
        <v>283</v>
      </c>
      <c r="B42" s="240">
        <v>0.05</v>
      </c>
      <c r="C42" s="3045">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4">
      <c r="A43" s="978"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4">
      <c r="A44" s="239" t="s">
        <v>285</v>
      </c>
      <c r="B44" s="242">
        <v>7.0000000000000007E-2</v>
      </c>
      <c r="C44" s="2328" t="s">
        <v>2893</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4">
      <c r="A45" s="239" t="s">
        <v>286</v>
      </c>
      <c r="B45" s="240">
        <v>0.03</v>
      </c>
      <c r="C45" s="2330" t="s">
        <v>2894</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4">
      <c r="A46" s="239" t="s">
        <v>287</v>
      </c>
      <c r="B46" s="240">
        <v>0.02</v>
      </c>
      <c r="C46" s="2330" t="s">
        <v>2895</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c r="C47" s="3019" t="s">
        <v>2896</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4">
      <c r="A48" s="245" t="s">
        <v>289</v>
      </c>
      <c r="B48" s="246">
        <v>0.03</v>
      </c>
      <c r="C48" s="3020" t="s">
        <v>2897</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0" t="s">
        <v>2898</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4">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4">
      <c r="A52" s="247" t="s">
        <v>293</v>
      </c>
      <c r="B52" s="250">
        <f>SUMIF(A54:A63,B53,B54:B63)</f>
        <v>0</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8.8">
      <c r="A53" s="228" t="s">
        <v>294</v>
      </c>
      <c r="B53" s="251"/>
      <c r="C53" s="3021" t="s">
        <v>2899</v>
      </c>
      <c r="D53" s="3022" t="s">
        <v>2900</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4">
      <c r="A54" s="3024" t="s">
        <v>2901</v>
      </c>
      <c r="B54" s="186"/>
      <c r="C54" s="1978">
        <v>30</v>
      </c>
      <c r="D54" s="3023"/>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4">
      <c r="A55" s="3024" t="s">
        <v>2902</v>
      </c>
      <c r="B55" s="186"/>
      <c r="C55" s="1978">
        <v>24</v>
      </c>
      <c r="D55" s="3023"/>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4">
      <c r="A56" s="3024" t="s">
        <v>2903</v>
      </c>
      <c r="B56" s="186"/>
      <c r="C56" s="1978">
        <v>18</v>
      </c>
      <c r="D56" s="3023"/>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4">
      <c r="A57" s="3024" t="s">
        <v>2904</v>
      </c>
      <c r="B57" s="186"/>
      <c r="C57" s="1978">
        <v>12</v>
      </c>
      <c r="D57" s="3023"/>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4">
      <c r="A58" s="3024" t="s">
        <v>2905</v>
      </c>
      <c r="B58" s="186"/>
      <c r="C58" s="1978">
        <v>3</v>
      </c>
      <c r="D58" s="3023"/>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4">
      <c r="A59" s="3024" t="s">
        <v>2906</v>
      </c>
      <c r="B59" s="186"/>
      <c r="C59" s="1978">
        <v>1.5</v>
      </c>
      <c r="D59" s="3023"/>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4">
      <c r="A60" s="3024" t="s">
        <v>2907</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4">
      <c r="A61" s="3024" t="s">
        <v>2908</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4">
      <c r="A62" s="3024" t="s">
        <v>2909</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25" t="s">
        <v>2910</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4.4"/>
  <cols>
    <col min="1" max="1" width="9.44140625" style="1992" customWidth="1"/>
    <col min="2" max="2" width="24.44140625" style="2007" customWidth="1"/>
    <col min="3" max="3" width="24.44140625" style="2009" customWidth="1"/>
    <col min="4" max="4" width="2.6640625" style="2009" customWidth="1"/>
    <col min="5" max="5" width="5.88671875" style="2009" customWidth="1"/>
    <col min="6" max="6" width="27" style="2007" customWidth="1"/>
    <col min="7" max="7" width="27" style="2008" customWidth="1"/>
    <col min="8" max="8" width="11.88671875" style="2007" customWidth="1"/>
    <col min="9" max="9" width="16.77734375" style="2008" customWidth="1"/>
    <col min="10" max="10" width="2.6640625" style="2009" customWidth="1"/>
    <col min="11" max="11" width="11.88671875" style="2007" customWidth="1"/>
    <col min="12" max="12" width="16.77734375" style="2008" customWidth="1"/>
    <col min="13" max="13" width="2.6640625" style="2009" customWidth="1"/>
    <col min="14" max="14" width="11.88671875" style="2007" customWidth="1"/>
    <col min="15" max="15" width="16.77734375" style="2008" customWidth="1"/>
    <col min="16" max="16" width="2.6640625" style="2009" customWidth="1"/>
    <col min="17" max="17" width="11.88671875" style="2007" customWidth="1"/>
    <col min="18" max="18" width="16.77734375" style="2010" customWidth="1"/>
    <col min="19" max="16384" width="9" style="1992"/>
  </cols>
  <sheetData>
    <row r="1" spans="1:18" s="1991" customFormat="1" ht="18" thickBot="1">
      <c r="A1" s="3286" t="s">
        <v>1661</v>
      </c>
      <c r="B1" s="3287"/>
      <c r="C1" s="3287"/>
      <c r="D1" s="3287"/>
      <c r="E1" s="3287"/>
      <c r="F1" s="3287"/>
      <c r="G1" s="3287"/>
      <c r="H1" s="1986"/>
      <c r="I1" s="1987"/>
      <c r="J1" s="1988"/>
      <c r="K1" s="1986"/>
      <c r="L1" s="1987"/>
      <c r="M1" s="1988"/>
      <c r="N1" s="1986"/>
      <c r="O1" s="1987"/>
      <c r="P1" s="1988"/>
      <c r="Q1" s="1989"/>
      <c r="R1" s="1990"/>
    </row>
    <row r="2" spans="1:18" ht="15" thickBot="1">
      <c r="A2" s="1216"/>
      <c r="B2" s="1217"/>
      <c r="C2" s="1218" t="s">
        <v>1662</v>
      </c>
      <c r="D2" s="1219"/>
      <c r="E2" s="1220"/>
      <c r="F2" s="1221"/>
      <c r="G2" s="1218" t="s">
        <v>1663</v>
      </c>
      <c r="H2" s="1992"/>
      <c r="I2" s="1992"/>
      <c r="J2" s="1992"/>
      <c r="K2" s="1992"/>
      <c r="L2" s="1992"/>
      <c r="M2" s="1992"/>
      <c r="N2" s="1992"/>
      <c r="O2" s="1992"/>
      <c r="P2" s="1992"/>
      <c r="Q2" s="1992"/>
      <c r="R2" s="1992"/>
    </row>
    <row r="3" spans="1:18" ht="57.6">
      <c r="A3" s="1222" t="s">
        <v>1664</v>
      </c>
      <c r="B3" s="1223" t="s">
        <v>1651</v>
      </c>
      <c r="C3" s="3026" t="s">
        <v>2917</v>
      </c>
      <c r="D3" s="1993"/>
      <c r="E3" s="1224" t="s">
        <v>1664</v>
      </c>
      <c r="F3" s="1225" t="s">
        <v>1652</v>
      </c>
      <c r="G3" s="3030" t="s">
        <v>2916</v>
      </c>
      <c r="H3" s="1992"/>
      <c r="I3" s="1992"/>
      <c r="J3" s="1992"/>
      <c r="K3" s="1992"/>
      <c r="L3" s="1992"/>
      <c r="M3" s="1992"/>
      <c r="N3" s="1992"/>
      <c r="O3" s="1992"/>
      <c r="P3" s="1992"/>
      <c r="Q3" s="1992"/>
      <c r="R3" s="1992"/>
    </row>
    <row r="4" spans="1:18" ht="43.2">
      <c r="A4" s="1224"/>
      <c r="B4" s="1226" t="s">
        <v>1665</v>
      </c>
      <c r="C4" s="3027" t="s">
        <v>2918</v>
      </c>
      <c r="D4" s="1993"/>
      <c r="E4" s="1227"/>
      <c r="F4" s="1228" t="s">
        <v>1666</v>
      </c>
      <c r="G4" s="3028" t="s">
        <v>2913</v>
      </c>
      <c r="H4" s="1992"/>
      <c r="I4" s="1992"/>
      <c r="J4" s="1992"/>
      <c r="K4" s="1992"/>
      <c r="L4" s="1992"/>
      <c r="M4" s="1992"/>
      <c r="N4" s="1992"/>
      <c r="O4" s="1992"/>
      <c r="P4" s="1992"/>
      <c r="Q4" s="1992"/>
      <c r="R4" s="1992"/>
    </row>
    <row r="5" spans="1:18" ht="43.2">
      <c r="A5" s="1224"/>
      <c r="B5" s="1226" t="s">
        <v>1667</v>
      </c>
      <c r="C5" s="3027" t="s">
        <v>2919</v>
      </c>
      <c r="D5" s="1993"/>
      <c r="E5" s="1227"/>
      <c r="F5" s="1226" t="s">
        <v>2541</v>
      </c>
      <c r="G5" s="3028" t="s">
        <v>2914</v>
      </c>
      <c r="H5" s="1992"/>
      <c r="I5" s="1992"/>
      <c r="J5" s="1992"/>
      <c r="K5" s="1992"/>
      <c r="L5" s="1992"/>
      <c r="M5" s="1992"/>
      <c r="N5" s="1992"/>
      <c r="O5" s="1992"/>
      <c r="P5" s="1992"/>
      <c r="Q5" s="1992"/>
      <c r="R5" s="1992"/>
    </row>
    <row r="6" spans="1:18" ht="57.6">
      <c r="A6" s="1224"/>
      <c r="B6" s="1226" t="s">
        <v>1653</v>
      </c>
      <c r="C6" s="3028" t="s">
        <v>2913</v>
      </c>
      <c r="D6" s="1993"/>
      <c r="E6" s="1227"/>
      <c r="F6" s="1226" t="s">
        <v>2542</v>
      </c>
      <c r="G6" s="3028" t="s">
        <v>2911</v>
      </c>
      <c r="H6" s="1992"/>
      <c r="I6" s="1992"/>
      <c r="J6" s="1992"/>
      <c r="K6" s="1992"/>
      <c r="L6" s="1992"/>
      <c r="M6" s="1992"/>
      <c r="N6" s="1992"/>
      <c r="O6" s="1992"/>
      <c r="P6" s="1992"/>
      <c r="Q6" s="1992"/>
      <c r="R6" s="1992"/>
    </row>
    <row r="7" spans="1:18" ht="43.8" thickBot="1">
      <c r="A7" s="1224"/>
      <c r="B7" s="1226" t="s">
        <v>2541</v>
      </c>
      <c r="C7" s="3028" t="s">
        <v>2914</v>
      </c>
      <c r="D7" s="1994"/>
      <c r="E7" s="1229"/>
      <c r="F7" s="1230" t="s">
        <v>1668</v>
      </c>
      <c r="G7" s="3031" t="s">
        <v>2915</v>
      </c>
      <c r="H7" s="1992"/>
      <c r="I7" s="1992"/>
      <c r="J7" s="1992"/>
      <c r="K7" s="1992"/>
      <c r="L7" s="1992"/>
      <c r="M7" s="1992"/>
      <c r="N7" s="1992"/>
      <c r="O7" s="1992"/>
      <c r="P7" s="1992"/>
      <c r="Q7" s="1992"/>
      <c r="R7" s="1992"/>
    </row>
    <row r="8" spans="1:18" ht="28.8">
      <c r="A8" s="1224"/>
      <c r="B8" s="1226" t="s">
        <v>2542</v>
      </c>
      <c r="C8" s="3028" t="s">
        <v>2911</v>
      </c>
      <c r="D8" s="1994"/>
      <c r="E8" s="1994"/>
      <c r="F8" s="1539"/>
      <c r="G8" s="1539"/>
      <c r="H8" s="1992"/>
      <c r="I8" s="1992"/>
      <c r="J8" s="1992"/>
      <c r="K8" s="1992"/>
      <c r="L8" s="1992"/>
      <c r="M8" s="1992"/>
      <c r="N8" s="1992"/>
      <c r="O8" s="1992"/>
      <c r="P8" s="1992"/>
      <c r="Q8" s="1992"/>
      <c r="R8" s="1992"/>
    </row>
    <row r="9" spans="1:18" ht="43.2">
      <c r="A9" s="1224"/>
      <c r="B9" s="1226" t="s">
        <v>1654</v>
      </c>
      <c r="C9" s="3027" t="s">
        <v>2912</v>
      </c>
      <c r="D9" s="1993"/>
      <c r="E9" s="1994"/>
      <c r="F9" s="1539"/>
      <c r="G9" s="1539"/>
      <c r="H9" s="1992"/>
      <c r="I9" s="1992"/>
      <c r="J9" s="1992"/>
      <c r="K9" s="1992"/>
      <c r="L9" s="1992"/>
      <c r="M9" s="1992"/>
      <c r="N9" s="1992"/>
      <c r="O9" s="1992"/>
      <c r="P9" s="1992"/>
      <c r="Q9" s="1992"/>
      <c r="R9" s="1992"/>
    </row>
    <row r="10" spans="1:18" s="2000" customFormat="1" ht="15" thickBot="1">
      <c r="A10" s="1231"/>
      <c r="B10" s="1232" t="s">
        <v>1669</v>
      </c>
      <c r="C10" s="3029"/>
      <c r="D10" s="1993"/>
      <c r="E10" s="1993"/>
      <c r="F10" s="1539"/>
      <c r="G10" s="1539"/>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7.399999999999999">
      <c r="A12" s="1995"/>
      <c r="B12" s="1994"/>
      <c r="C12" s="1993"/>
      <c r="D12" s="2541"/>
      <c r="E12" s="1993"/>
      <c r="F12" s="1994"/>
      <c r="G12" s="1996"/>
      <c r="H12" s="2001"/>
      <c r="I12" s="2002"/>
      <c r="J12" s="2001"/>
      <c r="K12" s="2001"/>
      <c r="L12" s="2003"/>
      <c r="M12" s="2001"/>
      <c r="N12" s="2004"/>
      <c r="O12" s="2005"/>
      <c r="P12" s="2006"/>
      <c r="Q12" s="2004"/>
      <c r="R12" s="1990"/>
    </row>
    <row r="13" spans="1:18" ht="18" thickBot="1">
      <c r="A13" s="2540" t="s">
        <v>1670</v>
      </c>
      <c r="B13" s="2541"/>
      <c r="C13" s="2541"/>
      <c r="D13" s="1219"/>
      <c r="E13" s="2541"/>
      <c r="F13" s="2541"/>
      <c r="G13" s="2541"/>
    </row>
    <row r="14" spans="1:18" ht="15" thickBot="1">
      <c r="A14" s="1233"/>
      <c r="B14" s="1234"/>
      <c r="C14" s="1235" t="s">
        <v>1662</v>
      </c>
      <c r="D14" s="1993"/>
      <c r="E14" s="1236"/>
      <c r="F14" s="1236"/>
      <c r="G14" s="1218" t="s">
        <v>1663</v>
      </c>
    </row>
    <row r="15" spans="1:18" ht="57.6">
      <c r="A15" s="2551" t="s">
        <v>1655</v>
      </c>
      <c r="B15" s="1237" t="s">
        <v>1651</v>
      </c>
      <c r="C15" s="1238" t="str">
        <f>C3</f>
        <v>估价对象周边居住用地比例、居住小区规模和社区发展完善程度，综合评价居住社区成熟度一般</v>
      </c>
      <c r="D15" s="1993"/>
      <c r="E15" s="2548" t="s">
        <v>1656</v>
      </c>
      <c r="F15" s="1237" t="s">
        <v>1671</v>
      </c>
      <c r="G15" s="1239" t="str">
        <f>G3</f>
        <v>估价对象位于XX开发区，园区建设成熟度XX，产业集聚程度XX</v>
      </c>
    </row>
    <row r="16" spans="1:18" ht="43.2">
      <c r="A16" s="2552"/>
      <c r="B16" s="1240" t="s">
        <v>1665</v>
      </c>
      <c r="C16" s="1241" t="str">
        <f>C4</f>
        <v>估价对象位于XX商圈，周边商业氛围成熟，人流量大，商业繁华度好</v>
      </c>
      <c r="D16" s="1993"/>
      <c r="E16" s="2549"/>
      <c r="F16" s="1242" t="s">
        <v>1666</v>
      </c>
      <c r="G16" s="1004" t="str">
        <f>G4</f>
        <v>估价对象周边道路状况、公共交通通达情况、停车便捷程度，综合评价交通便捷度较好</v>
      </c>
    </row>
    <row r="17" spans="1:7" ht="43.2">
      <c r="A17" s="2552"/>
      <c r="B17" s="1240" t="s">
        <v>1667</v>
      </c>
      <c r="C17" s="1241" t="str">
        <f>C5</f>
        <v>估价对象位于XX商圈，周边办公楼项目较多，入驻率高，办公集聚程度较好</v>
      </c>
      <c r="D17" s="1994"/>
      <c r="E17" s="2549"/>
      <c r="F17" s="1242" t="s">
        <v>1672</v>
      </c>
      <c r="G17" s="2749"/>
    </row>
    <row r="18" spans="1:7" ht="57.6">
      <c r="A18" s="2552"/>
      <c r="B18" s="1242" t="s">
        <v>1653</v>
      </c>
      <c r="C18" s="1004" t="str">
        <f>C6</f>
        <v>估价对象周边道路状况、公共交通通达情况、停车便捷程度，综合评价交通便捷度较好</v>
      </c>
      <c r="D18" s="1994"/>
      <c r="E18" s="2549"/>
      <c r="F18" s="1242" t="s">
        <v>1668</v>
      </c>
      <c r="G18" s="1004" t="str">
        <f>G7</f>
        <v>该园区内是否有污染型企业，绿化情况，卫生条件，整体环境状况判断</v>
      </c>
    </row>
    <row r="19" spans="1:7" ht="28.8">
      <c r="A19" s="2552"/>
      <c r="B19" s="1242" t="s">
        <v>1657</v>
      </c>
      <c r="C19" s="2749"/>
      <c r="D19" s="1993"/>
      <c r="E19" s="2549"/>
      <c r="F19" s="1226" t="s">
        <v>2541</v>
      </c>
      <c r="G19" s="1004" t="str">
        <f>G5</f>
        <v>估价对象所在区域公共配套设施齐备情况</v>
      </c>
    </row>
    <row r="20" spans="1:7" ht="43.2">
      <c r="A20" s="2552"/>
      <c r="B20" s="1242" t="s">
        <v>1658</v>
      </c>
      <c r="C20" s="1241" t="str">
        <f>C9</f>
        <v>区域自然环境：；人文环境；综合评价环境状况一般</v>
      </c>
      <c r="D20" s="1994"/>
      <c r="E20" s="2549"/>
      <c r="F20" s="1226" t="s">
        <v>2542</v>
      </c>
      <c r="G20" s="1004" t="str">
        <f>G6</f>
        <v>估价对象所在区域基础设施水平</v>
      </c>
    </row>
    <row r="21" spans="1:7" ht="28.8">
      <c r="A21" s="2552"/>
      <c r="B21" s="1226" t="s">
        <v>2541</v>
      </c>
      <c r="C21" s="1004" t="str">
        <f>C7</f>
        <v>估价对象所在区域公共配套设施齐备情况</v>
      </c>
      <c r="D21" s="1993"/>
      <c r="E21" s="2549"/>
      <c r="F21" s="1242" t="s">
        <v>1659</v>
      </c>
      <c r="G21" s="3032"/>
    </row>
    <row r="22" spans="1:7" ht="28.8">
      <c r="A22" s="2552"/>
      <c r="B22" s="1226" t="s">
        <v>2542</v>
      </c>
      <c r="C22" s="1004" t="str">
        <f>C8</f>
        <v>估价对象所在区域基础设施水平</v>
      </c>
      <c r="D22" s="1993"/>
      <c r="E22" s="2549"/>
      <c r="F22" s="1242" t="s">
        <v>1669</v>
      </c>
      <c r="G22" s="2749"/>
    </row>
    <row r="23" spans="1:7" ht="15" thickBot="1">
      <c r="A23" s="2552"/>
      <c r="B23" s="1242" t="s">
        <v>1659</v>
      </c>
      <c r="C23" s="3032"/>
      <c r="E23" s="2550"/>
      <c r="F23" s="1243" t="s">
        <v>1673</v>
      </c>
      <c r="G23" s="3033"/>
    </row>
    <row r="24" spans="1:7" ht="15" thickBot="1">
      <c r="A24" s="2553"/>
      <c r="B24" s="1243" t="s">
        <v>1660</v>
      </c>
      <c r="C24" s="1244">
        <f>C10</f>
        <v>0</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24" sqref="F24"/>
    </sheetView>
  </sheetViews>
  <sheetFormatPr defaultColWidth="14.6640625" defaultRowHeight="14.4"/>
  <cols>
    <col min="1" max="1" width="24.33203125" style="3179" customWidth="1"/>
    <col min="2" max="16384" width="14.6640625" style="3179"/>
  </cols>
  <sheetData>
    <row r="1" spans="1:9" ht="15.6">
      <c r="A1" s="3180" t="s">
        <v>2838</v>
      </c>
      <c r="B1" s="3180">
        <f>SUM(B14:B23)</f>
        <v>110119</v>
      </c>
      <c r="C1" s="3178"/>
      <c r="D1" s="3178"/>
      <c r="E1" s="3178"/>
      <c r="F1" s="3178"/>
    </row>
    <row r="2" spans="1:9" ht="15.6">
      <c r="A2" s="3180" t="s">
        <v>2839</v>
      </c>
      <c r="B2" s="3180">
        <f>SUM(C14:C23)</f>
        <v>13713.98</v>
      </c>
      <c r="C2" s="3178"/>
      <c r="D2" s="3178"/>
      <c r="E2" s="3178"/>
      <c r="F2" s="3178"/>
    </row>
    <row r="3" spans="1:9" ht="15.6">
      <c r="A3" s="3180" t="s">
        <v>2840</v>
      </c>
      <c r="B3" s="3181">
        <f>项目基本情况!D3</f>
        <v>44006</v>
      </c>
      <c r="C3" s="3178"/>
      <c r="D3" s="3178"/>
      <c r="E3" s="3178"/>
      <c r="F3" s="3178"/>
    </row>
    <row r="4" spans="1:9" ht="31.2">
      <c r="A4" s="3180" t="s">
        <v>2841</v>
      </c>
      <c r="B4" s="3180" t="s">
        <v>2842</v>
      </c>
      <c r="C4" s="3180" t="s">
        <v>2843</v>
      </c>
      <c r="D4" s="3180" t="s">
        <v>2844</v>
      </c>
      <c r="E4" s="3178"/>
      <c r="F4" s="3178"/>
    </row>
    <row r="5" spans="1:9" ht="15.6">
      <c r="A5" s="3180" t="s">
        <v>2845</v>
      </c>
      <c r="B5" s="3180">
        <f ca="1">SUM(D14:D23)</f>
        <v>25375</v>
      </c>
      <c r="C5" s="3180">
        <f ca="1">ROUND(B5*10000/$B$1,0)</f>
        <v>2304</v>
      </c>
      <c r="D5" s="3180">
        <f ca="1">ROUND(B5*10000/$B$2,0)</f>
        <v>18503</v>
      </c>
      <c r="E5" s="3178"/>
      <c r="F5" s="3178"/>
    </row>
    <row r="6" spans="1:9" ht="15.6">
      <c r="A6" s="3180" t="s">
        <v>2846</v>
      </c>
      <c r="B6" s="3180">
        <f ca="1">SUM(G14:G23)</f>
        <v>25375</v>
      </c>
      <c r="C6" s="3180">
        <f t="shared" ref="C6:C8" ca="1" si="0">ROUND(B6*10000/$B$1,0)</f>
        <v>2304</v>
      </c>
      <c r="D6" s="3180">
        <f t="shared" ref="D6:D8" ca="1" si="1">ROUND(B6*10000/$B$2,0)</f>
        <v>18503</v>
      </c>
      <c r="E6" s="3178"/>
      <c r="F6" s="3178"/>
    </row>
    <row r="7" spans="1:9" ht="15.6">
      <c r="A7" s="3180" t="s">
        <v>2847</v>
      </c>
      <c r="B7" s="3180">
        <f>SUM(H14:H23)</f>
        <v>0</v>
      </c>
      <c r="C7" s="3180">
        <f t="shared" si="0"/>
        <v>0</v>
      </c>
      <c r="D7" s="3180">
        <f t="shared" si="1"/>
        <v>0</v>
      </c>
      <c r="E7" s="3178"/>
      <c r="F7" s="3178"/>
    </row>
    <row r="8" spans="1:9" ht="15.6">
      <c r="A8" s="3180" t="s">
        <v>2848</v>
      </c>
      <c r="B8" s="3180">
        <f>SUM(I14:I23)</f>
        <v>0</v>
      </c>
      <c r="C8" s="3180">
        <f t="shared" si="0"/>
        <v>0</v>
      </c>
      <c r="D8" s="3180">
        <f t="shared" si="1"/>
        <v>0</v>
      </c>
      <c r="E8" s="3178"/>
      <c r="F8" s="3178"/>
    </row>
    <row r="9" spans="1:9" ht="15.6">
      <c r="A9" s="3180" t="s">
        <v>2849</v>
      </c>
      <c r="B9" s="2996"/>
      <c r="C9" s="3178"/>
      <c r="D9" s="3178"/>
      <c r="E9" s="3178"/>
      <c r="F9" s="3178"/>
    </row>
    <row r="10" spans="1:9" ht="15.6">
      <c r="A10" s="3180" t="s">
        <v>2850</v>
      </c>
      <c r="B10" s="2996"/>
      <c r="C10" s="3178"/>
      <c r="D10" s="3178"/>
      <c r="E10" s="3178"/>
      <c r="F10" s="3178"/>
    </row>
    <row r="11" spans="1:9" ht="15.6">
      <c r="A11" s="3180" t="s">
        <v>2867</v>
      </c>
      <c r="B11" s="2996"/>
      <c r="C11" s="3178"/>
      <c r="D11" s="3178"/>
      <c r="E11" s="3178"/>
      <c r="F11" s="3178"/>
    </row>
    <row r="12" spans="1:9" ht="15.6">
      <c r="A12" s="3178"/>
      <c r="B12" s="3178"/>
      <c r="C12" s="3178"/>
      <c r="D12" s="3178"/>
      <c r="E12" s="3178"/>
      <c r="F12" s="3178"/>
    </row>
    <row r="13" spans="1:9" ht="31.2">
      <c r="A13" s="3182" t="s">
        <v>2866</v>
      </c>
      <c r="B13" s="3183" t="s">
        <v>2838</v>
      </c>
      <c r="C13" s="3183" t="s">
        <v>2839</v>
      </c>
      <c r="D13" s="3183" t="s">
        <v>2851</v>
      </c>
      <c r="E13" s="3180" t="s">
        <v>2865</v>
      </c>
      <c r="F13" s="3180" t="s">
        <v>2844</v>
      </c>
      <c r="G13" s="3183" t="s">
        <v>2852</v>
      </c>
      <c r="H13" s="3183" t="s">
        <v>2853</v>
      </c>
      <c r="I13" s="3183" t="s">
        <v>2854</v>
      </c>
    </row>
    <row r="14" spans="1:9" ht="15.6">
      <c r="A14" s="3184" t="s">
        <v>2864</v>
      </c>
      <c r="B14" s="3185">
        <f>结果表!L38</f>
        <v>110119</v>
      </c>
      <c r="C14" s="3185">
        <f>结果表!K38</f>
        <v>13713.98</v>
      </c>
      <c r="D14" s="3185">
        <f ca="1">结果表!C42</f>
        <v>25375</v>
      </c>
      <c r="E14" s="3183">
        <f ca="1">ROUND(D14*10000/B14,0)</f>
        <v>2304</v>
      </c>
      <c r="F14" s="3183">
        <f ca="1">ROUND(D14*10000/C14,0)</f>
        <v>18503</v>
      </c>
      <c r="G14" s="3185">
        <f ca="1">结果表!C44</f>
        <v>25375</v>
      </c>
      <c r="H14" s="3185" t="str">
        <f>结果表!C45</f>
        <v>——</v>
      </c>
      <c r="I14" s="3185" t="str">
        <f>结果表!C46</f>
        <v>——</v>
      </c>
    </row>
    <row r="15" spans="1:9" ht="15.6">
      <c r="A15" s="3184" t="s">
        <v>2855</v>
      </c>
      <c r="B15" s="2998"/>
      <c r="C15" s="2998"/>
      <c r="D15" s="2998"/>
      <c r="E15" s="3183" t="e">
        <f t="shared" ref="E15:E23" si="2">ROUND(D15*10000/B15,0)</f>
        <v>#DIV/0!</v>
      </c>
      <c r="F15" s="3183" t="e">
        <f t="shared" ref="F15:F23" si="3">ROUND(D15*10000/C15,0)</f>
        <v>#DIV/0!</v>
      </c>
      <c r="G15" s="2997"/>
      <c r="H15" s="2997"/>
      <c r="I15" s="2998"/>
    </row>
    <row r="16" spans="1:9" ht="15.6">
      <c r="A16" s="3184" t="s">
        <v>2856</v>
      </c>
      <c r="B16" s="2998"/>
      <c r="C16" s="2998"/>
      <c r="D16" s="2998"/>
      <c r="E16" s="3183" t="e">
        <f t="shared" si="2"/>
        <v>#DIV/0!</v>
      </c>
      <c r="F16" s="3183" t="e">
        <f t="shared" si="3"/>
        <v>#DIV/0!</v>
      </c>
      <c r="G16" s="2997"/>
      <c r="H16" s="2997"/>
      <c r="I16" s="2998"/>
    </row>
    <row r="17" spans="1:9" ht="15.6">
      <c r="A17" s="3184" t="s">
        <v>2857</v>
      </c>
      <c r="B17" s="2998"/>
      <c r="C17" s="2998"/>
      <c r="D17" s="2998"/>
      <c r="E17" s="3183" t="e">
        <f t="shared" si="2"/>
        <v>#DIV/0!</v>
      </c>
      <c r="F17" s="3183" t="e">
        <f t="shared" si="3"/>
        <v>#DIV/0!</v>
      </c>
      <c r="G17" s="2997"/>
      <c r="H17" s="2997"/>
      <c r="I17" s="2998"/>
    </row>
    <row r="18" spans="1:9" ht="15.6">
      <c r="A18" s="3184" t="s">
        <v>2858</v>
      </c>
      <c r="B18" s="2998"/>
      <c r="C18" s="2998"/>
      <c r="D18" s="2998"/>
      <c r="E18" s="3183" t="e">
        <f t="shared" si="2"/>
        <v>#DIV/0!</v>
      </c>
      <c r="F18" s="3183" t="e">
        <f t="shared" si="3"/>
        <v>#DIV/0!</v>
      </c>
      <c r="G18" s="2998"/>
      <c r="H18" s="2998"/>
      <c r="I18" s="2998"/>
    </row>
    <row r="19" spans="1:9" ht="15.6">
      <c r="A19" s="3184" t="s">
        <v>2859</v>
      </c>
      <c r="B19" s="2998"/>
      <c r="C19" s="2998"/>
      <c r="D19" s="2998"/>
      <c r="E19" s="3183" t="e">
        <f t="shared" si="2"/>
        <v>#DIV/0!</v>
      </c>
      <c r="F19" s="3183" t="e">
        <f t="shared" si="3"/>
        <v>#DIV/0!</v>
      </c>
      <c r="G19" s="2998"/>
      <c r="H19" s="2998"/>
      <c r="I19" s="2998"/>
    </row>
    <row r="20" spans="1:9" ht="15.6">
      <c r="A20" s="3184" t="s">
        <v>2860</v>
      </c>
      <c r="B20" s="2998"/>
      <c r="C20" s="2998"/>
      <c r="D20" s="2998"/>
      <c r="E20" s="3183" t="e">
        <f t="shared" si="2"/>
        <v>#DIV/0!</v>
      </c>
      <c r="F20" s="3183" t="e">
        <f t="shared" si="3"/>
        <v>#DIV/0!</v>
      </c>
      <c r="G20" s="2998"/>
      <c r="H20" s="2998"/>
      <c r="I20" s="2998"/>
    </row>
    <row r="21" spans="1:9" ht="15.6">
      <c r="A21" s="3184" t="s">
        <v>2861</v>
      </c>
      <c r="B21" s="2998"/>
      <c r="C21" s="2998"/>
      <c r="D21" s="2998"/>
      <c r="E21" s="3183" t="e">
        <f t="shared" si="2"/>
        <v>#DIV/0!</v>
      </c>
      <c r="F21" s="3183" t="e">
        <f t="shared" si="3"/>
        <v>#DIV/0!</v>
      </c>
      <c r="G21" s="2998"/>
      <c r="H21" s="2998"/>
      <c r="I21" s="2998"/>
    </row>
    <row r="22" spans="1:9" ht="15.6">
      <c r="A22" s="3184" t="s">
        <v>2862</v>
      </c>
      <c r="B22" s="2998"/>
      <c r="C22" s="2998"/>
      <c r="D22" s="2998"/>
      <c r="E22" s="3183" t="e">
        <f t="shared" si="2"/>
        <v>#DIV/0!</v>
      </c>
      <c r="F22" s="3183" t="e">
        <f t="shared" si="3"/>
        <v>#DIV/0!</v>
      </c>
      <c r="G22" s="2998"/>
      <c r="H22" s="2998"/>
      <c r="I22" s="2998"/>
    </row>
    <row r="23" spans="1:9" ht="15.6">
      <c r="A23" s="3184" t="s">
        <v>2863</v>
      </c>
      <c r="B23" s="2998"/>
      <c r="C23" s="2998"/>
      <c r="D23" s="2998"/>
      <c r="E23" s="3180" t="e">
        <f t="shared" si="2"/>
        <v>#DIV/0!</v>
      </c>
      <c r="F23" s="3180" t="e">
        <f t="shared" si="3"/>
        <v>#DIV/0!</v>
      </c>
      <c r="G23" s="2998"/>
      <c r="H23" s="2998"/>
      <c r="I23" s="2998"/>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D17" sqref="D17"/>
    </sheetView>
  </sheetViews>
  <sheetFormatPr defaultColWidth="12.6640625" defaultRowHeight="21.75" customHeight="1"/>
  <cols>
    <col min="1" max="2" width="12.77734375" style="1245" bestFit="1" customWidth="1"/>
    <col min="3" max="4" width="12.6640625" style="1245" customWidth="1"/>
    <col min="5" max="9" width="12.77734375" style="1245"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5"/>
  </cols>
  <sheetData>
    <row r="1" spans="1:22" ht="21.75" customHeight="1" thickBot="1">
      <c r="A1" s="1760" t="s">
        <v>2051</v>
      </c>
      <c r="B1" s="1761"/>
      <c r="C1" s="1789" t="s">
        <v>2052</v>
      </c>
      <c r="D1" s="1790"/>
      <c r="E1" s="1789" t="s">
        <v>2053</v>
      </c>
      <c r="F1" s="1791"/>
      <c r="G1" s="311"/>
      <c r="H1" s="311"/>
      <c r="I1" s="311"/>
      <c r="J1" s="2013"/>
      <c r="K1" s="2013"/>
      <c r="L1" s="2013"/>
      <c r="M1" s="2013"/>
      <c r="N1" s="2013"/>
      <c r="O1" s="2013"/>
      <c r="P1" s="2013"/>
      <c r="Q1" s="2013"/>
      <c r="R1" s="2013"/>
      <c r="S1" s="2013"/>
      <c r="T1" s="2013"/>
      <c r="U1" s="2013"/>
      <c r="V1" s="2013"/>
    </row>
    <row r="2" spans="1:22" ht="21.75" customHeight="1" thickBot="1">
      <c r="A2" s="3333" t="str">
        <f>项目基本情况!K2</f>
        <v>太原市尖草坪区大东流村出让国有建设用地使用权</v>
      </c>
      <c r="B2" s="3334"/>
      <c r="C2" s="3335"/>
      <c r="D2" s="3335"/>
      <c r="E2" s="3335"/>
      <c r="F2" s="3335"/>
      <c r="G2" s="3334"/>
      <c r="H2" s="3334"/>
      <c r="I2" s="3336"/>
      <c r="J2" s="2014"/>
      <c r="K2" s="2013"/>
      <c r="L2" s="2013"/>
      <c r="M2" s="2013"/>
      <c r="N2" s="2013"/>
      <c r="O2" s="2013"/>
      <c r="P2" s="2013"/>
      <c r="Q2" s="2013"/>
      <c r="R2" s="2013"/>
      <c r="S2" s="2013"/>
      <c r="T2" s="2013"/>
      <c r="U2" s="2013"/>
      <c r="V2" s="2013"/>
    </row>
    <row r="3" spans="1:22" ht="13.8">
      <c r="A3" s="3325" t="s">
        <v>298</v>
      </c>
      <c r="B3" s="3326"/>
      <c r="C3" s="3326"/>
      <c r="D3" s="3326"/>
      <c r="E3" s="3326"/>
      <c r="F3" s="3326"/>
      <c r="G3" s="3326"/>
      <c r="H3" s="3326"/>
      <c r="I3" s="3326"/>
      <c r="J3" s="2014"/>
      <c r="K3" s="2013"/>
      <c r="L3" s="2013"/>
      <c r="M3" s="2013"/>
      <c r="N3" s="2013"/>
      <c r="O3" s="2013"/>
      <c r="P3" s="2013"/>
      <c r="Q3" s="2013"/>
      <c r="R3" s="2013"/>
      <c r="S3" s="2013"/>
      <c r="T3" s="2013"/>
      <c r="U3" s="2013"/>
      <c r="V3" s="2013"/>
    </row>
    <row r="4" spans="1:22" ht="14.4">
      <c r="A4" s="258" t="s">
        <v>299</v>
      </c>
      <c r="B4" s="259" t="s">
        <v>300</v>
      </c>
      <c r="C4" s="260" t="s">
        <v>3086</v>
      </c>
      <c r="D4" s="260" t="s">
        <v>3087</v>
      </c>
      <c r="E4" s="3291" t="s">
        <v>301</v>
      </c>
      <c r="F4" s="3292"/>
      <c r="G4" s="3292"/>
      <c r="H4" s="3292"/>
      <c r="I4" s="3328"/>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3"/>
      <c r="O4" s="2013"/>
      <c r="P4" s="2013"/>
      <c r="Q4" s="2013"/>
      <c r="R4" s="2013"/>
      <c r="S4" s="2013"/>
      <c r="T4" s="2013"/>
      <c r="U4" s="2013"/>
      <c r="V4" s="2013"/>
    </row>
    <row r="5" spans="1:22" ht="13.8">
      <c r="A5" s="3290" t="s">
        <v>302</v>
      </c>
      <c r="B5" s="3319">
        <v>25</v>
      </c>
      <c r="C5" s="3317"/>
      <c r="D5" s="3324"/>
      <c r="E5" s="261" t="s">
        <v>303</v>
      </c>
      <c r="F5" s="262"/>
      <c r="G5" s="262"/>
      <c r="H5" s="262"/>
      <c r="I5" s="263"/>
      <c r="J5" s="2014"/>
      <c r="K5" s="2013"/>
      <c r="L5" s="2013"/>
      <c r="M5" s="2013"/>
      <c r="N5" s="2013"/>
      <c r="O5" s="2013"/>
      <c r="P5" s="2013"/>
      <c r="Q5" s="2013"/>
      <c r="R5" s="2013"/>
      <c r="S5" s="2013"/>
      <c r="T5" s="2013"/>
      <c r="U5" s="2013"/>
      <c r="V5" s="2013"/>
    </row>
    <row r="6" spans="1:22" ht="13.8">
      <c r="A6" s="3290"/>
      <c r="B6" s="3319"/>
      <c r="C6" s="3327"/>
      <c r="D6" s="3324"/>
      <c r="E6" s="261" t="s">
        <v>304</v>
      </c>
      <c r="F6" s="262"/>
      <c r="G6" s="262"/>
      <c r="H6" s="262"/>
      <c r="I6" s="263"/>
      <c r="J6" s="2014"/>
      <c r="K6" s="2013"/>
      <c r="L6" s="2013"/>
      <c r="M6" s="2013"/>
      <c r="N6" s="2013"/>
      <c r="O6" s="2013"/>
      <c r="P6" s="2013"/>
      <c r="Q6" s="2013"/>
      <c r="R6" s="2013"/>
      <c r="S6" s="2013"/>
      <c r="T6" s="2013"/>
      <c r="U6" s="2013"/>
      <c r="V6" s="2013"/>
    </row>
    <row r="7" spans="1:22" ht="13.8">
      <c r="A7" s="3290"/>
      <c r="B7" s="3319"/>
      <c r="C7" s="3318"/>
      <c r="D7" s="3324"/>
      <c r="E7" s="261" t="s">
        <v>305</v>
      </c>
      <c r="F7" s="262"/>
      <c r="G7" s="262"/>
      <c r="H7" s="262"/>
      <c r="I7" s="263"/>
      <c r="J7" s="2014"/>
      <c r="K7" s="2013"/>
      <c r="L7" s="2013"/>
      <c r="M7" s="2013"/>
      <c r="N7" s="2013"/>
      <c r="O7" s="2013"/>
      <c r="P7" s="2013"/>
      <c r="Q7" s="2013"/>
      <c r="R7" s="2013"/>
      <c r="S7" s="2013"/>
      <c r="T7" s="2013"/>
      <c r="U7" s="2013"/>
      <c r="V7" s="2013"/>
    </row>
    <row r="8" spans="1:22" ht="13.8">
      <c r="A8" s="3290" t="s">
        <v>306</v>
      </c>
      <c r="B8" s="3319">
        <v>15</v>
      </c>
      <c r="C8" s="3317"/>
      <c r="D8" s="3324"/>
      <c r="E8" s="261" t="s">
        <v>307</v>
      </c>
      <c r="F8" s="262"/>
      <c r="G8" s="262"/>
      <c r="H8" s="262"/>
      <c r="I8" s="263"/>
      <c r="J8" s="2014"/>
      <c r="K8" s="2013"/>
      <c r="L8" s="2013"/>
      <c r="M8" s="2013"/>
      <c r="N8" s="2013"/>
      <c r="O8" s="2013"/>
      <c r="P8" s="2013"/>
      <c r="Q8" s="2013"/>
      <c r="R8" s="2013"/>
      <c r="S8" s="2013"/>
      <c r="T8" s="2013"/>
      <c r="U8" s="2013"/>
      <c r="V8" s="2013"/>
    </row>
    <row r="9" spans="1:22" ht="13.8">
      <c r="A9" s="3290"/>
      <c r="B9" s="3319"/>
      <c r="C9" s="3318"/>
      <c r="D9" s="3324"/>
      <c r="E9" s="261" t="s">
        <v>308</v>
      </c>
      <c r="F9" s="262"/>
      <c r="G9" s="262"/>
      <c r="H9" s="262"/>
      <c r="I9" s="263"/>
      <c r="J9" s="2014"/>
      <c r="K9" s="2013"/>
      <c r="L9" s="2013"/>
      <c r="M9" s="2013"/>
      <c r="N9" s="2013"/>
      <c r="O9" s="2013"/>
      <c r="P9" s="2013"/>
      <c r="Q9" s="2013"/>
      <c r="R9" s="2013"/>
      <c r="S9" s="2013"/>
      <c r="T9" s="2013"/>
      <c r="U9" s="2013"/>
      <c r="V9" s="2013"/>
    </row>
    <row r="10" spans="1:22" ht="13.8">
      <c r="A10" s="3290" t="s">
        <v>309</v>
      </c>
      <c r="B10" s="3319">
        <v>15</v>
      </c>
      <c r="C10" s="3317"/>
      <c r="D10" s="3324"/>
      <c r="E10" s="261" t="s">
        <v>310</v>
      </c>
      <c r="F10" s="262"/>
      <c r="G10" s="262"/>
      <c r="H10" s="262"/>
      <c r="I10" s="263"/>
      <c r="J10" s="2014"/>
      <c r="K10" s="2013"/>
      <c r="L10" s="2013"/>
      <c r="M10" s="2013"/>
      <c r="N10" s="2013"/>
      <c r="O10" s="2013"/>
      <c r="P10" s="2013"/>
      <c r="Q10" s="2013"/>
      <c r="R10" s="2013"/>
      <c r="S10" s="2013"/>
      <c r="T10" s="2013"/>
      <c r="U10" s="2013"/>
      <c r="V10" s="2013"/>
    </row>
    <row r="11" spans="1:22" ht="13.8">
      <c r="A11" s="3290"/>
      <c r="B11" s="3319"/>
      <c r="C11" s="3318"/>
      <c r="D11" s="3324"/>
      <c r="E11" s="261" t="s">
        <v>311</v>
      </c>
      <c r="F11" s="262"/>
      <c r="G11" s="262"/>
      <c r="H11" s="262"/>
      <c r="I11" s="263"/>
      <c r="J11" s="2014"/>
      <c r="K11" s="2013"/>
      <c r="L11" s="2013"/>
      <c r="M11" s="2013"/>
      <c r="N11" s="2013"/>
      <c r="O11" s="2013"/>
      <c r="P11" s="2013"/>
      <c r="Q11" s="2013"/>
      <c r="R11" s="2013"/>
      <c r="S11" s="2013"/>
      <c r="T11" s="2013"/>
      <c r="U11" s="2013"/>
      <c r="V11" s="2013"/>
    </row>
    <row r="12" spans="1:22" ht="13.8">
      <c r="A12" s="3290" t="s">
        <v>312</v>
      </c>
      <c r="B12" s="3319">
        <v>15</v>
      </c>
      <c r="C12" s="3317"/>
      <c r="D12" s="3324"/>
      <c r="E12" s="261" t="s">
        <v>313</v>
      </c>
      <c r="F12" s="262"/>
      <c r="G12" s="262"/>
      <c r="H12" s="262"/>
      <c r="I12" s="263"/>
      <c r="J12" s="2014"/>
      <c r="K12" s="2013"/>
      <c r="L12" s="2013"/>
      <c r="M12" s="2013"/>
      <c r="N12" s="2013"/>
      <c r="O12" s="2013"/>
      <c r="P12" s="2013"/>
      <c r="Q12" s="2013"/>
      <c r="R12" s="2013"/>
      <c r="S12" s="2013"/>
      <c r="T12" s="2013"/>
      <c r="U12" s="2013"/>
      <c r="V12" s="2013"/>
    </row>
    <row r="13" spans="1:22" ht="13.8">
      <c r="A13" s="3290"/>
      <c r="B13" s="3319"/>
      <c r="C13" s="3318"/>
      <c r="D13" s="3324"/>
      <c r="E13" s="261" t="s">
        <v>314</v>
      </c>
      <c r="F13" s="262"/>
      <c r="G13" s="262"/>
      <c r="H13" s="262"/>
      <c r="I13" s="263"/>
      <c r="J13" s="2014"/>
      <c r="K13" s="2013"/>
      <c r="L13" s="2013"/>
      <c r="M13" s="2013"/>
      <c r="N13" s="2013"/>
      <c r="O13" s="2013"/>
      <c r="P13" s="2013"/>
      <c r="Q13" s="2013"/>
      <c r="R13" s="2013"/>
      <c r="S13" s="2013"/>
      <c r="T13" s="2013"/>
      <c r="U13" s="2013"/>
      <c r="V13" s="2013"/>
    </row>
    <row r="14" spans="1:22" ht="13.8">
      <c r="A14" s="3290" t="s">
        <v>315</v>
      </c>
      <c r="B14" s="3319">
        <v>30</v>
      </c>
      <c r="C14" s="3320">
        <v>7</v>
      </c>
      <c r="D14" s="3323">
        <v>3</v>
      </c>
      <c r="E14" s="261" t="s">
        <v>316</v>
      </c>
      <c r="F14" s="262"/>
      <c r="G14" s="262"/>
      <c r="H14" s="262"/>
      <c r="I14" s="263"/>
      <c r="J14" s="2014"/>
      <c r="K14" s="2013"/>
      <c r="L14" s="2013"/>
      <c r="M14" s="2013"/>
      <c r="N14" s="2013"/>
      <c r="O14" s="2013"/>
      <c r="P14" s="2013"/>
      <c r="Q14" s="2013"/>
      <c r="R14" s="2013"/>
      <c r="S14" s="2013"/>
      <c r="T14" s="2013"/>
      <c r="U14" s="2013"/>
      <c r="V14" s="2013"/>
    </row>
    <row r="15" spans="1:22" ht="13.8">
      <c r="A15" s="3290"/>
      <c r="B15" s="3319"/>
      <c r="C15" s="3321"/>
      <c r="D15" s="3323"/>
      <c r="E15" s="261" t="s">
        <v>317</v>
      </c>
      <c r="F15" s="262"/>
      <c r="G15" s="262"/>
      <c r="H15" s="262"/>
      <c r="I15" s="263"/>
      <c r="J15" s="2014"/>
      <c r="K15" s="2013"/>
      <c r="L15" s="2013"/>
      <c r="M15" s="2013"/>
      <c r="N15" s="2013"/>
      <c r="O15" s="2013"/>
      <c r="P15" s="2013"/>
      <c r="Q15" s="2013"/>
      <c r="R15" s="2013"/>
      <c r="S15" s="2013"/>
      <c r="T15" s="2013"/>
      <c r="U15" s="2013"/>
      <c r="V15" s="2013"/>
    </row>
    <row r="16" spans="1:22" ht="13.8">
      <c r="A16" s="3290"/>
      <c r="B16" s="3319"/>
      <c r="C16" s="3322"/>
      <c r="D16" s="3323"/>
      <c r="E16" s="261" t="s">
        <v>318</v>
      </c>
      <c r="F16" s="262"/>
      <c r="G16" s="262"/>
      <c r="H16" s="262"/>
      <c r="I16" s="263"/>
      <c r="J16" s="2014"/>
      <c r="K16" s="2013"/>
      <c r="L16" s="2013"/>
      <c r="M16" s="2013"/>
      <c r="N16" s="2013"/>
      <c r="O16" s="2013"/>
      <c r="P16" s="2013"/>
      <c r="Q16" s="2013"/>
      <c r="R16" s="2013"/>
      <c r="S16" s="2013"/>
      <c r="T16" s="2013"/>
      <c r="U16" s="2013"/>
      <c r="V16" s="2013"/>
    </row>
    <row r="17" spans="1:26" ht="14.4">
      <c r="A17" s="264" t="s">
        <v>319</v>
      </c>
      <c r="B17" s="144"/>
      <c r="C17" s="265">
        <f>SUM(C5:C16)</f>
        <v>7</v>
      </c>
      <c r="D17" s="265">
        <f>SUM(D5:D16)</f>
        <v>3</v>
      </c>
      <c r="E17" s="311"/>
      <c r="F17" s="311"/>
      <c r="G17" s="311"/>
      <c r="H17" s="311"/>
      <c r="I17" s="311"/>
      <c r="J17" s="2014"/>
      <c r="K17" s="2013"/>
      <c r="L17" s="2013"/>
      <c r="M17" s="2013"/>
      <c r="N17" s="2013"/>
      <c r="O17" s="2013"/>
      <c r="P17" s="2013"/>
      <c r="Q17" s="2013"/>
      <c r="R17" s="2013"/>
      <c r="S17" s="2013"/>
      <c r="T17" s="2013"/>
      <c r="U17" s="2013"/>
      <c r="V17" s="2013"/>
    </row>
    <row r="18" spans="1:26" ht="15" thickBot="1">
      <c r="A18" s="266" t="s">
        <v>320</v>
      </c>
      <c r="B18" s="105"/>
      <c r="C18" s="267">
        <f>ROUND(C17/SUM(C17:D17),2)</f>
        <v>0.7</v>
      </c>
      <c r="D18" s="267">
        <f>1-C18</f>
        <v>0.30000000000000004</v>
      </c>
      <c r="E18" s="311"/>
      <c r="F18" s="311"/>
      <c r="G18" s="311"/>
      <c r="H18" s="311"/>
      <c r="I18" s="311"/>
      <c r="J18" s="2013"/>
      <c r="K18" s="2013"/>
      <c r="L18" s="2013"/>
      <c r="M18" s="2013"/>
      <c r="N18" s="2013"/>
      <c r="O18" s="2013"/>
      <c r="P18" s="2013"/>
      <c r="Q18" s="2013"/>
      <c r="R18" s="2013"/>
      <c r="S18" s="2013"/>
      <c r="T18" s="2013"/>
      <c r="U18" s="2013"/>
      <c r="V18" s="2013"/>
    </row>
    <row r="19" spans="1:26" ht="14.4">
      <c r="A19" s="268" t="s">
        <v>321</v>
      </c>
      <c r="B19" s="269" t="s">
        <v>322</v>
      </c>
      <c r="C19" s="270">
        <f ca="1">SUMIF(INDIRECT("'"&amp;C4&amp;"'"&amp;"!A:A"),结果表!B19,INDIRECT("'"&amp;C4&amp;"'"&amp;"!B:B"))</f>
        <v>22321</v>
      </c>
      <c r="D19" s="271">
        <f ca="1">SUMIF(INDIRECT("'"&amp;D4&amp;"'"&amp;"!A:A"),结果表!B19,INDIRECT("'"&amp;D4&amp;"'"&amp;"!B:B"))</f>
        <v>32501</v>
      </c>
      <c r="E19" s="268" t="s">
        <v>323</v>
      </c>
      <c r="F19" s="269" t="s">
        <v>322</v>
      </c>
      <c r="G19" s="272">
        <f ca="1">ROUND(C19*$C$18+D19*$D$18,0)</f>
        <v>25375</v>
      </c>
      <c r="H19" s="273" t="s">
        <v>324</v>
      </c>
      <c r="I19" s="311"/>
      <c r="J19" s="2013"/>
      <c r="K19" s="2013"/>
      <c r="L19" s="2013"/>
      <c r="M19" s="2013"/>
      <c r="N19" s="2013"/>
      <c r="O19" s="2013"/>
      <c r="P19" s="2013"/>
      <c r="Q19" s="2013"/>
      <c r="R19" s="2013"/>
      <c r="S19" s="2013"/>
      <c r="T19" s="2013"/>
      <c r="U19" s="2013"/>
      <c r="V19" s="2013"/>
    </row>
    <row r="20" spans="1:26" ht="14.4">
      <c r="A20" s="274"/>
      <c r="B20" s="275" t="s">
        <v>325</v>
      </c>
      <c r="C20" s="276">
        <f ca="1">SUMIF(INDIRECT("'"&amp;C4&amp;"'"&amp;"!A:A"),结果表!B20,INDIRECT("'"&amp;C4&amp;"'"&amp;"!B:B"))</f>
        <v>2027</v>
      </c>
      <c r="D20" s="277">
        <f ca="1">SUMIF(INDIRECT("'"&amp;D4&amp;"'"&amp;"!A:A"),结果表!B20,INDIRECT("'"&amp;D4&amp;"'"&amp;"!B:B"))</f>
        <v>2951</v>
      </c>
      <c r="E20" s="274"/>
      <c r="F20" s="275" t="s">
        <v>325</v>
      </c>
      <c r="G20" s="278">
        <f ca="1">ROUND(C20*$C$18+D20*$D$18,0)</f>
        <v>2304</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16276</v>
      </c>
      <c r="D21" s="151">
        <f ca="1">SUMIF(INDIRECT("'"&amp;D4&amp;"'"&amp;"!A:A"),结果表!B21,INDIRECT("'"&amp;D4&amp;"'"&amp;"!B:B"))</f>
        <v>23699</v>
      </c>
      <c r="E21" s="274"/>
      <c r="F21" s="280" t="s">
        <v>327</v>
      </c>
      <c r="G21" s="282">
        <f ca="1">ROUND(C21*$C$18+D21*$D$18,0)</f>
        <v>18503</v>
      </c>
      <c r="H21" s="1246" t="s">
        <v>326</v>
      </c>
      <c r="I21" s="311"/>
      <c r="J21" s="2013"/>
      <c r="K21" s="2013"/>
      <c r="L21" s="2013"/>
      <c r="M21" s="2013"/>
      <c r="N21" s="2013"/>
      <c r="O21" s="2013"/>
      <c r="P21" s="2013"/>
      <c r="Q21" s="2013"/>
      <c r="R21" s="2013"/>
      <c r="S21" s="2013"/>
      <c r="T21" s="2013"/>
      <c r="U21" s="2013"/>
      <c r="V21" s="2013"/>
    </row>
    <row r="22" spans="1:26" ht="15" thickBot="1">
      <c r="A22" s="126" t="s">
        <v>328</v>
      </c>
      <c r="B22" s="1247"/>
      <c r="C22" s="1248"/>
      <c r="D22" s="283">
        <f ca="1">IF(C19&lt;D19,D19/C19-1,C19/D19-1)</f>
        <v>0.4560727565969267</v>
      </c>
      <c r="E22" s="284"/>
      <c r="F22" s="285"/>
      <c r="G22" s="286">
        <f ca="1">ROUND(G19/('数据-汇总表'!D3/666.67),0)</f>
        <v>1234</v>
      </c>
      <c r="H22" s="287" t="s">
        <v>329</v>
      </c>
      <c r="I22" s="311"/>
      <c r="J22" s="2013"/>
      <c r="K22" s="2013"/>
      <c r="L22" s="2013"/>
      <c r="M22" s="2013"/>
      <c r="N22" s="2013"/>
      <c r="O22" s="2013"/>
      <c r="P22" s="2013"/>
      <c r="Q22" s="2013"/>
      <c r="R22" s="2013"/>
      <c r="S22" s="2013"/>
      <c r="T22" s="2013"/>
      <c r="U22" s="2013"/>
      <c r="V22" s="2013"/>
    </row>
    <row r="23" spans="1:26" ht="13.8"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296"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7.399999999999999">
      <c r="A25" s="3297"/>
      <c r="B25" s="1316" t="s">
        <v>331</v>
      </c>
      <c r="C25" s="290">
        <f>IF(B30=0,0,C30)</f>
        <v>0</v>
      </c>
      <c r="D25" s="291"/>
      <c r="E25" s="311"/>
      <c r="F25" s="311"/>
      <c r="G25" s="311"/>
      <c r="H25" s="311"/>
      <c r="I25" s="311"/>
      <c r="J25" s="2013"/>
      <c r="K25" s="1250" t="str">
        <f ca="1">项目基本情况!B16&amp;"国有建设用地使用权价格："&amp;O38&amp;"万元"</f>
        <v>出让国有建设用地使用权价格：25375万元</v>
      </c>
      <c r="L25" s="1251"/>
      <c r="M25" s="1251"/>
      <c r="N25" s="1251"/>
      <c r="O25" s="1252"/>
      <c r="P25" s="2013"/>
      <c r="Q25" s="2013"/>
      <c r="R25" s="2013"/>
      <c r="S25" s="2013"/>
      <c r="T25" s="2013"/>
      <c r="U25" s="2013"/>
      <c r="V25" s="2013"/>
    </row>
    <row r="26" spans="1:26" s="1249" customFormat="1" ht="17.399999999999999">
      <c r="A26" s="293" t="s">
        <v>332</v>
      </c>
      <c r="B26" s="294" t="s">
        <v>333</v>
      </c>
      <c r="C26" s="294" t="s">
        <v>334</v>
      </c>
      <c r="D26" s="295" t="s">
        <v>335</v>
      </c>
      <c r="E26" s="311"/>
      <c r="F26" s="311"/>
      <c r="G26" s="311"/>
      <c r="H26" s="311"/>
      <c r="I26" s="311"/>
      <c r="J26" s="2013"/>
      <c r="K26" s="1253" t="str">
        <f ca="1">"大写金额：人民币"&amp;NUMBERSTRING(INT(O38*10000),2)&amp;"元整"</f>
        <v>大写金额：人民币贰亿伍仟叁佰柒拾伍万元整</v>
      </c>
      <c r="L26" s="1247"/>
      <c r="M26" s="1247"/>
      <c r="N26" s="1247"/>
      <c r="O26" s="1246"/>
      <c r="P26" s="2013"/>
      <c r="Q26" s="2013"/>
      <c r="R26" s="2013"/>
      <c r="S26" s="2013"/>
      <c r="T26" s="2013"/>
      <c r="U26" s="2013"/>
      <c r="V26" s="2013"/>
      <c r="W26" s="292"/>
      <c r="X26" s="292"/>
      <c r="Y26" s="292"/>
      <c r="Z26" s="292"/>
    </row>
    <row r="27" spans="1:26" ht="17.399999999999999">
      <c r="A27" s="293"/>
      <c r="B27" s="294"/>
      <c r="C27" s="294"/>
      <c r="D27" s="295"/>
      <c r="E27" s="311"/>
      <c r="F27" s="311"/>
      <c r="G27" s="311"/>
      <c r="H27" s="311"/>
      <c r="I27" s="311"/>
      <c r="J27" s="2013"/>
      <c r="K27" s="1253" t="str">
        <f ca="1">"单位面积地价："&amp;M38&amp;"元/平方米"</f>
        <v>单位面积地价：18503元/平方米</v>
      </c>
      <c r="L27" s="1247"/>
      <c r="M27" s="1247"/>
      <c r="N27" s="1247"/>
      <c r="O27" s="1246"/>
      <c r="P27" s="2013"/>
      <c r="Q27" s="2013"/>
      <c r="R27" s="2013"/>
      <c r="S27" s="2013"/>
      <c r="T27" s="2013"/>
      <c r="U27" s="2013"/>
      <c r="V27" s="2013"/>
    </row>
    <row r="28" spans="1:26" ht="18.75" customHeight="1">
      <c r="A28" s="293"/>
      <c r="B28" s="294"/>
      <c r="C28" s="294"/>
      <c r="D28" s="295"/>
      <c r="E28" s="311"/>
      <c r="F28" s="311"/>
      <c r="G28" s="311"/>
      <c r="H28" s="311"/>
      <c r="I28" s="311"/>
      <c r="J28" s="2013"/>
      <c r="K28" s="1253" t="str">
        <f ca="1">"楼面地价："&amp;N38&amp;"元/平方米"</f>
        <v>楼面地价：2304元/平方米</v>
      </c>
      <c r="L28" s="1247"/>
      <c r="M28" s="1247"/>
      <c r="N28" s="1247"/>
      <c r="O28" s="1246"/>
      <c r="P28" s="2013"/>
      <c r="V28" s="2013"/>
    </row>
    <row r="29" spans="1:26" ht="17.399999999999999">
      <c r="A29" s="293"/>
      <c r="B29" s="294"/>
      <c r="C29" s="294"/>
      <c r="D29" s="295"/>
      <c r="E29" s="311"/>
      <c r="F29" s="311"/>
      <c r="G29" s="311"/>
      <c r="H29" s="311"/>
      <c r="I29" s="311"/>
      <c r="J29" s="2013"/>
      <c r="K29" s="1253" t="str">
        <f ca="1">IF(OR(项目基本情况!E8="抵押价格",项目基本情况!E8="已注销及未注销"),"抵押价格："&amp;O39&amp;"万元","——")</f>
        <v>抵押价格：25375万元</v>
      </c>
      <c r="L29" s="1247"/>
      <c r="M29" s="1247"/>
      <c r="N29" s="1247"/>
      <c r="O29" s="1246"/>
      <c r="P29" s="2013"/>
      <c r="V29" s="2013"/>
    </row>
    <row r="30" spans="1:26" ht="18" thickBot="1">
      <c r="A30" s="3075" t="s">
        <v>336</v>
      </c>
      <c r="B30" s="309"/>
      <c r="C30" s="309"/>
      <c r="D30" s="310"/>
      <c r="E30" s="3076" t="s">
        <v>2963</v>
      </c>
      <c r="F30" s="311"/>
      <c r="G30" s="311"/>
      <c r="H30" s="311"/>
      <c r="I30" s="311"/>
      <c r="J30" s="2013"/>
      <c r="K30" s="1253" t="str">
        <f ca="1">IF(K29="——","——","大写金额：人民币"&amp;NUMBERSTRING(INT(O39*10000),2)&amp;"元整")</f>
        <v>大写金额：人民币贰亿伍仟叁佰柒拾伍万元整</v>
      </c>
      <c r="L30" s="1247"/>
      <c r="M30" s="1247"/>
      <c r="N30" s="1247"/>
      <c r="O30" s="1246"/>
      <c r="P30" s="2013"/>
      <c r="V30" s="2013"/>
    </row>
    <row r="31" spans="1:26" ht="24" customHeight="1" thickBot="1">
      <c r="A31" s="311"/>
      <c r="B31" s="311"/>
      <c r="C31" s="311"/>
      <c r="D31" s="311"/>
      <c r="E31" s="311"/>
      <c r="F31" s="311"/>
      <c r="G31" s="311"/>
      <c r="H31" s="311"/>
      <c r="I31" s="311"/>
      <c r="J31" s="2013"/>
      <c r="K31" s="2432" t="str">
        <f>IF(项目基本情况!E8="抵押价格","——","抵押担保权已注销时的抵押价格："&amp;O40&amp;"万元")</f>
        <v>——</v>
      </c>
      <c r="L31" s="2428"/>
      <c r="M31" s="2428"/>
      <c r="N31" s="2428"/>
      <c r="O31" s="2429"/>
      <c r="P31" s="2013"/>
      <c r="V31" s="2013"/>
    </row>
    <row r="32" spans="1:26" ht="18" thickBot="1">
      <c r="A32" s="268" t="s">
        <v>337</v>
      </c>
      <c r="B32" s="1377" t="s">
        <v>1686</v>
      </c>
      <c r="C32" s="1378">
        <f ca="1">G19-C24</f>
        <v>25375</v>
      </c>
      <c r="D32" s="1379" t="s">
        <v>1687</v>
      </c>
      <c r="E32" s="311"/>
      <c r="F32" s="311"/>
      <c r="G32" s="311"/>
      <c r="H32" s="311"/>
      <c r="I32" s="311"/>
      <c r="J32" s="2013"/>
      <c r="K32" s="2427" t="str">
        <f>IF(K31="——","——","大写金额：人民币"&amp;NUMBERSTRING(INT(O40*10000),2)&amp;"元整")</f>
        <v>——</v>
      </c>
      <c r="L32" s="2430"/>
      <c r="M32" s="2430"/>
      <c r="N32" s="2430"/>
      <c r="O32" s="2431"/>
      <c r="P32" s="2013"/>
      <c r="V32" s="2013"/>
    </row>
    <row r="33" spans="1:26" ht="18" thickBot="1">
      <c r="A33" s="298" t="s">
        <v>340</v>
      </c>
      <c r="B33" s="1380" t="s">
        <v>1688</v>
      </c>
      <c r="C33" s="264">
        <f ca="1">ROUND(C32*10000/'数据-汇总表'!E3,0)</f>
        <v>2304</v>
      </c>
      <c r="D33" s="1381" t="s">
        <v>1689</v>
      </c>
      <c r="E33" s="3296" t="s">
        <v>338</v>
      </c>
      <c r="F33" s="296" t="s">
        <v>339</v>
      </c>
      <c r="G33" s="297"/>
      <c r="H33" s="979"/>
      <c r="I33" s="1254"/>
      <c r="J33" s="2013"/>
      <c r="K33" s="1253" t="str">
        <f>IF(项目基本情况!E9="——","——","抵押净值："&amp;C46&amp;"万元")</f>
        <v>抵押净值：——万元</v>
      </c>
      <c r="L33" s="1247"/>
      <c r="M33" s="1247"/>
      <c r="N33" s="1247"/>
      <c r="O33" s="1246"/>
      <c r="P33" s="2013"/>
      <c r="V33" s="2013"/>
    </row>
    <row r="34" spans="1:26" s="1249" customFormat="1" ht="18" thickBot="1">
      <c r="A34" s="300"/>
      <c r="B34" s="1382" t="s">
        <v>1690</v>
      </c>
      <c r="C34" s="264">
        <f ca="1">ROUND(C32*10000/'数据-汇总表'!D3,0)</f>
        <v>18503</v>
      </c>
      <c r="D34" s="1383" t="s">
        <v>1689</v>
      </c>
      <c r="E34" s="3341"/>
      <c r="F34" s="127" t="s">
        <v>341</v>
      </c>
      <c r="G34" s="299"/>
      <c r="H34" s="105"/>
      <c r="I34" s="311"/>
      <c r="J34" s="2013"/>
      <c r="K34" s="1256" t="e">
        <f>IF(K33="——","——","大写金额：人民币"&amp;NUMBERSTRING(INT(O41*10000),2)&amp;"元整")</f>
        <v>#VALUE!</v>
      </c>
      <c r="L34" s="1257"/>
      <c r="M34" s="1257"/>
      <c r="N34" s="1257"/>
      <c r="O34" s="1258"/>
      <c r="P34" s="2013"/>
      <c r="Q34" s="292"/>
      <c r="R34" s="292"/>
      <c r="S34" s="292"/>
      <c r="T34" s="292"/>
      <c r="U34" s="292"/>
      <c r="V34" s="2013"/>
      <c r="W34" s="292"/>
      <c r="X34" s="292"/>
      <c r="Y34" s="292"/>
      <c r="Z34" s="292"/>
    </row>
    <row r="35" spans="1:26" ht="15" thickBot="1">
      <c r="A35" s="284"/>
      <c r="B35" s="1384"/>
      <c r="C35" s="1385">
        <f ca="1">ROUND(C32/('数据-汇总表'!D3/666.67),0)</f>
        <v>1234</v>
      </c>
      <c r="D35" s="1386" t="s">
        <v>1691</v>
      </c>
      <c r="E35" s="3342"/>
      <c r="F35" s="301" t="s">
        <v>342</v>
      </c>
      <c r="G35" s="981"/>
      <c r="H35" s="980" t="s">
        <v>343</v>
      </c>
      <c r="I35" s="311"/>
      <c r="J35" s="2013"/>
      <c r="K35" s="3314" t="s">
        <v>350</v>
      </c>
      <c r="L35" s="3314" t="s">
        <v>351</v>
      </c>
      <c r="M35" s="1259" t="s">
        <v>352</v>
      </c>
      <c r="N35" s="3314" t="s">
        <v>353</v>
      </c>
      <c r="O35" s="3314" t="s">
        <v>354</v>
      </c>
      <c r="P35" s="2013"/>
      <c r="V35" s="2013"/>
    </row>
    <row r="36" spans="1:26" ht="16.5" customHeight="1">
      <c r="A36" s="303" t="s">
        <v>344</v>
      </c>
      <c r="B36" s="304" t="s">
        <v>333</v>
      </c>
      <c r="C36" s="305" t="s">
        <v>345</v>
      </c>
      <c r="D36" s="305" t="s">
        <v>346</v>
      </c>
      <c r="E36" s="306" t="s">
        <v>347</v>
      </c>
      <c r="F36" s="311"/>
      <c r="G36" s="311"/>
      <c r="H36" s="311"/>
      <c r="I36" s="311"/>
      <c r="J36" s="2015"/>
      <c r="K36" s="3315"/>
      <c r="L36" s="3315"/>
      <c r="M36" s="1261" t="s">
        <v>355</v>
      </c>
      <c r="N36" s="3315"/>
      <c r="O36" s="3315"/>
      <c r="P36" s="2013"/>
      <c r="V36" s="2013"/>
    </row>
    <row r="37" spans="1:26" ht="16.5" customHeight="1" thickBot="1">
      <c r="A37" s="1255" t="s">
        <v>348</v>
      </c>
      <c r="B37" s="307"/>
      <c r="C37" s="294"/>
      <c r="D37" s="294"/>
      <c r="E37" s="295"/>
      <c r="F37" s="311"/>
      <c r="G37" s="311"/>
      <c r="H37" s="311"/>
      <c r="I37" s="311"/>
      <c r="J37" s="2015"/>
      <c r="K37" s="3316"/>
      <c r="L37" s="3316"/>
      <c r="M37" s="1262"/>
      <c r="N37" s="3316"/>
      <c r="O37" s="3316"/>
      <c r="P37" s="2013"/>
      <c r="V37" s="2013"/>
    </row>
    <row r="38" spans="1:26" ht="16.5" customHeight="1" thickBot="1">
      <c r="A38" s="1255" t="s">
        <v>349</v>
      </c>
      <c r="B38" s="307"/>
      <c r="C38" s="294"/>
      <c r="D38" s="294"/>
      <c r="E38" s="295"/>
      <c r="F38" s="311"/>
      <c r="G38" s="311"/>
      <c r="H38" s="311"/>
      <c r="I38" s="311"/>
      <c r="J38" s="2015"/>
      <c r="K38" s="1263">
        <f>'数据-汇总表'!D3</f>
        <v>13713.98</v>
      </c>
      <c r="L38" s="1264">
        <f>'数据-汇总表'!E3</f>
        <v>110119</v>
      </c>
      <c r="M38" s="1264">
        <f ca="1">C34</f>
        <v>18503</v>
      </c>
      <c r="N38" s="1264">
        <f ca="1">C33</f>
        <v>2304</v>
      </c>
      <c r="O38" s="1265">
        <f ca="1">C32</f>
        <v>25375</v>
      </c>
      <c r="P38" s="2013"/>
      <c r="V38" s="2013"/>
    </row>
    <row r="39" spans="1:26" ht="16.5" customHeight="1" thickBot="1">
      <c r="A39" s="1260"/>
      <c r="B39" s="308"/>
      <c r="C39" s="309"/>
      <c r="D39" s="309"/>
      <c r="E39" s="310"/>
      <c r="F39" s="311"/>
      <c r="G39" s="311"/>
      <c r="H39" s="311"/>
      <c r="I39" s="311"/>
      <c r="J39" s="2015"/>
      <c r="K39" s="3355" t="str">
        <f>MID(A44,3,LEN(A44)-2)</f>
        <v>抵押价格</v>
      </c>
      <c r="L39" s="3356"/>
      <c r="M39" s="3356"/>
      <c r="N39" s="3357"/>
      <c r="O39" s="1388">
        <f ca="1">C44</f>
        <v>25375</v>
      </c>
      <c r="P39" s="2013"/>
      <c r="V39" s="2013"/>
    </row>
    <row r="40" spans="1:26" ht="18" thickBot="1">
      <c r="A40" s="104" t="s">
        <v>871</v>
      </c>
      <c r="B40" s="311"/>
      <c r="C40" s="311"/>
      <c r="D40" s="311"/>
      <c r="E40" s="311"/>
      <c r="F40" s="311"/>
      <c r="G40" s="311"/>
      <c r="H40" s="311"/>
      <c r="I40" s="311"/>
      <c r="J40" s="2015"/>
      <c r="K40" s="3355" t="str">
        <f t="shared" ref="K40:K41" si="0">MID(A45,3,LEN(A45)-2)</f>
        <v/>
      </c>
      <c r="L40" s="3356"/>
      <c r="M40" s="3356"/>
      <c r="N40" s="3357"/>
      <c r="O40" s="1388" t="str">
        <f>C45</f>
        <v>——</v>
      </c>
      <c r="P40" s="2013"/>
      <c r="V40" s="2013"/>
    </row>
    <row r="41" spans="1:26" ht="16.2" thickBot="1">
      <c r="A41" s="312" t="s">
        <v>356</v>
      </c>
      <c r="B41" s="313"/>
      <c r="C41" s="314" t="s">
        <v>357</v>
      </c>
      <c r="D41" s="315" t="s">
        <v>358</v>
      </c>
      <c r="E41" s="315" t="s">
        <v>359</v>
      </c>
      <c r="F41" s="316" t="s">
        <v>360</v>
      </c>
      <c r="G41" s="311"/>
      <c r="H41" s="311"/>
      <c r="I41" s="311"/>
      <c r="J41" s="2015"/>
      <c r="K41" s="3355" t="str">
        <f t="shared" si="0"/>
        <v/>
      </c>
      <c r="L41" s="3356"/>
      <c r="M41" s="3356"/>
      <c r="N41" s="3357"/>
      <c r="O41" s="1388" t="str">
        <f>C46</f>
        <v>——</v>
      </c>
      <c r="P41" s="2013"/>
      <c r="V41" s="2013"/>
    </row>
    <row r="42" spans="1:26" ht="31.2">
      <c r="A42" s="3298" t="s">
        <v>2063</v>
      </c>
      <c r="B42" s="3299"/>
      <c r="C42" s="264">
        <f ca="1">C32</f>
        <v>25375</v>
      </c>
      <c r="D42" s="317">
        <f ca="1">C33</f>
        <v>2304</v>
      </c>
      <c r="E42" s="317">
        <f ca="1">C34</f>
        <v>18503</v>
      </c>
      <c r="F42" s="318">
        <f ca="1">C35</f>
        <v>1234</v>
      </c>
      <c r="G42" s="311"/>
      <c r="H42" s="311"/>
      <c r="I42" s="319"/>
      <c r="J42" s="2015"/>
      <c r="K42" s="1266" t="s">
        <v>361</v>
      </c>
      <c r="L42" s="2032" t="s">
        <v>362</v>
      </c>
      <c r="M42" s="1267" t="s">
        <v>363</v>
      </c>
      <c r="N42" s="2033" t="s">
        <v>364</v>
      </c>
      <c r="O42" s="2034" t="s">
        <v>365</v>
      </c>
      <c r="P42" s="2013"/>
      <c r="V42" s="2013"/>
    </row>
    <row r="43" spans="1:26" ht="30">
      <c r="A43" s="3309" t="s">
        <v>2724</v>
      </c>
      <c r="B43" s="3310"/>
      <c r="C43" s="264">
        <f>IF(H33="正常操作",G33+G34+G35,G34+G35)</f>
        <v>0</v>
      </c>
      <c r="D43" s="317" t="s">
        <v>43</v>
      </c>
      <c r="E43" s="317" t="s">
        <v>44</v>
      </c>
      <c r="F43" s="318" t="s">
        <v>44</v>
      </c>
      <c r="G43" s="2821" t="s">
        <v>950</v>
      </c>
      <c r="H43" s="311"/>
      <c r="I43" s="319"/>
      <c r="J43" s="2015"/>
      <c r="K43" s="1268" t="str">
        <f>C4</f>
        <v>剩余法-待开发</v>
      </c>
      <c r="L43" s="1269">
        <f ca="1">IF(L42="估价结果/万元",C19,C20)</f>
        <v>22321</v>
      </c>
      <c r="M43" s="1270">
        <f>C18</f>
        <v>0.7</v>
      </c>
      <c r="N43" s="1271">
        <f ca="1">IF(N42="测算结果/万元",G19,G20)</f>
        <v>25375</v>
      </c>
      <c r="O43" s="1272">
        <f ca="1">IF(O42="最终结果/万元",C32,C33)</f>
        <v>25375</v>
      </c>
      <c r="P43" s="2013"/>
      <c r="V43" s="2013"/>
    </row>
    <row r="44" spans="1:26" ht="30.6" thickBot="1">
      <c r="A44" s="3298" t="str">
        <f>IF(OR(项目基本情况!E8="抵押价格",项目基本情况!E8="已注销及未注销"),"3.抵押价格","——")</f>
        <v>3.抵押价格</v>
      </c>
      <c r="B44" s="3299"/>
      <c r="C44" s="264">
        <f ca="1">IF(A44="——","——",C42-C43)</f>
        <v>25375</v>
      </c>
      <c r="D44" s="317">
        <f ca="1">ROUND(C44*10000/'数据-汇总表'!E3,0)</f>
        <v>2304</v>
      </c>
      <c r="E44" s="317">
        <f ca="1">ROUND(C44*10000/'数据-汇总表'!D3,0)</f>
        <v>18503</v>
      </c>
      <c r="F44" s="318">
        <f ca="1">ROUND(C44/('数据-汇总表'!D3/666.67),0)</f>
        <v>1234</v>
      </c>
      <c r="G44" s="311"/>
      <c r="H44" s="311"/>
      <c r="I44" s="319"/>
      <c r="J44" s="2015"/>
      <c r="K44" s="1273" t="str">
        <f>D4</f>
        <v>比较法-住宅、综合</v>
      </c>
      <c r="L44" s="1274">
        <f ca="1">IF(L42="估价结果/万元",D19,D20)</f>
        <v>32501</v>
      </c>
      <c r="M44" s="1275">
        <f>D18</f>
        <v>0.30000000000000004</v>
      </c>
      <c r="N44" s="1276"/>
      <c r="O44" s="1277"/>
      <c r="P44" s="2013"/>
      <c r="V44" s="2013"/>
    </row>
    <row r="45" spans="1:26" ht="13.8">
      <c r="A45" s="3304" t="str">
        <f>IF(项目基本情况!E8="已注销及未注销","4.抵押担保权已注销时的抵押价格",IF(项目基本情况!E8="已注销","3.抵押担保权已注销时的抵押价格","——"))</f>
        <v>——</v>
      </c>
      <c r="B45" s="3305"/>
      <c r="C45" s="1788"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5"/>
      <c r="K45" s="2013"/>
      <c r="L45" s="2013"/>
      <c r="M45" s="2013"/>
      <c r="N45" s="2013"/>
      <c r="O45" s="2013"/>
      <c r="P45" s="2013"/>
      <c r="V45" s="2013"/>
    </row>
    <row r="46" spans="1:26" ht="14.4" thickBot="1">
      <c r="A46" s="3300" t="str">
        <f>IF(项目基本情况!E9="抵押净值",IF(A45="——","4.抵押净值","5.抵押净值"),"——")</f>
        <v>——</v>
      </c>
      <c r="B46" s="3301"/>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6">
      <c r="A47" s="321" t="s">
        <v>366</v>
      </c>
      <c r="B47" s="1278"/>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3.2">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3.2">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3.2">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3.2">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3.2">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3.2">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3.2">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3.2">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3.2">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3.2">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3.2">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3.2">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3.2">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3.2">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7.399999999999999">
      <c r="A62" s="1279" t="s">
        <v>373</v>
      </c>
      <c r="B62" s="1280"/>
      <c r="C62" s="1280"/>
      <c r="D62" s="1281"/>
      <c r="E62" s="1281"/>
      <c r="F62" s="1282"/>
      <c r="G62" s="1282"/>
      <c r="H62" s="1282"/>
      <c r="I62" s="1282"/>
      <c r="J62" s="2017"/>
      <c r="K62" s="2013"/>
      <c r="L62" s="2013"/>
      <c r="M62" s="2013"/>
      <c r="N62" s="2013"/>
      <c r="O62" s="2013"/>
      <c r="P62" s="2013"/>
      <c r="Q62" s="2013"/>
      <c r="R62" s="2013"/>
      <c r="S62" s="2013"/>
      <c r="T62" s="2013"/>
      <c r="U62" s="2013"/>
      <c r="V62" s="2013"/>
    </row>
    <row r="63" spans="1:22" ht="14.25" customHeight="1" thickBot="1">
      <c r="A63" s="3349" t="s">
        <v>374</v>
      </c>
      <c r="B63" s="3350"/>
      <c r="C63" s="3351"/>
      <c r="D63" s="341">
        <f ca="1">ROUND(C42*F63,0)</f>
        <v>15225</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06" t="s">
        <v>378</v>
      </c>
      <c r="B64" s="3307"/>
      <c r="C64" s="3307"/>
      <c r="D64" s="3307"/>
      <c r="E64" s="3307"/>
      <c r="F64" s="3307"/>
      <c r="G64" s="3308"/>
      <c r="H64" s="1283"/>
      <c r="I64" s="948"/>
      <c r="J64" s="1975"/>
      <c r="K64" s="1547"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3"/>
      <c r="I65" s="948"/>
      <c r="J65" s="1975"/>
      <c r="K65" s="1284"/>
      <c r="L65" s="1285"/>
      <c r="M65" s="1285"/>
      <c r="N65" s="1317" t="s">
        <v>379</v>
      </c>
      <c r="O65" s="1318"/>
      <c r="P65" s="1319"/>
      <c r="Q65" s="2013"/>
      <c r="R65" s="2013"/>
      <c r="S65" s="2013"/>
      <c r="T65" s="2013"/>
      <c r="U65" s="2013"/>
      <c r="V65" s="2013"/>
    </row>
    <row r="66" spans="1:22" ht="26.4">
      <c r="A66" s="3302" t="s">
        <v>386</v>
      </c>
      <c r="B66" s="3303"/>
      <c r="C66" s="3303"/>
      <c r="D66" s="261">
        <f ca="1">IF(H66="情况1",0,IF(H66="情况2",D70,IF(H66="情况3",D71,IF(H66="情况4",D72))))</f>
        <v>812</v>
      </c>
      <c r="E66" s="992" t="str">
        <f>IF(H66="情况4","(销售额-原购置价)×税（费）率","销售额×税（费）率")</f>
        <v>销售额×税（费）率</v>
      </c>
      <c r="F66" s="350">
        <f>IF(H66="情况1","免征",'数据-取费表'!B41)</f>
        <v>5.6000000000000001E-2</v>
      </c>
      <c r="G66" s="351" t="s">
        <v>387</v>
      </c>
      <c r="H66" s="191" t="s">
        <v>388</v>
      </c>
      <c r="I66" s="1283"/>
      <c r="J66" s="2019"/>
      <c r="K66" s="1286">
        <v>1</v>
      </c>
      <c r="L66" s="3364" t="s">
        <v>385</v>
      </c>
      <c r="M66" s="3365"/>
      <c r="N66" s="2422"/>
      <c r="O66" s="2423"/>
      <c r="P66" s="2424"/>
      <c r="Q66" s="2013"/>
      <c r="R66" s="2013"/>
      <c r="S66" s="2013"/>
      <c r="T66" s="2013"/>
      <c r="U66" s="2013"/>
      <c r="V66" s="2013"/>
    </row>
    <row r="67" spans="1:22" ht="25.5" customHeight="1">
      <c r="A67" s="352" t="s">
        <v>390</v>
      </c>
      <c r="B67" s="3293" t="s">
        <v>391</v>
      </c>
      <c r="C67" s="3293"/>
      <c r="D67" s="353">
        <v>0</v>
      </c>
      <c r="E67" s="41" t="s">
        <v>392</v>
      </c>
      <c r="F67" s="62" t="s">
        <v>21</v>
      </c>
      <c r="G67" s="3352"/>
      <c r="H67" s="311"/>
      <c r="I67" s="1287"/>
      <c r="J67" s="2020"/>
      <c r="K67" s="1961">
        <v>2</v>
      </c>
      <c r="L67" s="3358" t="s">
        <v>389</v>
      </c>
      <c r="M67" s="3358"/>
      <c r="N67" s="1320">
        <f>'数据-取费表'!B2</f>
        <v>44006</v>
      </c>
      <c r="O67" s="1320"/>
      <c r="P67" s="1320"/>
      <c r="Q67" s="2013"/>
      <c r="R67" s="2013"/>
      <c r="S67" s="2013"/>
      <c r="T67" s="2013"/>
      <c r="U67" s="2013"/>
      <c r="V67" s="2013"/>
    </row>
    <row r="68" spans="1:22" ht="25.5" customHeight="1">
      <c r="A68" s="354"/>
      <c r="B68" s="3293" t="s">
        <v>394</v>
      </c>
      <c r="C68" s="3293"/>
      <c r="D68" s="355"/>
      <c r="E68" s="77"/>
      <c r="F68" s="356"/>
      <c r="G68" s="3353"/>
      <c r="H68" s="311"/>
      <c r="I68" s="1287"/>
      <c r="J68" s="2020"/>
      <c r="K68" s="1961">
        <v>3</v>
      </c>
      <c r="L68" s="3358" t="s">
        <v>393</v>
      </c>
      <c r="M68" s="3358"/>
      <c r="N68" s="1288">
        <f ca="1">C42</f>
        <v>25375</v>
      </c>
      <c r="O68" s="1288"/>
      <c r="P68" s="1288"/>
      <c r="Q68" s="2013"/>
      <c r="R68" s="2013"/>
      <c r="S68" s="2013"/>
      <c r="T68" s="2013"/>
      <c r="U68" s="2013"/>
      <c r="V68" s="2013"/>
    </row>
    <row r="69" spans="1:22" ht="12" customHeight="1">
      <c r="A69" s="357"/>
      <c r="B69" s="3293" t="s">
        <v>395</v>
      </c>
      <c r="C69" s="3293"/>
      <c r="D69" s="358"/>
      <c r="E69" s="73"/>
      <c r="F69" s="356"/>
      <c r="G69" s="3354"/>
      <c r="H69" s="311"/>
      <c r="I69" s="1287"/>
      <c r="J69" s="2020"/>
      <c r="K69" s="1289">
        <v>4</v>
      </c>
      <c r="L69" s="3368" t="s">
        <v>2877</v>
      </c>
      <c r="M69" s="3369"/>
      <c r="N69" s="1290">
        <f ca="1">C44</f>
        <v>25375</v>
      </c>
      <c r="O69" s="1290"/>
      <c r="P69" s="1290"/>
      <c r="Q69" s="2013"/>
      <c r="R69" s="2013"/>
      <c r="S69" s="2013"/>
      <c r="T69" s="2013"/>
      <c r="U69" s="2013"/>
      <c r="V69" s="2013"/>
    </row>
    <row r="70" spans="1:22" ht="24" customHeight="1">
      <c r="A70" s="359" t="s">
        <v>396</v>
      </c>
      <c r="B70" s="3293" t="s">
        <v>397</v>
      </c>
      <c r="C70" s="3293"/>
      <c r="D70" s="358">
        <f ca="1">ROUND(D63*'数据-取费表'!B41/(1+'数据-取费表'!C42),0)</f>
        <v>812</v>
      </c>
      <c r="E70" s="17" t="s">
        <v>398</v>
      </c>
      <c r="F70" s="360">
        <f>'数据-取费表'!B41</f>
        <v>5.6000000000000001E-2</v>
      </c>
      <c r="G70" s="361"/>
      <c r="H70" s="311"/>
      <c r="I70" s="1287"/>
      <c r="J70" s="2020"/>
      <c r="K70" s="3007"/>
      <c r="L70" s="3008"/>
      <c r="M70" s="3008"/>
      <c r="N70" s="3009" t="s">
        <v>2882</v>
      </c>
      <c r="O70" s="3008"/>
      <c r="P70" s="3010"/>
      <c r="Q70" s="2013"/>
      <c r="R70" s="2013"/>
      <c r="S70" s="2013"/>
      <c r="T70" s="2013"/>
      <c r="U70" s="2013"/>
      <c r="V70" s="2013"/>
    </row>
    <row r="71" spans="1:22" ht="12" customHeight="1">
      <c r="A71" s="359" t="s">
        <v>404</v>
      </c>
      <c r="B71" s="3294" t="s">
        <v>405</v>
      </c>
      <c r="C71" s="3295"/>
      <c r="D71" s="358">
        <f ca="1">ROUND(D63*'数据-取费表'!B41/(1+'数据-取费表'!C42),0)</f>
        <v>812</v>
      </c>
      <c r="E71" s="17" t="s">
        <v>398</v>
      </c>
      <c r="F71" s="360">
        <f>'数据-取费表'!B41</f>
        <v>5.6000000000000001E-2</v>
      </c>
      <c r="G71" s="361"/>
      <c r="H71" s="311"/>
      <c r="I71" s="1287"/>
      <c r="J71" s="2020"/>
      <c r="K71" s="3006" t="s">
        <v>399</v>
      </c>
      <c r="L71" s="3370" t="s">
        <v>400</v>
      </c>
      <c r="M71" s="3370"/>
      <c r="N71" s="3006" t="s">
        <v>401</v>
      </c>
      <c r="O71" s="3006" t="s">
        <v>402</v>
      </c>
      <c r="P71" s="3006" t="s">
        <v>403</v>
      </c>
      <c r="Q71" s="2013"/>
      <c r="R71" s="2013"/>
      <c r="S71" s="2013"/>
      <c r="T71" s="2013"/>
      <c r="U71" s="2013"/>
      <c r="V71" s="2013"/>
    </row>
    <row r="72" spans="1:22" ht="12" customHeight="1">
      <c r="A72" s="359" t="s">
        <v>407</v>
      </c>
      <c r="B72" s="3294" t="s">
        <v>408</v>
      </c>
      <c r="C72" s="3295"/>
      <c r="D72" s="358">
        <f ca="1">C86</f>
        <v>700</v>
      </c>
      <c r="E72" s="73" t="s">
        <v>409</v>
      </c>
      <c r="F72" s="360">
        <f>'数据-取费表'!B41</f>
        <v>5.6000000000000001E-2</v>
      </c>
      <c r="G72" s="361"/>
      <c r="H72" s="1293"/>
      <c r="I72" s="1287"/>
      <c r="J72" s="2020"/>
      <c r="K72" s="1961">
        <v>1</v>
      </c>
      <c r="L72" s="3345" t="s">
        <v>406</v>
      </c>
      <c r="M72" s="3345"/>
      <c r="N72" s="1291">
        <f ca="1">D66</f>
        <v>812</v>
      </c>
      <c r="O72" s="1844" t="str">
        <f>E66</f>
        <v>销售额×税（费）率</v>
      </c>
      <c r="P72" s="1292">
        <f>F66</f>
        <v>5.6000000000000001E-2</v>
      </c>
      <c r="Q72" s="2013"/>
      <c r="R72" s="2013"/>
      <c r="S72" s="2013"/>
      <c r="T72" s="2013"/>
      <c r="U72" s="2013"/>
      <c r="V72" s="2013"/>
    </row>
    <row r="73" spans="1:22" ht="24" customHeight="1">
      <c r="A73" s="3340" t="s">
        <v>411</v>
      </c>
      <c r="B73" s="3303"/>
      <c r="C73" s="3303"/>
      <c r="D73" s="362">
        <f>IF(H73="个人住宅",0,ROUND(D63*I73,0))</f>
        <v>0</v>
      </c>
      <c r="E73" s="17" t="s">
        <v>412</v>
      </c>
      <c r="F73" s="360" t="str">
        <f>IF(H73="正常",I73,"免征")</f>
        <v>免征</v>
      </c>
      <c r="G73" s="361"/>
      <c r="H73" s="191" t="s">
        <v>2450</v>
      </c>
      <c r="I73" s="360">
        <f>'数据-取费表'!B49</f>
        <v>5.0000000000000001E-4</v>
      </c>
      <c r="J73" s="2020"/>
      <c r="K73" s="1961">
        <v>2</v>
      </c>
      <c r="L73" s="3345" t="s">
        <v>410</v>
      </c>
      <c r="M73" s="3345"/>
      <c r="N73" s="1291">
        <f t="shared" ref="N73:P74" si="1">D73</f>
        <v>0</v>
      </c>
      <c r="O73" s="1844" t="str">
        <f t="shared" si="1"/>
        <v>销售额×税（费）率</v>
      </c>
      <c r="P73" s="1292" t="str">
        <f t="shared" si="1"/>
        <v>免征</v>
      </c>
      <c r="Q73" s="2013"/>
      <c r="R73" s="2013"/>
      <c r="S73" s="2013"/>
      <c r="T73" s="2013"/>
      <c r="U73" s="2013"/>
      <c r="V73" s="2013"/>
    </row>
    <row r="74" spans="1:22" ht="25.2">
      <c r="A74" s="3340" t="s">
        <v>415</v>
      </c>
      <c r="B74" s="3303"/>
      <c r="C74" s="3303"/>
      <c r="D74" s="362">
        <f ca="1">IF(H74="个人住宅",D75,D76)</f>
        <v>8020</v>
      </c>
      <c r="E74" s="17" t="s">
        <v>416</v>
      </c>
      <c r="F74" s="360" t="str">
        <f>IF(H74="正常",F76,"免征")</f>
        <v>——</v>
      </c>
      <c r="G74" s="982" t="s">
        <v>417</v>
      </c>
      <c r="H74" s="363" t="s">
        <v>413</v>
      </c>
      <c r="I74" s="42"/>
      <c r="J74" s="2020"/>
      <c r="K74" s="1961">
        <v>3</v>
      </c>
      <c r="L74" s="3345" t="s">
        <v>414</v>
      </c>
      <c r="M74" s="3345"/>
      <c r="N74" s="1291">
        <f t="shared" ca="1" si="1"/>
        <v>8020</v>
      </c>
      <c r="O74" s="1844" t="str">
        <f t="shared" si="1"/>
        <v>增值额×税（费）率</v>
      </c>
      <c r="P74" s="1294" t="str">
        <f t="shared" si="1"/>
        <v>——</v>
      </c>
      <c r="Q74" s="2013"/>
      <c r="R74" s="2013"/>
      <c r="S74" s="2013"/>
      <c r="T74" s="2013"/>
      <c r="U74" s="2013"/>
      <c r="V74" s="2013"/>
    </row>
    <row r="75" spans="1:22" ht="24">
      <c r="A75" s="359" t="s">
        <v>418</v>
      </c>
      <c r="B75" s="3291" t="s">
        <v>419</v>
      </c>
      <c r="C75" s="3328"/>
      <c r="D75" s="364">
        <v>0</v>
      </c>
      <c r="E75" s="41" t="s">
        <v>420</v>
      </c>
      <c r="F75" s="365"/>
      <c r="G75" s="361"/>
      <c r="H75" s="42"/>
      <c r="I75" s="42"/>
      <c r="J75" s="2020"/>
      <c r="K75" s="2999">
        <f>IF(H77="非个人房产","",4)</f>
        <v>4</v>
      </c>
      <c r="L75" s="3345" t="str">
        <f>IF(H77="非个人房产","——","个人所得税")</f>
        <v>个人所得税</v>
      </c>
      <c r="M75" s="3345"/>
      <c r="N75" s="1295">
        <f ca="1">D77</f>
        <v>152</v>
      </c>
      <c r="O75" s="1857" t="str">
        <f>E77</f>
        <v>销售额×税（费）率</v>
      </c>
      <c r="P75" s="1296">
        <f>F77</f>
        <v>0.01</v>
      </c>
      <c r="Q75" s="2013"/>
      <c r="R75" s="2013"/>
      <c r="S75" s="2013"/>
      <c r="T75" s="2013"/>
      <c r="U75" s="2013"/>
      <c r="V75" s="2013"/>
    </row>
    <row r="76" spans="1:22" ht="25.2">
      <c r="A76" s="359" t="s">
        <v>396</v>
      </c>
      <c r="B76" s="3291" t="s">
        <v>422</v>
      </c>
      <c r="C76" s="3292"/>
      <c r="D76" s="362">
        <f ca="1">IF(H76="转让取得",C99,C115)</f>
        <v>8020</v>
      </c>
      <c r="E76" s="17" t="s">
        <v>423</v>
      </c>
      <c r="F76" s="53" t="s">
        <v>21</v>
      </c>
      <c r="G76" s="361"/>
      <c r="H76" s="363" t="s">
        <v>424</v>
      </c>
      <c r="I76" s="42"/>
      <c r="J76" s="2020"/>
      <c r="K76" s="2999" t="str">
        <f>IF(项目基本情况!K6="上海银行",IF(K75="",4,K75+1),"")</f>
        <v/>
      </c>
      <c r="L76" s="3360" t="str">
        <f>IF(项目基本情况!K6="上海银行","其他处置费用","")</f>
        <v/>
      </c>
      <c r="M76" s="3361"/>
      <c r="N76" s="1291" t="str">
        <f>IF(项目基本情况!K6="上海银行",N89,"")</f>
        <v/>
      </c>
      <c r="O76" s="3362" t="str">
        <f>IF(项目基本情况!K6="上海银行","包含处置中涉及的律师、诉讼、拍卖、评估等费用","")</f>
        <v/>
      </c>
      <c r="P76" s="3363"/>
      <c r="Q76" s="2013"/>
      <c r="R76" s="2013"/>
      <c r="S76" s="2013"/>
      <c r="T76" s="2013"/>
      <c r="U76" s="2013"/>
      <c r="V76" s="2013"/>
    </row>
    <row r="77" spans="1:22" ht="27" thickBot="1">
      <c r="A77" s="3347" t="s">
        <v>426</v>
      </c>
      <c r="B77" s="3348"/>
      <c r="C77" s="3348"/>
      <c r="D77" s="366">
        <f ca="1">IF(H77="非个人房产","——",IF(H77="个人住宅",0,ROUND(D63*I77,0)))</f>
        <v>152</v>
      </c>
      <c r="E77" s="367" t="str">
        <f>IF(H77="非个人房产","——","销售额×税（费）率")</f>
        <v>销售额×税（费）率</v>
      </c>
      <c r="F77" s="368">
        <f>IF(H77="非个人房产","——",IF(H77="个人住宅","免征",I77))</f>
        <v>0.01</v>
      </c>
      <c r="G77" s="983" t="s">
        <v>417</v>
      </c>
      <c r="H77" s="363" t="s">
        <v>2878</v>
      </c>
      <c r="I77" s="369">
        <v>0.01</v>
      </c>
      <c r="J77" s="2020"/>
      <c r="K77" s="3346">
        <f>IF(AND(K75="",K76=""),4,IF(项目基本情况!K6="上海银行",K76+1,K75+1))</f>
        <v>5</v>
      </c>
      <c r="L77" s="3345" t="s">
        <v>2879</v>
      </c>
      <c r="M77" s="3005" t="s">
        <v>421</v>
      </c>
      <c r="N77" s="1297"/>
      <c r="O77" s="1298">
        <f ca="1">SUMIF(N72:N76,"&lt;9e307")</f>
        <v>8984</v>
      </c>
      <c r="P77" s="1299"/>
      <c r="Q77" s="3003">
        <f ca="1">O77/N69</f>
        <v>0.35404926108374385</v>
      </c>
      <c r="R77" s="2013"/>
      <c r="S77" s="2013"/>
      <c r="T77" s="2013"/>
      <c r="U77" s="2013"/>
      <c r="V77" s="2013"/>
    </row>
    <row r="78" spans="1:22" ht="12" customHeight="1">
      <c r="A78" s="1300"/>
      <c r="B78" s="311"/>
      <c r="C78" s="311"/>
      <c r="D78" s="311"/>
      <c r="E78" s="42"/>
      <c r="F78" s="42"/>
      <c r="G78" s="42"/>
      <c r="H78" s="1002"/>
      <c r="I78" s="311"/>
      <c r="J78" s="2020"/>
      <c r="K78" s="3346"/>
      <c r="L78" s="3345"/>
      <c r="M78" s="3005" t="s">
        <v>425</v>
      </c>
      <c r="N78" s="1297"/>
      <c r="O78" s="1298" t="str">
        <f ca="1">NUMBERSTRING(INT(O77*10000),2)&amp;"元整"</f>
        <v>捌仟玖佰捌拾肆万元整</v>
      </c>
      <c r="P78" s="1299"/>
      <c r="Q78" s="2013"/>
      <c r="R78" s="2013"/>
      <c r="S78" s="2013"/>
      <c r="T78" s="2013"/>
      <c r="U78" s="2013"/>
      <c r="V78" s="2013"/>
    </row>
    <row r="79" spans="1:22" ht="13.8" thickBot="1">
      <c r="A79" s="3311" t="s">
        <v>427</v>
      </c>
      <c r="B79" s="3311"/>
      <c r="C79" s="3311"/>
      <c r="D79" s="3311"/>
      <c r="E79" s="3311"/>
      <c r="F79" s="42"/>
      <c r="G79" s="42"/>
      <c r="H79" s="1002"/>
      <c r="I79" s="311"/>
      <c r="J79" s="2020"/>
      <c r="K79" s="3366">
        <f>K77+1</f>
        <v>6</v>
      </c>
      <c r="L79" s="3345" t="s">
        <v>2880</v>
      </c>
      <c r="M79" s="3005" t="s">
        <v>421</v>
      </c>
      <c r="N79" s="1297"/>
      <c r="O79" s="1298">
        <f ca="1">N69-O77</f>
        <v>16391</v>
      </c>
      <c r="P79" s="1299"/>
      <c r="Q79" s="2013"/>
      <c r="R79" s="2013"/>
      <c r="S79" s="2013"/>
      <c r="T79" s="2013"/>
      <c r="U79" s="2013"/>
      <c r="V79" s="2013"/>
    </row>
    <row r="80" spans="1:22" ht="26.4">
      <c r="A80" s="3312" t="s">
        <v>428</v>
      </c>
      <c r="B80" s="3313"/>
      <c r="C80" s="993"/>
      <c r="D80" s="993" t="s">
        <v>429</v>
      </c>
      <c r="E80" s="370" t="s">
        <v>430</v>
      </c>
      <c r="F80" s="42"/>
      <c r="G80" s="42"/>
      <c r="H80" s="1002"/>
      <c r="I80" s="311"/>
      <c r="J80" s="2013"/>
      <c r="K80" s="3367"/>
      <c r="L80" s="3345"/>
      <c r="M80" s="3005" t="s">
        <v>425</v>
      </c>
      <c r="N80" s="1297"/>
      <c r="O80" s="1298" t="str">
        <f ca="1">NUMBERSTRING(INT(O79*10000),2)&amp;"元整"</f>
        <v>壹亿陆仟叁佰玖拾壹万元整</v>
      </c>
      <c r="P80" s="1299"/>
      <c r="Q80" s="2013"/>
      <c r="R80" s="2013"/>
      <c r="S80" s="2013"/>
      <c r="T80" s="2013"/>
      <c r="U80" s="2013"/>
      <c r="V80" s="2013"/>
    </row>
    <row r="81" spans="1:26" ht="13.8" thickBot="1">
      <c r="A81" s="381" t="s">
        <v>1821</v>
      </c>
      <c r="B81" s="371" t="s">
        <v>431</v>
      </c>
      <c r="C81" s="372">
        <f ca="1">ROUND((C82+C83)/(1+'数据-取费表'!C42),0)</f>
        <v>14500</v>
      </c>
      <c r="D81" s="373"/>
      <c r="E81" s="374"/>
      <c r="F81" s="42"/>
      <c r="G81" s="42"/>
      <c r="H81" s="1002"/>
      <c r="I81" s="311"/>
      <c r="J81" s="2013"/>
      <c r="K81" s="2999">
        <f>K79+1</f>
        <v>7</v>
      </c>
      <c r="L81" s="3343" t="s">
        <v>2881</v>
      </c>
      <c r="M81" s="3344"/>
      <c r="N81" s="1301"/>
      <c r="O81" s="1302">
        <f ca="1">ROUND(O79*10000/'数据-汇总表'!E3,0)</f>
        <v>1488</v>
      </c>
      <c r="P81" s="1303"/>
      <c r="Q81" s="2013"/>
      <c r="R81" s="2013"/>
      <c r="S81" s="2013"/>
      <c r="T81" s="2013"/>
      <c r="U81" s="2013"/>
      <c r="V81" s="2013"/>
    </row>
    <row r="82" spans="1:26" ht="13.8" thickTop="1">
      <c r="A82" s="375" t="s">
        <v>1822</v>
      </c>
      <c r="B82" s="376" t="s">
        <v>432</v>
      </c>
      <c r="C82" s="377">
        <f ca="1">D63</f>
        <v>15225</v>
      </c>
      <c r="D82" s="378" t="s">
        <v>19</v>
      </c>
      <c r="E82" s="379"/>
      <c r="F82" s="42"/>
      <c r="G82" s="42"/>
      <c r="H82" s="1002"/>
      <c r="I82" s="311"/>
      <c r="J82" s="2013"/>
      <c r="K82" s="2013"/>
      <c r="L82" s="2013"/>
      <c r="M82" s="2013"/>
      <c r="N82" s="2013"/>
      <c r="O82" s="2013"/>
      <c r="P82" s="2013"/>
      <c r="Q82" s="2013"/>
      <c r="R82" s="2013"/>
      <c r="S82" s="2013"/>
      <c r="T82" s="2013"/>
      <c r="U82" s="2013"/>
      <c r="V82" s="2013"/>
    </row>
    <row r="83" spans="1:26" ht="13.2">
      <c r="A83" s="375" t="s">
        <v>1823</v>
      </c>
      <c r="B83" s="376" t="s">
        <v>433</v>
      </c>
      <c r="C83" s="380">
        <v>0</v>
      </c>
      <c r="D83" s="378"/>
      <c r="E83" s="379"/>
      <c r="F83" s="42"/>
      <c r="G83" s="42"/>
      <c r="H83" s="1002"/>
      <c r="I83" s="311"/>
      <c r="J83" s="2013"/>
      <c r="K83" s="3359" t="s">
        <v>2868</v>
      </c>
      <c r="L83" s="3011" t="s">
        <v>2869</v>
      </c>
      <c r="M83" s="3001">
        <f ca="1">IF(N69&gt;10000,N69*0.5%,IF(AND(N69&gt;1000,N69&lt;=10000),N69*1%,IF(AND(N69&gt;100,N69&lt;=1000),N69*3%,IF(AND(N69&gt;10,N69&lt;=100),N69*5%,N69*8%))))</f>
        <v>126.875</v>
      </c>
      <c r="N83" s="53">
        <f ca="1">ROUND(M83,1)</f>
        <v>126.9</v>
      </c>
      <c r="O83" s="3004"/>
      <c r="P83" s="2013"/>
      <c r="Q83" s="2013"/>
      <c r="R83" s="2013"/>
      <c r="S83" s="2013"/>
      <c r="T83" s="2013"/>
      <c r="U83" s="2013"/>
      <c r="V83" s="2013"/>
    </row>
    <row r="84" spans="1:26" ht="25.2">
      <c r="A84" s="381" t="s">
        <v>1824</v>
      </c>
      <c r="B84" s="382" t="s">
        <v>434</v>
      </c>
      <c r="C84" s="383">
        <v>2000</v>
      </c>
      <c r="D84" s="384" t="s">
        <v>19</v>
      </c>
      <c r="E84" s="3046" t="s">
        <v>2936</v>
      </c>
      <c r="F84" s="42"/>
      <c r="G84" s="42"/>
      <c r="H84" s="1002"/>
      <c r="I84" s="311"/>
      <c r="J84" s="2013"/>
      <c r="K84" s="3359"/>
      <c r="L84" s="3011" t="s">
        <v>2870</v>
      </c>
      <c r="M84" s="3001">
        <f ca="1">IF(N69&gt;2000,N69*0.5%,IF(AND(N69&gt;1000,N69&lt;=2000),N69*0.6%,IF(AND(N69&gt;500,N69&lt;=1000),N69*0.7%,IF(AND(N69&gt;200,N69&lt;=500),N69*0.8%,IF(AND(N69&gt;100,N69&lt;=200),N69*0.9%,IF(AND(N69&gt;50,N69&lt;=100),N69*1%,IF(AND(N69&gt;20,N69&lt;=50),N69*1.5%,IF(AND(N69&gt;10,N69&lt;=20),N69*2%,IF(AND(N69&gt;1,N69&lt;=10),N69*2.5%)))))))))</f>
        <v>126.875</v>
      </c>
      <c r="N84" s="53">
        <f t="shared" ref="N84:N85" ca="1" si="2">ROUND(M84,1)</f>
        <v>126.9</v>
      </c>
      <c r="O84" s="2013" t="s">
        <v>2871</v>
      </c>
      <c r="P84" s="2013"/>
      <c r="Q84" s="2013"/>
      <c r="R84" s="2013"/>
      <c r="S84" s="2013"/>
      <c r="T84" s="2013"/>
      <c r="U84" s="2013"/>
      <c r="V84" s="2013"/>
    </row>
    <row r="85" spans="1:26" ht="13.2">
      <c r="A85" s="381" t="s">
        <v>1825</v>
      </c>
      <c r="B85" s="382" t="s">
        <v>435</v>
      </c>
      <c r="C85" s="385">
        <f ca="1">C81-C84</f>
        <v>12500</v>
      </c>
      <c r="D85" s="378" t="s">
        <v>19</v>
      </c>
      <c r="E85" s="379"/>
      <c r="F85" s="42"/>
      <c r="G85" s="42"/>
      <c r="H85" s="1002"/>
      <c r="I85" s="311"/>
      <c r="J85" s="2013"/>
      <c r="K85" s="3359"/>
      <c r="L85" s="3011" t="s">
        <v>2872</v>
      </c>
      <c r="M85" s="3001">
        <f ca="1">IF(N69&gt;1000,N69*0.1%,IF(AND(N69&gt;500,N69&lt;=1000),N69*0.5%,IF(AND(N69&gt;50,N69&lt;=500),N69*1%,IF(AND(N69&gt;1,N69&lt;=50),N69*1.5%))))</f>
        <v>25.375</v>
      </c>
      <c r="N85" s="53">
        <f t="shared" ca="1" si="2"/>
        <v>25.4</v>
      </c>
      <c r="O85" s="2013" t="s">
        <v>2871</v>
      </c>
      <c r="P85" s="2013"/>
      <c r="Q85" s="2013"/>
      <c r="R85" s="2013"/>
      <c r="S85" s="2013"/>
      <c r="T85" s="2013"/>
      <c r="U85" s="2013"/>
      <c r="V85" s="2013"/>
    </row>
    <row r="86" spans="1:26" ht="13.8" thickBot="1">
      <c r="A86" s="386" t="s">
        <v>1826</v>
      </c>
      <c r="B86" s="387" t="s">
        <v>436</v>
      </c>
      <c r="C86" s="388">
        <f ca="1">IF(C85&lt;=0,0,ROUND(C85*D86,0))</f>
        <v>700</v>
      </c>
      <c r="D86" s="389">
        <f>'数据-取费表'!B41</f>
        <v>5.6000000000000001E-2</v>
      </c>
      <c r="E86" s="390"/>
      <c r="F86" s="42"/>
      <c r="G86" s="42"/>
      <c r="H86" s="1002"/>
      <c r="I86" s="311"/>
      <c r="J86" s="2013"/>
      <c r="K86" s="3359"/>
      <c r="L86" s="3011" t="s">
        <v>2873</v>
      </c>
      <c r="M86" s="3001">
        <f ca="1">N69*0.5%</f>
        <v>126.875</v>
      </c>
      <c r="N86" s="53">
        <f ca="1">IF(M86&gt;0.5,0.5,ROUND(M86,0))</f>
        <v>0.5</v>
      </c>
      <c r="O86" s="2013" t="s">
        <v>2874</v>
      </c>
      <c r="P86" s="2013"/>
      <c r="Q86" s="2013"/>
      <c r="R86" s="2013"/>
      <c r="S86" s="2013"/>
      <c r="T86" s="2013"/>
      <c r="U86" s="2013"/>
      <c r="V86" s="2013"/>
    </row>
    <row r="87" spans="1:26" s="1249" customFormat="1" ht="14.25" customHeight="1">
      <c r="A87" s="1304"/>
      <c r="B87" s="1305"/>
      <c r="C87" s="1306"/>
      <c r="D87" s="1307"/>
      <c r="E87" s="1308"/>
      <c r="F87" s="42"/>
      <c r="G87" s="42"/>
      <c r="H87" s="1002"/>
      <c r="I87" s="311"/>
      <c r="J87" s="2013"/>
      <c r="K87" s="3359"/>
      <c r="L87" s="3011" t="s">
        <v>2875</v>
      </c>
      <c r="M87" s="3001">
        <f ca="1">IF(N69&gt;=10000,(8.25+(N69-10000)*0.01%),IF(AND(N69&gt;=8000,N69&lt;10000),(7.85+(N69-8000)*0.02%),IF(AND(N69&gt;=5000,N69&lt;8000),(6.65+(N69-5000)*0.04%),IF(AND(N69&gt;=2000,N69&lt;5000),(4.25+(PN69-2000)*0.08%),IF(AND(N69&gt;=1000,N69&lt;2000),(2.75+(N69-1000)*0.15%),IF(AND(N69&gt;=100,N69&lt;1000),(0.5+(N69-100)*0.25%),IF(AND(N69&gt;0,N69&lt;100),N69*0.5%)))))))</f>
        <v>9.7874999999999996</v>
      </c>
      <c r="N87" s="53">
        <f ca="1">ROUND(M87*0.9,1)</f>
        <v>8.8000000000000007</v>
      </c>
      <c r="O87" s="3004"/>
      <c r="P87" s="311"/>
      <c r="Q87" s="2013"/>
      <c r="R87" s="2013"/>
      <c r="S87" s="2013"/>
      <c r="T87" s="2013"/>
      <c r="U87" s="2013"/>
      <c r="V87" s="2013"/>
      <c r="W87" s="292"/>
      <c r="X87" s="292"/>
      <c r="Y87" s="292"/>
      <c r="Z87" s="292"/>
    </row>
    <row r="88" spans="1:26" s="1309" customFormat="1" ht="14.4" thickBot="1">
      <c r="A88" s="3338" t="s">
        <v>437</v>
      </c>
      <c r="B88" s="3339"/>
      <c r="C88" s="3339"/>
      <c r="D88" s="3339"/>
      <c r="E88" s="3339"/>
      <c r="F88" s="3339"/>
      <c r="G88" s="3339"/>
      <c r="H88" s="3339"/>
      <c r="I88" s="1310"/>
      <c r="J88" s="2021"/>
      <c r="K88" s="3359"/>
      <c r="L88" s="3011" t="s">
        <v>2876</v>
      </c>
      <c r="M88" s="3001">
        <f ca="1">IF(N69&gt;10000,N69*0.5%,IF(AND(N69&gt;5000,N69&lt;=10000),N69*1%,IF(AND(N69&gt;1000,N69&lt;=5000),N69*2%,IF(AND(N69&gt;200,N69&lt;=1000),N69*3%,N69*5%))))</f>
        <v>126.875</v>
      </c>
      <c r="N88" s="53">
        <f ca="1">ROUND(M88,1)</f>
        <v>126.9</v>
      </c>
      <c r="O88" s="3004"/>
      <c r="P88" s="11"/>
      <c r="Q88" s="2018"/>
      <c r="R88" s="2018"/>
      <c r="S88" s="2018"/>
      <c r="T88" s="2018"/>
      <c r="U88" s="2018"/>
      <c r="V88" s="2018"/>
      <c r="W88" s="2022"/>
      <c r="X88" s="2022"/>
      <c r="Y88" s="2022"/>
      <c r="Z88" s="2022"/>
    </row>
    <row r="89" spans="1:26" s="1309" customFormat="1" ht="13.8">
      <c r="A89" s="3312" t="s">
        <v>428</v>
      </c>
      <c r="B89" s="3313"/>
      <c r="C89" s="993"/>
      <c r="D89" s="993" t="s">
        <v>429</v>
      </c>
      <c r="E89" s="391" t="s">
        <v>438</v>
      </c>
      <c r="F89" s="392"/>
      <c r="G89" s="392"/>
      <c r="H89" s="393"/>
      <c r="I89" s="1311"/>
      <c r="J89" s="2023"/>
      <c r="K89" s="3359"/>
      <c r="L89" s="3011" t="s">
        <v>27</v>
      </c>
      <c r="M89" s="3002"/>
      <c r="N89" s="53">
        <f ca="1">ROUND(SUM(N83:N88),0)</f>
        <v>415</v>
      </c>
      <c r="O89" s="3012">
        <f ca="1">N89/N69</f>
        <v>1.6354679802955664E-2</v>
      </c>
      <c r="P89" s="2018"/>
      <c r="Q89" s="2018"/>
      <c r="R89" s="2018"/>
      <c r="S89" s="2018"/>
      <c r="T89" s="2018"/>
      <c r="U89" s="2018"/>
      <c r="V89" s="2018"/>
      <c r="W89" s="2022"/>
      <c r="X89" s="2022"/>
      <c r="Y89" s="2022"/>
      <c r="Z89" s="2022"/>
    </row>
    <row r="90" spans="1:26" s="1309" customFormat="1" ht="13.8">
      <c r="A90" s="381" t="s">
        <v>1821</v>
      </c>
      <c r="B90" s="382" t="s">
        <v>439</v>
      </c>
      <c r="C90" s="385">
        <f ca="1">ROUND(D63/(1+'数据-取费表'!C42),0)</f>
        <v>14500</v>
      </c>
      <c r="D90" s="378" t="s">
        <v>19</v>
      </c>
      <c r="E90" s="990"/>
      <c r="F90" s="989"/>
      <c r="G90" s="989"/>
      <c r="H90" s="394"/>
      <c r="I90" s="1311"/>
      <c r="J90" s="2023"/>
      <c r="K90" s="2018"/>
      <c r="L90" s="2018"/>
      <c r="M90" s="2018"/>
      <c r="N90" s="2018"/>
      <c r="O90" s="2018"/>
      <c r="P90" s="2018"/>
      <c r="Q90" s="2018"/>
      <c r="R90" s="2018"/>
      <c r="S90" s="2018"/>
      <c r="T90" s="2018"/>
      <c r="U90" s="2018"/>
      <c r="V90" s="2018"/>
      <c r="W90" s="2022"/>
      <c r="X90" s="2022"/>
      <c r="Y90" s="2022"/>
      <c r="Z90" s="2022"/>
    </row>
    <row r="91" spans="1:26" s="1309" customFormat="1" ht="13.8">
      <c r="A91" s="381" t="s">
        <v>1827</v>
      </c>
      <c r="B91" s="348" t="s">
        <v>440</v>
      </c>
      <c r="C91" s="385">
        <f ca="1">C92+C96</f>
        <v>2648</v>
      </c>
      <c r="D91" s="378" t="s">
        <v>19</v>
      </c>
      <c r="E91" s="990"/>
      <c r="F91" s="989"/>
      <c r="G91" s="989"/>
      <c r="H91" s="394"/>
      <c r="I91" s="1311"/>
      <c r="J91" s="2023"/>
      <c r="K91" s="2018"/>
      <c r="L91" s="2018"/>
      <c r="M91" s="2018"/>
      <c r="N91" s="2018"/>
      <c r="O91" s="2018"/>
      <c r="P91" s="2018"/>
      <c r="Q91" s="2018"/>
      <c r="R91" s="2018"/>
      <c r="S91" s="2018"/>
      <c r="T91" s="2018"/>
      <c r="U91" s="2018"/>
      <c r="V91" s="2018"/>
      <c r="W91" s="2022"/>
      <c r="X91" s="2022"/>
      <c r="Y91" s="2022"/>
      <c r="Z91" s="2022"/>
    </row>
    <row r="92" spans="1:26" s="1309" customFormat="1" ht="24">
      <c r="A92" s="395" t="s">
        <v>1828</v>
      </c>
      <c r="B92" s="376" t="s">
        <v>441</v>
      </c>
      <c r="C92" s="378">
        <f>ROUND(IF(G95="2016年5月1日后购买",C93/(1+'数据-取费表'!C30)+C94+C95,C93+C94+C95),0)</f>
        <v>2561</v>
      </c>
      <c r="D92" s="378" t="s">
        <v>19</v>
      </c>
      <c r="E92" s="990"/>
      <c r="F92" s="989"/>
      <c r="G92" s="989"/>
      <c r="H92" s="394"/>
      <c r="I92" s="1311"/>
      <c r="J92" s="2023"/>
      <c r="K92" s="2018"/>
      <c r="L92" s="2018"/>
      <c r="M92" s="2018"/>
      <c r="N92" s="2018"/>
      <c r="O92" s="2018"/>
      <c r="P92" s="2018"/>
      <c r="Q92" s="2018"/>
      <c r="R92" s="2018"/>
      <c r="S92" s="2018"/>
      <c r="T92" s="2018"/>
      <c r="U92" s="2018"/>
      <c r="V92" s="2018"/>
      <c r="W92" s="2022"/>
      <c r="X92" s="2022"/>
      <c r="Y92" s="2022"/>
      <c r="Z92" s="2022"/>
    </row>
    <row r="93" spans="1:26" s="1309" customFormat="1" ht="14.4">
      <c r="A93" s="395" t="s">
        <v>1829</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09" customFormat="1" ht="24.75" customHeight="1">
      <c r="A94" s="395" t="s">
        <v>1830</v>
      </c>
      <c r="B94" s="400" t="s">
        <v>446</v>
      </c>
      <c r="C94" s="378">
        <f>IF(F93="购房发票",ROUND(C93*H93*5%,0),0)</f>
        <v>500</v>
      </c>
      <c r="D94" s="401">
        <v>0.05</v>
      </c>
      <c r="E94" s="3294" t="s">
        <v>447</v>
      </c>
      <c r="F94" s="3293"/>
      <c r="G94" s="3293"/>
      <c r="H94" s="3337"/>
      <c r="I94" s="1311"/>
      <c r="J94" s="2023"/>
      <c r="K94" s="2018"/>
      <c r="L94" s="2018"/>
      <c r="M94" s="2018"/>
      <c r="N94" s="2018"/>
      <c r="O94" s="2018"/>
      <c r="P94" s="2018"/>
      <c r="Q94" s="2018"/>
      <c r="R94" s="2018"/>
      <c r="S94" s="2018"/>
      <c r="T94" s="2018"/>
      <c r="U94" s="2018"/>
      <c r="V94" s="2018"/>
      <c r="W94" s="2022"/>
      <c r="X94" s="2022"/>
      <c r="Y94" s="2022"/>
      <c r="Z94" s="2022"/>
    </row>
    <row r="95" spans="1:26" s="1309"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8" t="str">
        <f>IF(G95="个人买卖住房","免征印花税"," ")</f>
        <v xml:space="preserve"> </v>
      </c>
      <c r="I95" s="1311"/>
      <c r="J95" s="2023"/>
      <c r="K95" s="2018"/>
      <c r="L95" s="2018"/>
      <c r="M95" s="2018"/>
      <c r="N95" s="2018"/>
      <c r="O95" s="2018"/>
      <c r="P95" s="2018"/>
      <c r="Q95" s="2018"/>
      <c r="R95" s="2018"/>
      <c r="S95" s="2018"/>
      <c r="T95" s="2018"/>
      <c r="U95" s="2018"/>
      <c r="V95" s="2018"/>
      <c r="W95" s="2022"/>
      <c r="X95" s="2022"/>
      <c r="Y95" s="2022"/>
      <c r="Z95" s="2022"/>
    </row>
    <row r="96" spans="1:26" s="1309" customFormat="1" ht="24.75" customHeight="1">
      <c r="A96" s="395" t="s">
        <v>1832</v>
      </c>
      <c r="B96" s="376" t="s">
        <v>450</v>
      </c>
      <c r="C96" s="405">
        <f ca="1">ROUND(D63*D96/(1+'数据-取费表'!C42),0)</f>
        <v>87</v>
      </c>
      <c r="D96" s="406">
        <f>'数据-取费表'!B43</f>
        <v>6.000000000000001E-3</v>
      </c>
      <c r="E96" s="3329" t="s">
        <v>2423</v>
      </c>
      <c r="F96" s="3330"/>
      <c r="G96" s="3330"/>
      <c r="H96" s="3331"/>
      <c r="I96" s="1312"/>
      <c r="J96" s="2024"/>
      <c r="K96" s="2018"/>
      <c r="L96" s="2018"/>
      <c r="M96" s="2018"/>
      <c r="N96" s="2018"/>
      <c r="O96" s="2018"/>
      <c r="P96" s="2018"/>
      <c r="Q96" s="2018"/>
      <c r="R96" s="2018"/>
      <c r="S96" s="2018"/>
      <c r="T96" s="2018"/>
      <c r="U96" s="2018"/>
      <c r="V96" s="2018"/>
      <c r="W96" s="2022"/>
      <c r="X96" s="2022"/>
      <c r="Y96" s="2022"/>
      <c r="Z96" s="2022"/>
    </row>
    <row r="97" spans="1:26" s="1309" customFormat="1" ht="13.8">
      <c r="A97" s="1602" t="s">
        <v>1833</v>
      </c>
      <c r="B97" s="382" t="s">
        <v>451</v>
      </c>
      <c r="C97" s="385">
        <f ca="1">C90-C91</f>
        <v>11852</v>
      </c>
      <c r="D97" s="378" t="s">
        <v>19</v>
      </c>
      <c r="E97" s="990"/>
      <c r="F97" s="989"/>
      <c r="G97" s="989"/>
      <c r="H97" s="394"/>
      <c r="I97" s="1311"/>
      <c r="J97" s="2023"/>
      <c r="K97" s="2018"/>
      <c r="L97" s="2018"/>
      <c r="M97" s="2018"/>
      <c r="N97" s="2018"/>
      <c r="O97" s="2018"/>
      <c r="P97" s="2018"/>
      <c r="Q97" s="2018"/>
      <c r="R97" s="2018"/>
      <c r="S97" s="2018"/>
      <c r="T97" s="2018"/>
      <c r="U97" s="2018"/>
      <c r="V97" s="2018"/>
      <c r="W97" s="2022"/>
      <c r="X97" s="2022"/>
      <c r="Y97" s="2022"/>
      <c r="Z97" s="2022"/>
    </row>
    <row r="98" spans="1:26" s="1309" customFormat="1" ht="24">
      <c r="A98" s="1602" t="s">
        <v>1834</v>
      </c>
      <c r="B98" s="382" t="s">
        <v>452</v>
      </c>
      <c r="C98" s="407">
        <f ca="1">IF(C97&lt;=0,0,C97/C91)</f>
        <v>4.47583081570997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1"/>
      <c r="J98" s="2023"/>
      <c r="K98" s="2018"/>
      <c r="L98" s="2018"/>
      <c r="M98" s="2018"/>
      <c r="N98" s="2018"/>
      <c r="O98" s="2018"/>
      <c r="P98" s="2018"/>
      <c r="Q98" s="2018"/>
      <c r="R98" s="2018"/>
      <c r="S98" s="2018"/>
      <c r="T98" s="2018"/>
      <c r="U98" s="2018"/>
      <c r="V98" s="2018"/>
      <c r="W98" s="2022"/>
      <c r="X98" s="2022"/>
      <c r="Y98" s="2022"/>
      <c r="Z98" s="2022"/>
    </row>
    <row r="99" spans="1:26" s="1309" customFormat="1" ht="24.6" thickBot="1">
      <c r="A99" s="1603" t="s">
        <v>1835</v>
      </c>
      <c r="B99" s="387" t="s">
        <v>453</v>
      </c>
      <c r="C99" s="408">
        <f ca="1">ROUND(IF(C97&lt;=0,0,IF(C98&gt;=200%,C97*60%-C91*35%,IF(C98&gt;=100%,C97*50%-C91*15%,IF(C98&gt;=50%,C97*40%-C91*5%,IF(C98&lt;50%,C97*30%,0))))),0)</f>
        <v>6184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1"/>
      <c r="J99" s="2023"/>
      <c r="K99" s="2018"/>
      <c r="L99" s="2018"/>
      <c r="M99" s="2018"/>
      <c r="N99" s="2018"/>
      <c r="O99" s="2018"/>
      <c r="P99" s="2018"/>
      <c r="Q99" s="2018"/>
      <c r="R99" s="2018"/>
      <c r="S99" s="2018"/>
      <c r="T99" s="2018"/>
      <c r="U99" s="2018"/>
      <c r="V99" s="2018"/>
      <c r="W99" s="2022"/>
      <c r="X99" s="2022"/>
      <c r="Y99" s="2022"/>
      <c r="Z99" s="2022"/>
    </row>
    <row r="100" spans="1:26" s="1309" customFormat="1" ht="7.5" customHeight="1">
      <c r="A100" s="1313"/>
      <c r="B100" s="1314"/>
      <c r="C100" s="11"/>
      <c r="D100" s="11"/>
      <c r="E100" s="1314"/>
      <c r="F100" s="1314"/>
      <c r="G100" s="1314"/>
      <c r="H100" s="1315"/>
      <c r="I100" s="1312"/>
      <c r="J100" s="2024"/>
      <c r="K100" s="2018"/>
      <c r="L100" s="2018"/>
      <c r="M100" s="2018"/>
      <c r="N100" s="2018"/>
      <c r="O100" s="2018"/>
      <c r="P100" s="2018"/>
      <c r="Q100" s="2018"/>
      <c r="R100" s="2018"/>
      <c r="S100" s="2018"/>
      <c r="T100" s="2018"/>
      <c r="U100" s="2018"/>
      <c r="V100" s="2018"/>
      <c r="W100" s="2022"/>
      <c r="X100" s="2022"/>
      <c r="Y100" s="2022"/>
      <c r="Z100" s="2022"/>
    </row>
    <row r="101" spans="1:26" s="1309" customFormat="1" ht="14.4" thickBot="1">
      <c r="A101" s="3338" t="s">
        <v>454</v>
      </c>
      <c r="B101" s="3339"/>
      <c r="C101" s="3339"/>
      <c r="D101" s="3339"/>
      <c r="E101" s="3339"/>
      <c r="F101" s="3339"/>
      <c r="G101" s="3339"/>
      <c r="H101" s="3339"/>
      <c r="I101" s="11"/>
      <c r="J101" s="2018"/>
      <c r="K101" s="2018"/>
      <c r="L101" s="2018"/>
      <c r="M101" s="2018"/>
      <c r="N101" s="2018"/>
      <c r="O101" s="2018"/>
      <c r="P101" s="2018"/>
      <c r="Q101" s="2018"/>
      <c r="R101" s="2018"/>
      <c r="S101" s="2018"/>
      <c r="T101" s="2018"/>
      <c r="U101" s="2018"/>
      <c r="V101" s="2018"/>
      <c r="W101" s="2022"/>
      <c r="X101" s="2022"/>
      <c r="Y101" s="2022"/>
      <c r="Z101" s="2022"/>
    </row>
    <row r="102" spans="1:26" s="1309" customFormat="1" ht="13.8">
      <c r="A102" s="3312" t="s">
        <v>428</v>
      </c>
      <c r="B102" s="3313"/>
      <c r="C102" s="993"/>
      <c r="D102" s="993"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09" customFormat="1" ht="13.8">
      <c r="A103" s="381" t="s">
        <v>1821</v>
      </c>
      <c r="B103" s="382" t="s">
        <v>439</v>
      </c>
      <c r="C103" s="385">
        <f ca="1">ROUND(D63/(1+'数据-取费表'!C42),0)</f>
        <v>14500</v>
      </c>
      <c r="D103" s="378" t="s">
        <v>19</v>
      </c>
      <c r="E103" s="990"/>
      <c r="F103" s="989"/>
      <c r="G103" s="989"/>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09" customFormat="1" ht="13.8">
      <c r="A104" s="381" t="s">
        <v>1827</v>
      </c>
      <c r="B104" s="348" t="s">
        <v>440</v>
      </c>
      <c r="C104" s="385">
        <f ca="1">IF(H106="仅含出让金",C105+C108+C109+C110+C111+C112,C105+C109+C110+C111+C112)</f>
        <v>716</v>
      </c>
      <c r="D104" s="415"/>
      <c r="E104" s="990"/>
      <c r="F104" s="989"/>
      <c r="G104" s="989"/>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09" customFormat="1" ht="13.8">
      <c r="A105" s="395" t="s">
        <v>1828</v>
      </c>
      <c r="B105" s="376" t="s">
        <v>455</v>
      </c>
      <c r="C105" s="405">
        <f>C106+C107</f>
        <v>572</v>
      </c>
      <c r="D105" s="406"/>
      <c r="E105" s="984"/>
      <c r="F105" s="985"/>
      <c r="G105" s="985"/>
      <c r="H105" s="986"/>
      <c r="I105" s="11"/>
      <c r="J105" s="2018"/>
      <c r="K105" s="2018"/>
      <c r="L105" s="2018"/>
      <c r="M105" s="2018"/>
      <c r="N105" s="2018"/>
      <c r="O105" s="2018"/>
      <c r="P105" s="2018"/>
      <c r="Q105" s="2018"/>
      <c r="R105" s="2018"/>
      <c r="S105" s="2018"/>
      <c r="T105" s="2018"/>
      <c r="U105" s="2018"/>
      <c r="V105" s="2018"/>
      <c r="W105" s="2022"/>
      <c r="X105" s="2022"/>
      <c r="Y105" s="2022"/>
      <c r="Z105" s="2022"/>
    </row>
    <row r="106" spans="1:26" s="1309" customFormat="1" ht="26.4">
      <c r="A106" s="395" t="s">
        <v>1829</v>
      </c>
      <c r="B106" s="376" t="s">
        <v>456</v>
      </c>
      <c r="C106" s="416">
        <v>555</v>
      </c>
      <c r="D106" s="406"/>
      <c r="E106" s="417" t="s">
        <v>457</v>
      </c>
      <c r="F106" s="985"/>
      <c r="G106" s="418" t="s">
        <v>458</v>
      </c>
      <c r="H106" s="419" t="s">
        <v>2434</v>
      </c>
      <c r="I106" s="11" t="s">
        <v>2995</v>
      </c>
      <c r="J106" s="2018"/>
      <c r="K106" s="2018"/>
      <c r="L106" s="2018"/>
      <c r="M106" s="2018"/>
      <c r="N106" s="2018"/>
      <c r="O106" s="2018"/>
      <c r="P106" s="2018"/>
      <c r="Q106" s="2018"/>
      <c r="R106" s="2018"/>
      <c r="S106" s="2018"/>
      <c r="T106" s="2018"/>
      <c r="U106" s="2018"/>
      <c r="V106" s="2018"/>
      <c r="W106" s="2022"/>
      <c r="X106" s="2022"/>
      <c r="Y106" s="2022"/>
      <c r="Z106" s="2022"/>
    </row>
    <row r="107" spans="1:26" s="1309" customFormat="1" ht="13.8">
      <c r="A107" s="395" t="s">
        <v>1830</v>
      </c>
      <c r="B107" s="376" t="s">
        <v>448</v>
      </c>
      <c r="C107" s="405">
        <f>ROUND(C106*D107,0)</f>
        <v>17</v>
      </c>
      <c r="D107" s="406">
        <f>'数据-取费表'!B48+'数据-取费表'!B49</f>
        <v>3.0499999999999999E-2</v>
      </c>
      <c r="E107" s="417" t="s">
        <v>459</v>
      </c>
      <c r="F107" s="985"/>
      <c r="G107" s="985"/>
      <c r="H107" s="986"/>
      <c r="I107" s="11"/>
      <c r="J107" s="2018"/>
      <c r="K107" s="2018"/>
      <c r="L107" s="2018"/>
      <c r="M107" s="2018"/>
      <c r="N107" s="2018"/>
      <c r="O107" s="2018"/>
      <c r="P107" s="2018"/>
      <c r="Q107" s="2018"/>
      <c r="R107" s="2018"/>
      <c r="S107" s="2018"/>
      <c r="T107" s="2018"/>
      <c r="U107" s="2018"/>
      <c r="V107" s="2018"/>
      <c r="W107" s="2022"/>
      <c r="X107" s="2022"/>
      <c r="Y107" s="2022"/>
      <c r="Z107" s="2022"/>
    </row>
    <row r="108" spans="1:26" s="1309" customFormat="1" ht="14.4">
      <c r="A108" s="395" t="s">
        <v>1832</v>
      </c>
      <c r="B108" s="376" t="s">
        <v>460</v>
      </c>
      <c r="C108" s="416"/>
      <c r="D108" s="406"/>
      <c r="E108" s="417" t="str">
        <f>IF(H106="-","土地取得成本中已包含该笔费用"," ")</f>
        <v xml:space="preserve"> </v>
      </c>
      <c r="F108" s="985"/>
      <c r="G108" s="3288" t="s">
        <v>2997</v>
      </c>
      <c r="H108" s="3289"/>
      <c r="I108" s="3186" t="s">
        <v>2996</v>
      </c>
      <c r="J108" s="2018"/>
      <c r="K108" s="2018"/>
      <c r="L108" s="2018"/>
      <c r="M108" s="2018"/>
      <c r="N108" s="2018"/>
      <c r="O108" s="2018"/>
      <c r="P108" s="2018"/>
      <c r="Q108" s="2018"/>
      <c r="R108" s="2018"/>
      <c r="S108" s="2018"/>
      <c r="T108" s="2018"/>
      <c r="U108" s="2018"/>
      <c r="V108" s="2018"/>
      <c r="W108" s="2022"/>
      <c r="X108" s="2022"/>
      <c r="Y108" s="2022"/>
      <c r="Z108" s="2022"/>
    </row>
    <row r="109" spans="1:26" s="1309" customFormat="1" ht="24" customHeight="1">
      <c r="A109" s="1604" t="s">
        <v>1836</v>
      </c>
      <c r="B109" s="376" t="s">
        <v>461</v>
      </c>
      <c r="C109" s="405">
        <f>IF(H109="——",IF(F1="现房",'剩余法-现房'!C18,0),I109)</f>
        <v>0</v>
      </c>
      <c r="D109" s="406"/>
      <c r="E109" s="3332" t="s">
        <v>462</v>
      </c>
      <c r="F109" s="3330"/>
      <c r="G109" s="3330"/>
      <c r="H109" s="1926" t="s">
        <v>950</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09" customFormat="1" ht="25.5" customHeight="1">
      <c r="A110" s="1604" t="s">
        <v>1837</v>
      </c>
      <c r="B110" s="376" t="s">
        <v>463</v>
      </c>
      <c r="C110" s="405">
        <f>ROUND((C105+C108+C109)*D110,0)</f>
        <v>57</v>
      </c>
      <c r="D110" s="406">
        <v>0.1</v>
      </c>
      <c r="E110" s="3332" t="s">
        <v>464</v>
      </c>
      <c r="F110" s="3330"/>
      <c r="G110" s="3330"/>
      <c r="H110" s="3331"/>
      <c r="I110" s="11"/>
      <c r="J110" s="2018"/>
      <c r="K110" s="2018"/>
      <c r="L110" s="2018"/>
      <c r="M110" s="2018"/>
      <c r="N110" s="2018"/>
      <c r="O110" s="2018"/>
      <c r="P110" s="2018"/>
      <c r="Q110" s="2018"/>
      <c r="R110" s="2018"/>
      <c r="S110" s="2018"/>
      <c r="T110" s="2018"/>
      <c r="U110" s="2018"/>
      <c r="V110" s="2018"/>
      <c r="W110" s="2022"/>
      <c r="X110" s="2022"/>
      <c r="Y110" s="2022"/>
      <c r="Z110" s="2022"/>
    </row>
    <row r="111" spans="1:26" s="1309" customFormat="1" ht="25.5" customHeight="1">
      <c r="A111" s="1604" t="s">
        <v>1838</v>
      </c>
      <c r="B111" s="376" t="s">
        <v>450</v>
      </c>
      <c r="C111" s="405">
        <f ca="1">ROUND(D63*D111/(1+'数据-取费表'!C42),0)</f>
        <v>87</v>
      </c>
      <c r="D111" s="406">
        <f>'数据-取费表'!B43</f>
        <v>6.000000000000001E-3</v>
      </c>
      <c r="E111" s="3329" t="s">
        <v>2423</v>
      </c>
      <c r="F111" s="3330"/>
      <c r="G111" s="3330"/>
      <c r="H111" s="3331"/>
      <c r="I111" s="11"/>
      <c r="J111" s="2018"/>
      <c r="K111" s="2018"/>
      <c r="L111" s="2018"/>
      <c r="M111" s="2018"/>
      <c r="N111" s="2018"/>
      <c r="O111" s="2018"/>
      <c r="P111" s="2018"/>
      <c r="Q111" s="2018"/>
      <c r="R111" s="2018"/>
      <c r="S111" s="2018"/>
      <c r="T111" s="2018"/>
      <c r="U111" s="2018"/>
      <c r="V111" s="2018"/>
      <c r="W111" s="2022"/>
      <c r="X111" s="2022"/>
      <c r="Y111" s="2022"/>
      <c r="Z111" s="2022"/>
    </row>
    <row r="112" spans="1:26" s="1309" customFormat="1" ht="25.5" customHeight="1">
      <c r="A112" s="1604" t="s">
        <v>1839</v>
      </c>
      <c r="B112" s="376" t="s">
        <v>465</v>
      </c>
      <c r="C112" s="405">
        <f>ROUND(C108*D112,0)</f>
        <v>0</v>
      </c>
      <c r="D112" s="406">
        <v>0.2</v>
      </c>
      <c r="E112" s="3332" t="s">
        <v>2448</v>
      </c>
      <c r="F112" s="3330"/>
      <c r="G112" s="3330"/>
      <c r="H112" s="3331"/>
      <c r="I112" s="11"/>
      <c r="J112" s="2018"/>
      <c r="K112" s="2018"/>
      <c r="L112" s="2018"/>
      <c r="M112" s="2018"/>
      <c r="N112" s="2018"/>
      <c r="O112" s="2018"/>
      <c r="P112" s="2018"/>
      <c r="Q112" s="2018"/>
      <c r="R112" s="2018"/>
      <c r="S112" s="2018"/>
      <c r="T112" s="2018"/>
      <c r="U112" s="2018"/>
      <c r="V112" s="2018"/>
      <c r="W112" s="2022"/>
      <c r="X112" s="2022"/>
      <c r="Y112" s="2022"/>
      <c r="Z112" s="2022"/>
    </row>
    <row r="113" spans="1:26" s="1309" customFormat="1" ht="13.8">
      <c r="A113" s="1602" t="s">
        <v>1833</v>
      </c>
      <c r="B113" s="382" t="s">
        <v>451</v>
      </c>
      <c r="C113" s="385">
        <f ca="1">ROUND(C103-C104,0)</f>
        <v>13784</v>
      </c>
      <c r="D113" s="378" t="s">
        <v>19</v>
      </c>
      <c r="E113" s="990"/>
      <c r="F113" s="989"/>
      <c r="G113" s="989"/>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09" customFormat="1" ht="24">
      <c r="A114" s="1602" t="s">
        <v>1834</v>
      </c>
      <c r="B114" s="382" t="s">
        <v>452</v>
      </c>
      <c r="C114" s="407">
        <f ca="1">IF(C113&lt;=0,0,C113/C104)</f>
        <v>19.251396648044693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09" customFormat="1" ht="24.6" thickBot="1">
      <c r="A115" s="1603" t="s">
        <v>1835</v>
      </c>
      <c r="B115" s="387" t="s">
        <v>453</v>
      </c>
      <c r="C115" s="408">
        <f ca="1">ROUND(IF(C113&lt;=0,0,IF(C114&gt;=200%,C113*60%-C104*35%,IF(C114&gt;=100%,C113*50%-C104*15%,IF(C114&gt;=50%,C113*40%-C104*5%,IF(C114&lt;50%,C113*30%,0))))),0)</f>
        <v>8020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K14" sqref="K14"/>
    </sheetView>
  </sheetViews>
  <sheetFormatPr defaultColWidth="9" defaultRowHeight="13.8"/>
  <cols>
    <col min="1" max="1" width="15.6640625" style="1332" customWidth="1"/>
    <col min="2" max="2" width="15.77734375" style="1332" customWidth="1"/>
    <col min="3" max="3" width="15.21875" style="1332" customWidth="1"/>
    <col min="4" max="4" width="12.21875" style="1332" customWidth="1"/>
    <col min="5" max="5" width="16.109375" style="1332" customWidth="1"/>
    <col min="6" max="6" width="12.21875" style="1332" customWidth="1"/>
    <col min="7" max="7" width="15.6640625" style="1332" customWidth="1"/>
    <col min="8" max="8" width="12.21875" style="1332" customWidth="1"/>
    <col min="9" max="9" width="15.66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30" s="1331" customFormat="1" ht="28.5" customHeight="1">
      <c r="A1" s="502" t="s">
        <v>516</v>
      </c>
      <c r="B1" s="503"/>
      <c r="C1" s="504" t="s">
        <v>517</v>
      </c>
      <c r="D1" s="505" t="s">
        <v>518</v>
      </c>
      <c r="E1" s="506"/>
      <c r="F1" s="428"/>
      <c r="G1" s="506"/>
      <c r="H1" s="506"/>
      <c r="I1" s="506"/>
      <c r="J1" s="506"/>
      <c r="K1" s="507"/>
      <c r="L1" s="1548"/>
      <c r="M1" s="1549"/>
      <c r="N1" s="1549"/>
      <c r="O1" s="1549"/>
      <c r="P1" s="1550"/>
      <c r="Q1" s="1550"/>
      <c r="R1" s="1550"/>
      <c r="S1" s="1550"/>
      <c r="T1" s="1550"/>
      <c r="U1" s="1550"/>
      <c r="V1" s="1550"/>
      <c r="W1" s="1550"/>
      <c r="X1" s="1550"/>
      <c r="Y1" s="1550"/>
      <c r="Z1" s="1550"/>
      <c r="AA1" s="1550"/>
      <c r="AB1" s="1550"/>
      <c r="AC1" s="1551"/>
      <c r="AD1" s="1330"/>
    </row>
    <row r="2" spans="1:30" s="1331" customFormat="1" ht="28.5" customHeight="1">
      <c r="A2" s="423" t="s">
        <v>467</v>
      </c>
      <c r="B2" s="508">
        <f>F68</f>
        <v>32501</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c r="AD2" s="1330"/>
    </row>
    <row r="3" spans="1:30" s="1331" customFormat="1" ht="28.5" customHeight="1">
      <c r="A3" s="1375" t="s">
        <v>1682</v>
      </c>
      <c r="B3" s="510">
        <f>ROUND(B2*10000/'数据-汇总表'!E3,0)</f>
        <v>2951</v>
      </c>
      <c r="C3" s="2046"/>
      <c r="D3" s="2534"/>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30" s="1331" customFormat="1" ht="28.5" customHeight="1">
      <c r="A4" s="511" t="s">
        <v>520</v>
      </c>
      <c r="B4" s="427">
        <f>IF(B48="单位面积地价",C50,ROUND(B2*10000/'数据-汇总表'!D3,0))</f>
        <v>23699</v>
      </c>
      <c r="C4" s="2046"/>
      <c r="D4" s="2534"/>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30" s="1331" customFormat="1" ht="28.5" customHeight="1" thickBot="1">
      <c r="A5" s="429"/>
      <c r="B5" s="430">
        <f>ROUND(B2/('数据-汇总表'!D3/666.67),0)</f>
        <v>1580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0"/>
      <c r="AC5" s="428"/>
    </row>
    <row r="6" spans="1:30" ht="21">
      <c r="A6" s="512" t="s">
        <v>521</v>
      </c>
      <c r="B6" s="513"/>
      <c r="C6" s="3380" t="s">
        <v>522</v>
      </c>
      <c r="D6" s="3381"/>
      <c r="E6" s="3380" t="s">
        <v>523</v>
      </c>
      <c r="F6" s="3381"/>
      <c r="G6" s="3380" t="s">
        <v>524</v>
      </c>
      <c r="H6" s="3381"/>
      <c r="I6" s="3380" t="s">
        <v>525</v>
      </c>
      <c r="J6" s="3381"/>
      <c r="K6" s="514" t="s">
        <v>526</v>
      </c>
      <c r="L6" s="2118"/>
      <c r="M6" s="2117"/>
      <c r="N6" s="2117"/>
      <c r="O6" s="2119"/>
      <c r="P6" s="3382" t="s">
        <v>527</v>
      </c>
      <c r="Q6" s="3383"/>
      <c r="R6" s="3388" t="s">
        <v>523</v>
      </c>
      <c r="S6" s="3389"/>
      <c r="T6" s="3388" t="s">
        <v>524</v>
      </c>
      <c r="U6" s="3389"/>
      <c r="V6" s="3375" t="s">
        <v>525</v>
      </c>
      <c r="W6" s="3375"/>
      <c r="X6" s="1553"/>
      <c r="Y6" s="3388" t="s">
        <v>527</v>
      </c>
      <c r="Z6" s="3389"/>
      <c r="AA6" s="3377" t="s">
        <v>523</v>
      </c>
      <c r="AB6" s="3378" t="s">
        <v>524</v>
      </c>
      <c r="AC6" s="3377" t="s">
        <v>525</v>
      </c>
    </row>
    <row r="7" spans="1:30" ht="21">
      <c r="A7" s="515"/>
      <c r="B7" s="516"/>
      <c r="C7" s="3396" t="s">
        <v>2925</v>
      </c>
      <c r="D7" s="3397"/>
      <c r="E7" s="3396" t="str">
        <f>Sheet2!A2</f>
        <v>尖草坪区新村,东至、西至、北至山西新村滨河工贸有限公司用地,南至龙康街</v>
      </c>
      <c r="F7" s="3397"/>
      <c r="G7" s="3396" t="str">
        <f>Sheet2!A4</f>
        <v>尖草坪区西流村,东至西流路、南至兴华街、西至太原市龙泽欣工贸股份有限公司、北至太原市幼儿师范学校</v>
      </c>
      <c r="H7" s="3397"/>
      <c r="I7" s="3396" t="str">
        <f>Sheet2!A6</f>
        <v>太原市解放北路85号,东至解放北路,西至、南至太原钢铁(集团)有限公司,北至晋商银行股份有限公司</v>
      </c>
      <c r="J7" s="3397"/>
      <c r="K7" s="514"/>
      <c r="L7" s="2118"/>
      <c r="M7" s="2117"/>
      <c r="N7" s="2117"/>
      <c r="O7" s="2119"/>
      <c r="P7" s="3384"/>
      <c r="Q7" s="3385"/>
      <c r="R7" s="3390"/>
      <c r="S7" s="3391"/>
      <c r="T7" s="3390"/>
      <c r="U7" s="3391"/>
      <c r="V7" s="3375"/>
      <c r="W7" s="3375"/>
      <c r="X7" s="1553"/>
      <c r="Y7" s="3390"/>
      <c r="Z7" s="3391"/>
      <c r="AA7" s="3378"/>
      <c r="AB7" s="3378"/>
      <c r="AC7" s="3378"/>
    </row>
    <row r="8" spans="1:30" ht="21.6" thickBot="1">
      <c r="A8" s="515"/>
      <c r="B8" s="516"/>
      <c r="C8" s="3398" t="s">
        <v>2929</v>
      </c>
      <c r="D8" s="3399"/>
      <c r="E8" s="3398" t="s">
        <v>2929</v>
      </c>
      <c r="F8" s="3399"/>
      <c r="G8" s="3394" t="s">
        <v>2929</v>
      </c>
      <c r="H8" s="3395"/>
      <c r="I8" s="3394" t="s">
        <v>2929</v>
      </c>
      <c r="J8" s="3395"/>
      <c r="K8" s="514" t="s">
        <v>528</v>
      </c>
      <c r="L8" s="2118"/>
      <c r="M8" s="2117"/>
      <c r="N8" s="2117"/>
      <c r="O8" s="2119"/>
      <c r="P8" s="3386"/>
      <c r="Q8" s="3387"/>
      <c r="R8" s="3390"/>
      <c r="S8" s="3391"/>
      <c r="T8" s="3392"/>
      <c r="U8" s="3393"/>
      <c r="V8" s="3375"/>
      <c r="W8" s="3375"/>
      <c r="X8" s="1553"/>
      <c r="Y8" s="3392"/>
      <c r="Z8" s="3393"/>
      <c r="AA8" s="3379"/>
      <c r="AB8" s="3379"/>
      <c r="AC8" s="3379"/>
    </row>
    <row r="9" spans="1:30" s="1215" customFormat="1" ht="21.6" thickBot="1">
      <c r="A9" s="2867"/>
      <c r="B9" s="2874" t="s">
        <v>529</v>
      </c>
      <c r="C9" s="2866">
        <f>'数据-取费表'!B2</f>
        <v>44006</v>
      </c>
      <c r="D9" s="520">
        <v>100</v>
      </c>
      <c r="E9" s="521" t="str">
        <f>Sheet2!J2</f>
        <v>2019-04-30</v>
      </c>
      <c r="F9" s="522">
        <f>SUMIF(72:72,YEAR(E9)&amp;"-"&amp;INT((MONTH(E9)+2)/3),73:73)</f>
        <v>99.8</v>
      </c>
      <c r="G9" s="523" t="str">
        <f>Sheet2!J4</f>
        <v>2018-09-28</v>
      </c>
      <c r="H9" s="520">
        <f>SUMIF(72:72,YEAR(G9)&amp;"-"&amp;INT((MONTH(G9)+2)/3),73:73)</f>
        <v>99.6</v>
      </c>
      <c r="I9" s="523" t="str">
        <f>Sheet2!J6</f>
        <v>2018-05-02</v>
      </c>
      <c r="J9" s="520">
        <f>SUMIF(72:72,YEAR(I9)&amp;"-"&amp;INT((MONTH(I9)+2)/3),73:73)</f>
        <v>99.6</v>
      </c>
      <c r="K9" s="524"/>
      <c r="L9" s="2120"/>
      <c r="M9" s="2117"/>
      <c r="N9" s="2117"/>
      <c r="O9" s="2121"/>
      <c r="P9" s="3405" t="s">
        <v>530</v>
      </c>
      <c r="Q9" s="3407"/>
      <c r="R9" s="1554" t="s">
        <v>8</v>
      </c>
      <c r="S9" s="1555">
        <f t="shared" ref="S9:S17" si="0">F9</f>
        <v>99.8</v>
      </c>
      <c r="T9" s="1554" t="s">
        <v>8</v>
      </c>
      <c r="U9" s="1555">
        <f t="shared" ref="U9:U17" si="1">H9</f>
        <v>99.6</v>
      </c>
      <c r="V9" s="1554" t="s">
        <v>8</v>
      </c>
      <c r="W9" s="1555">
        <f t="shared" ref="W9:W17" si="2">J9</f>
        <v>99.6</v>
      </c>
      <c r="X9" s="1556"/>
      <c r="Y9" s="3405" t="s">
        <v>530</v>
      </c>
      <c r="Z9" s="3406"/>
      <c r="AA9" s="1557">
        <f>D9/F9</f>
        <v>1.0020040080160322</v>
      </c>
      <c r="AB9" s="1557">
        <f>D9/H9</f>
        <v>1.0040160642570282</v>
      </c>
      <c r="AC9" s="1557">
        <f>D9/J9</f>
        <v>1.0040160642570282</v>
      </c>
    </row>
    <row r="10" spans="1:30" s="1215" customFormat="1" ht="21.6" thickBot="1">
      <c r="A10" s="2868"/>
      <c r="B10" s="2875"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20"/>
      <c r="M10" s="2117"/>
      <c r="N10" s="2117"/>
      <c r="O10" s="2121"/>
      <c r="P10" s="3405" t="s">
        <v>533</v>
      </c>
      <c r="Q10" s="3406"/>
      <c r="R10" s="1554" t="s">
        <v>8</v>
      </c>
      <c r="S10" s="1555">
        <f t="shared" si="0"/>
        <v>100</v>
      </c>
      <c r="T10" s="1554" t="s">
        <v>8</v>
      </c>
      <c r="U10" s="1555">
        <f t="shared" si="1"/>
        <v>100</v>
      </c>
      <c r="V10" s="1554" t="s">
        <v>8</v>
      </c>
      <c r="W10" s="1555">
        <f t="shared" si="2"/>
        <v>100</v>
      </c>
      <c r="X10" s="1556"/>
      <c r="Y10" s="3405" t="s">
        <v>533</v>
      </c>
      <c r="Z10" s="3406"/>
      <c r="AA10" s="1557">
        <f t="shared" ref="AA10:AA47" si="3">D10/F10</f>
        <v>1</v>
      </c>
      <c r="AB10" s="1557">
        <f t="shared" ref="AB10:AB47" si="4">D10/H10</f>
        <v>1</v>
      </c>
      <c r="AC10" s="1557">
        <f t="shared" ref="AC10:AC47" si="5">D10/J10</f>
        <v>1</v>
      </c>
    </row>
    <row r="11" spans="1:30" s="1215" customFormat="1" ht="21">
      <c r="A11" s="2869"/>
      <c r="B11" s="2876" t="s">
        <v>2750</v>
      </c>
      <c r="C11" s="2863"/>
      <c r="D11" s="254">
        <v>100</v>
      </c>
      <c r="E11" s="526"/>
      <c r="F11" s="254">
        <f>SUMIF(77:77,E11,78:78)-SUMIF(77:77,C11,78:78)+100</f>
        <v>100</v>
      </c>
      <c r="G11" s="526"/>
      <c r="H11" s="254">
        <f>SUMIF(77:77,G11,78:78)-SUMIF(77:77,C11,78:78)+100</f>
        <v>100</v>
      </c>
      <c r="I11" s="526"/>
      <c r="J11" s="254">
        <f>SUMIF(77:77,I11,78:78)-SUMIF(77:77,C11,78:78)+100</f>
        <v>100</v>
      </c>
      <c r="K11" s="524"/>
      <c r="L11" s="2120"/>
      <c r="M11" s="2117"/>
      <c r="N11" s="2117"/>
      <c r="O11" s="2122"/>
      <c r="P11" s="3374" t="s">
        <v>535</v>
      </c>
      <c r="Q11" s="1146" t="str">
        <f t="shared" ref="Q11:Q17" si="6">B11</f>
        <v>用途</v>
      </c>
      <c r="R11" s="1554" t="s">
        <v>8</v>
      </c>
      <c r="S11" s="1555">
        <f t="shared" si="0"/>
        <v>100</v>
      </c>
      <c r="T11" s="1554" t="s">
        <v>8</v>
      </c>
      <c r="U11" s="1555">
        <f t="shared" si="1"/>
        <v>100</v>
      </c>
      <c r="V11" s="1554" t="s">
        <v>8</v>
      </c>
      <c r="W11" s="1555">
        <f t="shared" si="2"/>
        <v>100</v>
      </c>
      <c r="X11" s="1556"/>
      <c r="Y11" s="3319" t="s">
        <v>536</v>
      </c>
      <c r="Z11" s="1145" t="str">
        <f t="shared" ref="Z11:Z17" si="7">Q11</f>
        <v>用途</v>
      </c>
      <c r="AA11" s="1557">
        <f t="shared" si="3"/>
        <v>1</v>
      </c>
      <c r="AB11" s="1557">
        <f t="shared" si="4"/>
        <v>1</v>
      </c>
      <c r="AC11" s="1557">
        <f t="shared" si="5"/>
        <v>1</v>
      </c>
    </row>
    <row r="12" spans="1:30" s="1333" customFormat="1" ht="28.8">
      <c r="A12" s="2870"/>
      <c r="B12" s="2875" t="s">
        <v>2751</v>
      </c>
      <c r="C12" s="910"/>
      <c r="D12" s="255">
        <v>100</v>
      </c>
      <c r="E12" s="529"/>
      <c r="F12" s="255">
        <f>ROUND(100/'数据-取费表'!G16,0)</f>
        <v>101</v>
      </c>
      <c r="G12" s="530"/>
      <c r="H12" s="255">
        <f>ROUND(100/'数据-取费表'!G16,0)</f>
        <v>101</v>
      </c>
      <c r="I12" s="530"/>
      <c r="J12" s="255">
        <f>ROUND(100/'数据-取费表'!G16,0)</f>
        <v>101</v>
      </c>
      <c r="K12" s="531"/>
      <c r="L12" s="2123"/>
      <c r="M12" s="2117"/>
      <c r="N12" s="2117"/>
      <c r="O12" s="2124"/>
      <c r="P12" s="3374"/>
      <c r="Q12" s="1146" t="str">
        <f t="shared" si="6"/>
        <v>土地使用年限（年）</v>
      </c>
      <c r="R12" s="1554" t="s">
        <v>8</v>
      </c>
      <c r="S12" s="1555">
        <f t="shared" si="0"/>
        <v>101</v>
      </c>
      <c r="T12" s="1554" t="s">
        <v>8</v>
      </c>
      <c r="U12" s="1555">
        <f t="shared" si="1"/>
        <v>101</v>
      </c>
      <c r="V12" s="1554" t="s">
        <v>8</v>
      </c>
      <c r="W12" s="1555">
        <f t="shared" si="2"/>
        <v>101</v>
      </c>
      <c r="X12" s="1556"/>
      <c r="Y12" s="3319"/>
      <c r="Z12" s="1145" t="str">
        <f t="shared" si="7"/>
        <v>土地使用年限（年）</v>
      </c>
      <c r="AA12" s="1557">
        <f t="shared" si="3"/>
        <v>0.99009900990099009</v>
      </c>
      <c r="AB12" s="1557">
        <f t="shared" si="4"/>
        <v>0.99009900990099009</v>
      </c>
      <c r="AC12" s="1557">
        <f t="shared" si="5"/>
        <v>0.99009900990099009</v>
      </c>
    </row>
    <row r="13" spans="1:30" ht="21">
      <c r="A13" s="2871"/>
      <c r="B13" s="2875" t="s">
        <v>2752</v>
      </c>
      <c r="C13" s="534">
        <f>'数据-汇总表'!I4</f>
        <v>5.54</v>
      </c>
      <c r="D13" s="255">
        <v>100</v>
      </c>
      <c r="E13" s="533">
        <v>1.6</v>
      </c>
      <c r="F13" s="255">
        <f>LOOKUP(E13,82:82,83:83)-LOOKUP(C13,82:82,83:83)+100</f>
        <v>132</v>
      </c>
      <c r="G13" s="534">
        <v>1.1000000000000001</v>
      </c>
      <c r="H13" s="255">
        <f>LOOKUP(G13,82:82,83:83)-LOOKUP(C13,82:82,83:83)+100</f>
        <v>132</v>
      </c>
      <c r="I13" s="533">
        <v>2</v>
      </c>
      <c r="J13" s="255">
        <f>LOOKUP(I13,82:82,83:83)-LOOKUP(C13,82:82,83:83)+100</f>
        <v>124</v>
      </c>
      <c r="K13" s="3199">
        <v>8</v>
      </c>
      <c r="L13" s="2125"/>
      <c r="M13" s="2117"/>
      <c r="N13" s="2117"/>
      <c r="O13" s="2126"/>
      <c r="P13" s="3374"/>
      <c r="Q13" s="1146" t="str">
        <f t="shared" si="6"/>
        <v>容积率</v>
      </c>
      <c r="R13" s="1554" t="s">
        <v>8</v>
      </c>
      <c r="S13" s="1555">
        <f t="shared" si="0"/>
        <v>132</v>
      </c>
      <c r="T13" s="1554" t="s">
        <v>8</v>
      </c>
      <c r="U13" s="1555">
        <f t="shared" si="1"/>
        <v>132</v>
      </c>
      <c r="V13" s="1554" t="s">
        <v>8</v>
      </c>
      <c r="W13" s="1555">
        <f t="shared" si="2"/>
        <v>124</v>
      </c>
      <c r="X13" s="1556"/>
      <c r="Y13" s="3319"/>
      <c r="Z13" s="1145" t="str">
        <f t="shared" si="7"/>
        <v>容积率</v>
      </c>
      <c r="AA13" s="1557">
        <f t="shared" si="3"/>
        <v>0.75757575757575757</v>
      </c>
      <c r="AB13" s="1557">
        <f t="shared" si="4"/>
        <v>0.75757575757575757</v>
      </c>
      <c r="AC13" s="1557">
        <f t="shared" si="5"/>
        <v>0.80645161290322576</v>
      </c>
    </row>
    <row r="14" spans="1:30" s="1215" customFormat="1" ht="21">
      <c r="A14" s="2868"/>
      <c r="B14" s="2877" t="s">
        <v>2753</v>
      </c>
      <c r="C14" s="2864"/>
      <c r="D14" s="538">
        <v>100</v>
      </c>
      <c r="E14" s="1370"/>
      <c r="F14" s="255">
        <f>SUMIF(84:84,E14,85:85)-SUMIF(84:84,C14,85:85)+100</f>
        <v>100</v>
      </c>
      <c r="G14" s="530"/>
      <c r="H14" s="255">
        <f>SUMIF(84:84,G14,85:85)-SUMIF(84:84,C14,85:85)+100</f>
        <v>100</v>
      </c>
      <c r="I14" s="529"/>
      <c r="J14" s="255">
        <f>SUMIF(84:84,I14,85:85)-SUMIF(84:84,C14,85:85)+100</f>
        <v>100</v>
      </c>
      <c r="K14" s="531"/>
      <c r="L14" s="2120"/>
      <c r="M14" s="2117"/>
      <c r="N14" s="2117"/>
      <c r="O14" s="2122"/>
      <c r="P14" s="3374"/>
      <c r="Q14" s="1146" t="str">
        <f t="shared" si="6"/>
        <v>配建</v>
      </c>
      <c r="R14" s="1554" t="s">
        <v>8</v>
      </c>
      <c r="S14" s="1555">
        <f t="shared" si="0"/>
        <v>100</v>
      </c>
      <c r="T14" s="1554" t="s">
        <v>8</v>
      </c>
      <c r="U14" s="1555">
        <f t="shared" si="1"/>
        <v>100</v>
      </c>
      <c r="V14" s="1554" t="s">
        <v>8</v>
      </c>
      <c r="W14" s="1555">
        <f t="shared" si="2"/>
        <v>100</v>
      </c>
      <c r="X14" s="1556"/>
      <c r="Y14" s="3319"/>
      <c r="Z14" s="1145" t="str">
        <f t="shared" si="7"/>
        <v>配建</v>
      </c>
      <c r="AA14" s="1557">
        <f>D14/F14</f>
        <v>1</v>
      </c>
      <c r="AB14" s="1557">
        <f>D14/H14</f>
        <v>1</v>
      </c>
      <c r="AC14" s="1557">
        <f>D14/J14</f>
        <v>1</v>
      </c>
    </row>
    <row r="15" spans="1:30" ht="21">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4"/>
      <c r="Q15" s="1146">
        <f t="shared" si="6"/>
        <v>111</v>
      </c>
      <c r="R15" s="1554" t="s">
        <v>8</v>
      </c>
      <c r="S15" s="1555">
        <f t="shared" si="0"/>
        <v>100</v>
      </c>
      <c r="T15" s="1554" t="s">
        <v>8</v>
      </c>
      <c r="U15" s="1555">
        <f t="shared" si="1"/>
        <v>100</v>
      </c>
      <c r="V15" s="1554" t="s">
        <v>8</v>
      </c>
      <c r="W15" s="1555">
        <f t="shared" si="2"/>
        <v>100</v>
      </c>
      <c r="X15" s="1556"/>
      <c r="Y15" s="3319"/>
      <c r="Z15" s="1145">
        <f t="shared" si="7"/>
        <v>111</v>
      </c>
      <c r="AA15" s="1557">
        <f>D15/F15</f>
        <v>1</v>
      </c>
      <c r="AB15" s="1557">
        <f>D15/H15</f>
        <v>1</v>
      </c>
      <c r="AC15" s="1557">
        <f>D15/J15</f>
        <v>1</v>
      </c>
    </row>
    <row r="16" spans="1:30" ht="21.6"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4"/>
      <c r="Q16" s="1146">
        <f t="shared" si="6"/>
        <v>111</v>
      </c>
      <c r="R16" s="1554" t="s">
        <v>8</v>
      </c>
      <c r="S16" s="1555">
        <f t="shared" si="0"/>
        <v>100</v>
      </c>
      <c r="T16" s="1554" t="s">
        <v>8</v>
      </c>
      <c r="U16" s="1555">
        <f t="shared" si="1"/>
        <v>100</v>
      </c>
      <c r="V16" s="1554" t="s">
        <v>8</v>
      </c>
      <c r="W16" s="1555">
        <f t="shared" si="2"/>
        <v>100</v>
      </c>
      <c r="X16" s="1556"/>
      <c r="Y16" s="3319"/>
      <c r="Z16" s="1145">
        <f t="shared" si="7"/>
        <v>111</v>
      </c>
      <c r="AA16" s="1557">
        <f>D16/F16</f>
        <v>1</v>
      </c>
      <c r="AB16" s="1557">
        <f>D16/H16</f>
        <v>1</v>
      </c>
      <c r="AC16" s="1557">
        <f>D16/J16</f>
        <v>1</v>
      </c>
    </row>
    <row r="17" spans="1:29" ht="96.6">
      <c r="A17" s="2865" t="s">
        <v>2748</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27"/>
      <c r="M17" s="2117"/>
      <c r="N17" s="2117"/>
      <c r="O17" s="2126"/>
      <c r="P17" s="3408" t="s">
        <v>540</v>
      </c>
      <c r="Q17" s="1558" t="str">
        <f t="shared" si="6"/>
        <v>居住社区成熟度</v>
      </c>
      <c r="R17" s="1559" t="s">
        <v>8</v>
      </c>
      <c r="S17" s="1560">
        <f t="shared" si="0"/>
        <v>100</v>
      </c>
      <c r="T17" s="1559" t="s">
        <v>8</v>
      </c>
      <c r="U17" s="1560">
        <f t="shared" si="1"/>
        <v>100</v>
      </c>
      <c r="V17" s="1559" t="s">
        <v>8</v>
      </c>
      <c r="W17" s="1560">
        <f t="shared" si="2"/>
        <v>100</v>
      </c>
      <c r="X17" s="1553"/>
      <c r="Y17" s="3408" t="s">
        <v>540</v>
      </c>
      <c r="Z17" s="1561" t="str">
        <f t="shared" si="7"/>
        <v>居住社区成熟度</v>
      </c>
      <c r="AA17" s="1562">
        <f t="shared" si="3"/>
        <v>1</v>
      </c>
      <c r="AB17" s="1562">
        <f t="shared" si="4"/>
        <v>1</v>
      </c>
      <c r="AC17" s="1562">
        <f t="shared" si="5"/>
        <v>1</v>
      </c>
    </row>
    <row r="18" spans="1:29" ht="21">
      <c r="A18" s="532"/>
      <c r="B18" s="553"/>
      <c r="C18" s="554"/>
      <c r="D18" s="557"/>
      <c r="E18" s="558"/>
      <c r="F18" s="555"/>
      <c r="G18" s="556"/>
      <c r="H18" s="559"/>
      <c r="I18" s="558"/>
      <c r="J18" s="555"/>
      <c r="K18" s="531"/>
      <c r="L18" s="2127"/>
      <c r="M18" s="2117"/>
      <c r="N18" s="2117"/>
      <c r="O18" s="2126"/>
      <c r="P18" s="3409"/>
      <c r="Q18" s="1558"/>
      <c r="R18" s="1559"/>
      <c r="S18" s="1560"/>
      <c r="T18" s="1559"/>
      <c r="U18" s="1560"/>
      <c r="V18" s="1559"/>
      <c r="W18" s="1560"/>
      <c r="X18" s="1553"/>
      <c r="Y18" s="3409"/>
      <c r="Z18" s="1561"/>
      <c r="AA18" s="1562">
        <v>1</v>
      </c>
      <c r="AB18" s="1562">
        <v>1</v>
      </c>
      <c r="AC18" s="1562">
        <v>1</v>
      </c>
    </row>
    <row r="19" spans="1:29" ht="69">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27"/>
      <c r="M19" s="2117"/>
      <c r="N19" s="2117"/>
      <c r="O19" s="2126"/>
      <c r="P19" s="3409"/>
      <c r="Q19" s="1558" t="str">
        <f>B19</f>
        <v>商业繁华度</v>
      </c>
      <c r="R19" s="1559" t="s">
        <v>8</v>
      </c>
      <c r="S19" s="1560">
        <f>F19</f>
        <v>100</v>
      </c>
      <c r="T19" s="1559" t="s">
        <v>8</v>
      </c>
      <c r="U19" s="1560">
        <f>H19</f>
        <v>100</v>
      </c>
      <c r="V19" s="1559" t="s">
        <v>8</v>
      </c>
      <c r="W19" s="1560">
        <f>J19</f>
        <v>100</v>
      </c>
      <c r="X19" s="1553"/>
      <c r="Y19" s="3409"/>
      <c r="Z19" s="1561" t="str">
        <f>Q19</f>
        <v>商业繁华度</v>
      </c>
      <c r="AA19" s="1562">
        <f t="shared" si="3"/>
        <v>1</v>
      </c>
      <c r="AB19" s="1562">
        <f t="shared" si="4"/>
        <v>1</v>
      </c>
      <c r="AC19" s="1562">
        <f t="shared" si="5"/>
        <v>1</v>
      </c>
    </row>
    <row r="20" spans="1:29" ht="21">
      <c r="A20" s="532"/>
      <c r="B20" s="566"/>
      <c r="C20" s="567"/>
      <c r="D20" s="563"/>
      <c r="E20" s="569"/>
      <c r="F20" s="559"/>
      <c r="G20" s="568"/>
      <c r="H20" s="555"/>
      <c r="I20" s="569"/>
      <c r="J20" s="555"/>
      <c r="K20" s="531"/>
      <c r="L20" s="2127"/>
      <c r="M20" s="2117"/>
      <c r="N20" s="2117"/>
      <c r="O20" s="2126"/>
      <c r="P20" s="3409"/>
      <c r="Q20" s="1558"/>
      <c r="R20" s="1559"/>
      <c r="S20" s="1560"/>
      <c r="T20" s="1559"/>
      <c r="U20" s="1560"/>
      <c r="V20" s="1559"/>
      <c r="W20" s="1560"/>
      <c r="X20" s="1553"/>
      <c r="Y20" s="3409"/>
      <c r="Z20" s="1561"/>
      <c r="AA20" s="1562">
        <v>1</v>
      </c>
      <c r="AB20" s="1562">
        <v>1</v>
      </c>
      <c r="AC20" s="1562">
        <v>1</v>
      </c>
    </row>
    <row r="21" spans="1:29" ht="69">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7"/>
      <c r="M21" s="2117"/>
      <c r="N21" s="2117"/>
      <c r="O21" s="2126"/>
      <c r="P21" s="3409"/>
      <c r="Q21" s="1558" t="str">
        <f>B21</f>
        <v>办公集聚程度</v>
      </c>
      <c r="R21" s="1559" t="s">
        <v>8</v>
      </c>
      <c r="S21" s="1560">
        <f>F21</f>
        <v>100</v>
      </c>
      <c r="T21" s="1559" t="s">
        <v>8</v>
      </c>
      <c r="U21" s="1560">
        <f>H21</f>
        <v>100</v>
      </c>
      <c r="V21" s="1559" t="s">
        <v>8</v>
      </c>
      <c r="W21" s="1560">
        <f>J21</f>
        <v>100</v>
      </c>
      <c r="X21" s="1553"/>
      <c r="Y21" s="3409"/>
      <c r="Z21" s="1561" t="str">
        <f>Q21</f>
        <v>办公集聚程度</v>
      </c>
      <c r="AA21" s="1562">
        <f t="shared" si="3"/>
        <v>1</v>
      </c>
      <c r="AB21" s="1562">
        <f t="shared" si="4"/>
        <v>1</v>
      </c>
      <c r="AC21" s="1562">
        <f t="shared" si="5"/>
        <v>1</v>
      </c>
    </row>
    <row r="22" spans="1:29" ht="21">
      <c r="A22" s="532"/>
      <c r="B22" s="566"/>
      <c r="C22" s="554"/>
      <c r="D22" s="557"/>
      <c r="E22" s="558"/>
      <c r="F22" s="555"/>
      <c r="G22" s="556"/>
      <c r="H22" s="555"/>
      <c r="I22" s="558"/>
      <c r="J22" s="555"/>
      <c r="K22" s="531"/>
      <c r="L22" s="2127"/>
      <c r="M22" s="2117"/>
      <c r="N22" s="2117"/>
      <c r="O22" s="2126"/>
      <c r="P22" s="3409"/>
      <c r="Q22" s="1558"/>
      <c r="R22" s="1559"/>
      <c r="S22" s="1560"/>
      <c r="T22" s="1559"/>
      <c r="U22" s="1560"/>
      <c r="V22" s="1559"/>
      <c r="W22" s="1560"/>
      <c r="X22" s="1553"/>
      <c r="Y22" s="3409"/>
      <c r="Z22" s="1561"/>
      <c r="AA22" s="1562">
        <v>1</v>
      </c>
      <c r="AB22" s="1562">
        <v>1</v>
      </c>
      <c r="AC22" s="1562">
        <v>1</v>
      </c>
    </row>
    <row r="23" spans="1:29" ht="82.8">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27"/>
      <c r="M23" s="2117"/>
      <c r="N23" s="2117"/>
      <c r="O23" s="2126"/>
      <c r="P23" s="3409"/>
      <c r="Q23" s="1558" t="str">
        <f>B23</f>
        <v>交通便捷度</v>
      </c>
      <c r="R23" s="1559" t="s">
        <v>8</v>
      </c>
      <c r="S23" s="1560">
        <f>F23</f>
        <v>100</v>
      </c>
      <c r="T23" s="1559" t="s">
        <v>8</v>
      </c>
      <c r="U23" s="1560">
        <f>H23</f>
        <v>100</v>
      </c>
      <c r="V23" s="1559" t="s">
        <v>8</v>
      </c>
      <c r="W23" s="1560">
        <f>J23</f>
        <v>100</v>
      </c>
      <c r="X23" s="1553"/>
      <c r="Y23" s="3409"/>
      <c r="Z23" s="1561" t="str">
        <f>Q23</f>
        <v>交通便捷度</v>
      </c>
      <c r="AA23" s="1562">
        <f t="shared" si="3"/>
        <v>1</v>
      </c>
      <c r="AB23" s="1562">
        <f t="shared" si="4"/>
        <v>1</v>
      </c>
      <c r="AC23" s="1562">
        <f t="shared" si="5"/>
        <v>1</v>
      </c>
    </row>
    <row r="24" spans="1:29" ht="21">
      <c r="A24" s="532"/>
      <c r="B24" s="578"/>
      <c r="C24" s="554"/>
      <c r="D24" s="557"/>
      <c r="E24" s="558"/>
      <c r="F24" s="555"/>
      <c r="G24" s="556"/>
      <c r="H24" s="555"/>
      <c r="I24" s="558"/>
      <c r="J24" s="555"/>
      <c r="K24" s="531"/>
      <c r="L24" s="2127"/>
      <c r="M24" s="2117"/>
      <c r="N24" s="2117"/>
      <c r="O24" s="2126"/>
      <c r="P24" s="3409"/>
      <c r="Q24" s="1558"/>
      <c r="R24" s="1559"/>
      <c r="S24" s="1560"/>
      <c r="T24" s="1559"/>
      <c r="U24" s="1560"/>
      <c r="V24" s="1559"/>
      <c r="W24" s="1560"/>
      <c r="X24" s="1553"/>
      <c r="Y24" s="3409"/>
      <c r="Z24" s="1561"/>
      <c r="AA24" s="1562">
        <v>1</v>
      </c>
      <c r="AB24" s="1562">
        <v>1</v>
      </c>
      <c r="AC24" s="1562">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27"/>
      <c r="M25" s="2117"/>
      <c r="N25" s="2117"/>
      <c r="O25" s="2126"/>
      <c r="P25" s="3409"/>
      <c r="Q25" s="1558" t="str">
        <f t="shared" ref="Q25:Q39" si="8">B25</f>
        <v>区域土地利用方向</v>
      </c>
      <c r="R25" s="1559" t="s">
        <v>8</v>
      </c>
      <c r="S25" s="1560">
        <f>F25</f>
        <v>100</v>
      </c>
      <c r="T25" s="1559" t="s">
        <v>8</v>
      </c>
      <c r="U25" s="1560">
        <f>H25</f>
        <v>100</v>
      </c>
      <c r="V25" s="1559" t="s">
        <v>8</v>
      </c>
      <c r="W25" s="1560">
        <f>J25</f>
        <v>100</v>
      </c>
      <c r="X25" s="1553"/>
      <c r="Y25" s="3409"/>
      <c r="Z25" s="1561" t="str">
        <f>Q25</f>
        <v>区域土地利用方向</v>
      </c>
      <c r="AA25" s="1562">
        <f t="shared" si="3"/>
        <v>1</v>
      </c>
      <c r="AB25" s="1562">
        <f t="shared" si="4"/>
        <v>1</v>
      </c>
      <c r="AC25" s="1562">
        <f t="shared" si="5"/>
        <v>1</v>
      </c>
    </row>
    <row r="26" spans="1:29" ht="21">
      <c r="A26" s="515"/>
      <c r="B26" s="1006"/>
      <c r="C26" s="554"/>
      <c r="D26" s="557"/>
      <c r="E26" s="558"/>
      <c r="F26" s="555"/>
      <c r="G26" s="556"/>
      <c r="H26" s="555"/>
      <c r="I26" s="558"/>
      <c r="J26" s="555"/>
      <c r="K26" s="531"/>
      <c r="L26" s="2127"/>
      <c r="M26" s="2117"/>
      <c r="N26" s="2117"/>
      <c r="O26" s="2126"/>
      <c r="P26" s="3409"/>
      <c r="Q26" s="1558"/>
      <c r="R26" s="1559"/>
      <c r="S26" s="1560"/>
      <c r="T26" s="1559"/>
      <c r="U26" s="1560"/>
      <c r="V26" s="1559"/>
      <c r="W26" s="1560"/>
      <c r="X26" s="1553"/>
      <c r="Y26" s="3409"/>
      <c r="Z26" s="1561"/>
      <c r="AA26" s="1562"/>
      <c r="AB26" s="1562"/>
      <c r="AC26" s="1562"/>
    </row>
    <row r="27" spans="1:29" ht="55.2">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27"/>
      <c r="M27" s="2117"/>
      <c r="N27" s="2117"/>
      <c r="O27" s="2126"/>
      <c r="P27" s="3409"/>
      <c r="Q27" s="1558" t="str">
        <f t="shared" si="8"/>
        <v>自然及人文环境状况</v>
      </c>
      <c r="R27" s="1559" t="s">
        <v>8</v>
      </c>
      <c r="S27" s="1560">
        <f>F27</f>
        <v>100</v>
      </c>
      <c r="T27" s="1559" t="s">
        <v>8</v>
      </c>
      <c r="U27" s="1560">
        <f>H27</f>
        <v>100</v>
      </c>
      <c r="V27" s="1559" t="s">
        <v>8</v>
      </c>
      <c r="W27" s="1560">
        <f>J27</f>
        <v>100</v>
      </c>
      <c r="X27" s="1553"/>
      <c r="Y27" s="3409"/>
      <c r="Z27" s="1561" t="str">
        <f>Q27</f>
        <v>自然及人文环境状况</v>
      </c>
      <c r="AA27" s="1562">
        <f t="shared" si="3"/>
        <v>1</v>
      </c>
      <c r="AB27" s="1562">
        <f t="shared" si="4"/>
        <v>1</v>
      </c>
      <c r="AC27" s="1562">
        <f t="shared" si="5"/>
        <v>1</v>
      </c>
    </row>
    <row r="28" spans="1:29" ht="21">
      <c r="A28" s="515"/>
      <c r="B28" s="566"/>
      <c r="C28" s="554"/>
      <c r="D28" s="557"/>
      <c r="E28" s="576"/>
      <c r="F28" s="555"/>
      <c r="G28" s="554"/>
      <c r="H28" s="555"/>
      <c r="I28" s="576"/>
      <c r="J28" s="555"/>
      <c r="K28" s="531"/>
      <c r="L28" s="2127"/>
      <c r="M28" s="2117"/>
      <c r="N28" s="2117"/>
      <c r="O28" s="2126"/>
      <c r="P28" s="3409"/>
      <c r="Q28" s="1558"/>
      <c r="R28" s="1559"/>
      <c r="S28" s="1560"/>
      <c r="T28" s="1559"/>
      <c r="U28" s="1560"/>
      <c r="V28" s="1559"/>
      <c r="W28" s="1560"/>
      <c r="X28" s="1553"/>
      <c r="Y28" s="3409"/>
      <c r="Z28" s="1561"/>
      <c r="AA28" s="1562">
        <v>1</v>
      </c>
      <c r="AB28" s="1562">
        <v>1</v>
      </c>
      <c r="AC28" s="1562">
        <v>1</v>
      </c>
    </row>
    <row r="29" spans="1:29" s="1215" customFormat="1" ht="41.4">
      <c r="A29" s="577"/>
      <c r="B29" s="2555" t="s">
        <v>2543</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20"/>
      <c r="M29" s="2117"/>
      <c r="N29" s="2117"/>
      <c r="O29" s="2122"/>
      <c r="P29" s="3409"/>
      <c r="Q29" s="1146" t="str">
        <f t="shared" si="8"/>
        <v>公共配套设施</v>
      </c>
      <c r="R29" s="1554" t="s">
        <v>8</v>
      </c>
      <c r="S29" s="1555">
        <f>F29</f>
        <v>100</v>
      </c>
      <c r="T29" s="1554" t="s">
        <v>8</v>
      </c>
      <c r="U29" s="1555">
        <f>H29</f>
        <v>100</v>
      </c>
      <c r="V29" s="1554" t="s">
        <v>8</v>
      </c>
      <c r="W29" s="1555">
        <f>J29</f>
        <v>100</v>
      </c>
      <c r="X29" s="1556"/>
      <c r="Y29" s="3409"/>
      <c r="Z29" s="1145" t="str">
        <f>Q29</f>
        <v>公共配套设施</v>
      </c>
      <c r="AA29" s="1562">
        <f>D29/F29</f>
        <v>1</v>
      </c>
      <c r="AB29" s="1562">
        <f>D29/H29</f>
        <v>1</v>
      </c>
      <c r="AC29" s="1562">
        <f>D29/J29</f>
        <v>1</v>
      </c>
    </row>
    <row r="30" spans="1:29" s="1215" customFormat="1" ht="21">
      <c r="A30" s="577"/>
      <c r="B30" s="566"/>
      <c r="C30" s="579"/>
      <c r="D30" s="557"/>
      <c r="E30" s="576"/>
      <c r="F30" s="555"/>
      <c r="G30" s="554"/>
      <c r="H30" s="555"/>
      <c r="I30" s="576"/>
      <c r="J30" s="555"/>
      <c r="K30" s="531"/>
      <c r="L30" s="2120"/>
      <c r="M30" s="2117"/>
      <c r="N30" s="2117"/>
      <c r="O30" s="2122"/>
      <c r="P30" s="3409"/>
      <c r="Q30" s="1146"/>
      <c r="R30" s="1554"/>
      <c r="S30" s="1555"/>
      <c r="T30" s="1554"/>
      <c r="U30" s="1555"/>
      <c r="V30" s="1554"/>
      <c r="W30" s="1555"/>
      <c r="X30" s="1556"/>
      <c r="Y30" s="3409"/>
      <c r="Z30" s="1145"/>
      <c r="AA30" s="1562">
        <v>1</v>
      </c>
      <c r="AB30" s="1562">
        <v>1</v>
      </c>
      <c r="AC30" s="1562">
        <v>1</v>
      </c>
    </row>
    <row r="31" spans="1:29" s="1215" customFormat="1" ht="27.6">
      <c r="A31" s="577"/>
      <c r="B31" s="2555" t="s">
        <v>2544</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20"/>
      <c r="M31" s="2117"/>
      <c r="N31" s="2117"/>
      <c r="O31" s="2122"/>
      <c r="P31" s="3409"/>
      <c r="Q31" s="2542" t="str">
        <f t="shared" ref="Q31" si="9">B31</f>
        <v>基础设施水平</v>
      </c>
      <c r="R31" s="1554" t="s">
        <v>8</v>
      </c>
      <c r="S31" s="1555">
        <f>F31</f>
        <v>100</v>
      </c>
      <c r="T31" s="1554" t="s">
        <v>8</v>
      </c>
      <c r="U31" s="1555">
        <f>H31</f>
        <v>100</v>
      </c>
      <c r="V31" s="1554" t="s">
        <v>8</v>
      </c>
      <c r="W31" s="1555">
        <f>J31</f>
        <v>100</v>
      </c>
      <c r="X31" s="1556"/>
      <c r="Y31" s="3409"/>
      <c r="Z31" s="2539" t="str">
        <f>Q31</f>
        <v>基础设施水平</v>
      </c>
      <c r="AA31" s="1562">
        <f>D31/F31</f>
        <v>1</v>
      </c>
      <c r="AB31" s="1562">
        <f>D31/H31</f>
        <v>1</v>
      </c>
      <c r="AC31" s="1562">
        <f>D31/J31</f>
        <v>1</v>
      </c>
    </row>
    <row r="32" spans="1:29" s="1215" customFormat="1" ht="21">
      <c r="A32" s="577"/>
      <c r="B32" s="566"/>
      <c r="C32" s="579"/>
      <c r="D32" s="557"/>
      <c r="E32" s="2556"/>
      <c r="F32" s="555"/>
      <c r="G32" s="579"/>
      <c r="H32" s="555"/>
      <c r="I32" s="579"/>
      <c r="J32" s="555"/>
      <c r="K32" s="531"/>
      <c r="L32" s="2120"/>
      <c r="M32" s="2117"/>
      <c r="N32" s="2117"/>
      <c r="O32" s="2122"/>
      <c r="P32" s="3409"/>
      <c r="Q32" s="2542"/>
      <c r="R32" s="1554"/>
      <c r="S32" s="1555"/>
      <c r="T32" s="1554"/>
      <c r="U32" s="1555"/>
      <c r="V32" s="1554"/>
      <c r="W32" s="1555"/>
      <c r="X32" s="1556"/>
      <c r="Y32" s="3409"/>
      <c r="Z32" s="2539"/>
      <c r="AA32" s="1562">
        <v>1</v>
      </c>
      <c r="AB32" s="1562">
        <v>1</v>
      </c>
      <c r="AC32" s="1562">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7"/>
      <c r="M33" s="2117"/>
      <c r="N33" s="2117"/>
      <c r="O33" s="2126"/>
      <c r="P33" s="3409"/>
      <c r="Q33" s="1558" t="str">
        <f t="shared" si="8"/>
        <v>临街状况</v>
      </c>
      <c r="R33" s="1559" t="s">
        <v>8</v>
      </c>
      <c r="S33" s="1560">
        <f t="shared" ref="S33:S47" si="10">F33</f>
        <v>100</v>
      </c>
      <c r="T33" s="1559" t="s">
        <v>8</v>
      </c>
      <c r="U33" s="1560">
        <f t="shared" ref="U33:U47" si="11">H33</f>
        <v>100</v>
      </c>
      <c r="V33" s="1559" t="s">
        <v>8</v>
      </c>
      <c r="W33" s="1560">
        <f t="shared" ref="W33:W47" si="12">J33</f>
        <v>100</v>
      </c>
      <c r="X33" s="1553"/>
      <c r="Y33" s="3409"/>
      <c r="Z33" s="1561" t="str">
        <f t="shared" ref="Z33:Z47" si="13">Q33</f>
        <v>临街状况</v>
      </c>
      <c r="AA33" s="1562">
        <f t="shared" si="3"/>
        <v>1</v>
      </c>
      <c r="AB33" s="1562">
        <f t="shared" si="4"/>
        <v>1</v>
      </c>
      <c r="AC33" s="1562">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7"/>
      <c r="M34" s="2117"/>
      <c r="N34" s="2117"/>
      <c r="O34" s="2126"/>
      <c r="P34" s="3409"/>
      <c r="Q34" s="1558" t="str">
        <f t="shared" si="8"/>
        <v>毗邻道路的类型与等级</v>
      </c>
      <c r="R34" s="1559" t="s">
        <v>8</v>
      </c>
      <c r="S34" s="1560">
        <f t="shared" si="10"/>
        <v>100</v>
      </c>
      <c r="T34" s="1559" t="s">
        <v>8</v>
      </c>
      <c r="U34" s="1560">
        <f t="shared" si="11"/>
        <v>100</v>
      </c>
      <c r="V34" s="1559" t="s">
        <v>8</v>
      </c>
      <c r="W34" s="1560">
        <f t="shared" si="12"/>
        <v>100</v>
      </c>
      <c r="X34" s="1553"/>
      <c r="Y34" s="3409"/>
      <c r="Z34" s="1561" t="str">
        <f t="shared" si="13"/>
        <v>毗邻道路的类型与等级</v>
      </c>
      <c r="AA34" s="1562">
        <f t="shared" si="3"/>
        <v>1</v>
      </c>
      <c r="AB34" s="1562">
        <f t="shared" si="4"/>
        <v>1</v>
      </c>
      <c r="AC34" s="1562">
        <f t="shared" si="5"/>
        <v>1</v>
      </c>
    </row>
    <row r="35" spans="1:29" ht="21">
      <c r="A35" s="532"/>
      <c r="B35" s="566"/>
      <c r="C35" s="554"/>
      <c r="D35" s="557"/>
      <c r="E35" s="576"/>
      <c r="F35" s="555"/>
      <c r="G35" s="554"/>
      <c r="H35" s="555"/>
      <c r="I35" s="576"/>
      <c r="J35" s="555"/>
      <c r="K35" s="581"/>
      <c r="L35" s="2127"/>
      <c r="M35" s="2117"/>
      <c r="N35" s="2117"/>
      <c r="O35" s="2126"/>
      <c r="P35" s="3409"/>
      <c r="Q35" s="1558"/>
      <c r="R35" s="1559"/>
      <c r="S35" s="1560"/>
      <c r="T35" s="1559"/>
      <c r="U35" s="1560"/>
      <c r="V35" s="1559"/>
      <c r="W35" s="1560"/>
      <c r="X35" s="1553"/>
      <c r="Y35" s="3409"/>
      <c r="Z35" s="1561"/>
      <c r="AA35" s="1562">
        <v>1</v>
      </c>
      <c r="AB35" s="1562">
        <v>1</v>
      </c>
      <c r="AC35" s="1562">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7"/>
      <c r="M36" s="2117"/>
      <c r="N36" s="2117"/>
      <c r="O36" s="2126"/>
      <c r="P36" s="3409"/>
      <c r="Q36" s="1558" t="str">
        <f t="shared" si="8"/>
        <v>土地级别</v>
      </c>
      <c r="R36" s="1559" t="s">
        <v>8</v>
      </c>
      <c r="S36" s="1560">
        <f t="shared" si="10"/>
        <v>100</v>
      </c>
      <c r="T36" s="1559" t="s">
        <v>8</v>
      </c>
      <c r="U36" s="1560">
        <f t="shared" si="11"/>
        <v>100</v>
      </c>
      <c r="V36" s="1559" t="s">
        <v>8</v>
      </c>
      <c r="W36" s="1560">
        <f t="shared" si="12"/>
        <v>100</v>
      </c>
      <c r="X36" s="1553"/>
      <c r="Y36" s="3409"/>
      <c r="Z36" s="1561" t="str">
        <f t="shared" si="13"/>
        <v>土地级别</v>
      </c>
      <c r="AA36" s="1562">
        <f t="shared" si="3"/>
        <v>1</v>
      </c>
      <c r="AB36" s="1562">
        <f t="shared" si="4"/>
        <v>1</v>
      </c>
      <c r="AC36" s="1562">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09"/>
      <c r="Q37" s="1558">
        <f t="shared" si="8"/>
        <v>111</v>
      </c>
      <c r="R37" s="1559" t="s">
        <v>8</v>
      </c>
      <c r="S37" s="1560">
        <f t="shared" si="10"/>
        <v>100</v>
      </c>
      <c r="T37" s="1559" t="s">
        <v>8</v>
      </c>
      <c r="U37" s="1560">
        <f t="shared" si="11"/>
        <v>100</v>
      </c>
      <c r="V37" s="1559" t="s">
        <v>8</v>
      </c>
      <c r="W37" s="1560">
        <f t="shared" si="12"/>
        <v>100</v>
      </c>
      <c r="X37" s="1553"/>
      <c r="Y37" s="3409"/>
      <c r="Z37" s="1561">
        <f t="shared" si="13"/>
        <v>111</v>
      </c>
      <c r="AA37" s="1562">
        <f t="shared" si="3"/>
        <v>1</v>
      </c>
      <c r="AB37" s="1562">
        <f t="shared" si="4"/>
        <v>1</v>
      </c>
      <c r="AC37" s="1562">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10" t="s">
        <v>550</v>
      </c>
      <c r="Q38" s="1558">
        <f t="shared" si="8"/>
        <v>111</v>
      </c>
      <c r="R38" s="1559" t="s">
        <v>8</v>
      </c>
      <c r="S38" s="1560">
        <f t="shared" si="10"/>
        <v>100</v>
      </c>
      <c r="T38" s="1559" t="s">
        <v>8</v>
      </c>
      <c r="U38" s="1560">
        <f t="shared" si="11"/>
        <v>100</v>
      </c>
      <c r="V38" s="1559" t="s">
        <v>8</v>
      </c>
      <c r="W38" s="1560">
        <f t="shared" si="12"/>
        <v>100</v>
      </c>
      <c r="X38" s="1553"/>
      <c r="Y38" s="3411" t="s">
        <v>550</v>
      </c>
      <c r="Z38" s="1561">
        <f t="shared" si="13"/>
        <v>111</v>
      </c>
      <c r="AA38" s="1562">
        <f t="shared" si="3"/>
        <v>1</v>
      </c>
      <c r="AB38" s="1562">
        <f t="shared" si="4"/>
        <v>1</v>
      </c>
      <c r="AC38" s="1562">
        <f t="shared" si="5"/>
        <v>1</v>
      </c>
    </row>
    <row r="39" spans="1:29" s="1334"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11"/>
      <c r="Q39" s="1558">
        <f t="shared" si="8"/>
        <v>111</v>
      </c>
      <c r="R39" s="1563" t="s">
        <v>8</v>
      </c>
      <c r="S39" s="1564">
        <f t="shared" si="10"/>
        <v>100</v>
      </c>
      <c r="T39" s="1563" t="s">
        <v>8</v>
      </c>
      <c r="U39" s="1564">
        <f t="shared" si="11"/>
        <v>100</v>
      </c>
      <c r="V39" s="1563" t="s">
        <v>8</v>
      </c>
      <c r="W39" s="1564">
        <f t="shared" si="12"/>
        <v>100</v>
      </c>
      <c r="X39" s="1565"/>
      <c r="Y39" s="3411"/>
      <c r="Z39" s="1566">
        <f t="shared" si="13"/>
        <v>111</v>
      </c>
      <c r="AA39" s="1562">
        <f t="shared" si="3"/>
        <v>1</v>
      </c>
      <c r="AB39" s="1562">
        <f t="shared" si="4"/>
        <v>1</v>
      </c>
      <c r="AC39" s="1562">
        <f t="shared" si="5"/>
        <v>1</v>
      </c>
    </row>
    <row r="40" spans="1:29" ht="21">
      <c r="A40" s="2862" t="s">
        <v>2749</v>
      </c>
      <c r="B40" s="595" t="s">
        <v>552</v>
      </c>
      <c r="C40" s="596">
        <f>'数据-汇总表'!D3</f>
        <v>13713.98</v>
      </c>
      <c r="D40" s="597">
        <v>100</v>
      </c>
      <c r="E40" s="596">
        <f>Sheet2!D2</f>
        <v>1973.83</v>
      </c>
      <c r="F40" s="597">
        <f>LOOKUP(E40,119:119,120:120)-LOOKUP(C40,119:119,120:120)+100</f>
        <v>98</v>
      </c>
      <c r="G40" s="596">
        <f>Sheet2!D4</f>
        <v>1274.5899999999999</v>
      </c>
      <c r="H40" s="597">
        <f>LOOKUP(G40,119:119,120:120)-LOOKUP(C40,119:119,120:120)+100</f>
        <v>98</v>
      </c>
      <c r="I40" s="598">
        <f>Sheet2!D6</f>
        <v>758.94</v>
      </c>
      <c r="J40" s="597">
        <f>LOOKUP(I40,119:119,120:120)-LOOKUP(C40,119:119,120:120)+100</f>
        <v>98</v>
      </c>
      <c r="K40" s="581"/>
      <c r="L40" s="2127"/>
      <c r="M40" s="2117"/>
      <c r="N40" s="2117"/>
      <c r="O40" s="2126"/>
      <c r="P40" s="3411"/>
      <c r="Q40" s="1558" t="str">
        <f>B40</f>
        <v>宗地面积</v>
      </c>
      <c r="R40" s="1559" t="s">
        <v>8</v>
      </c>
      <c r="S40" s="1560">
        <f t="shared" si="10"/>
        <v>98</v>
      </c>
      <c r="T40" s="1559" t="s">
        <v>8</v>
      </c>
      <c r="U40" s="1560">
        <f t="shared" si="11"/>
        <v>98</v>
      </c>
      <c r="V40" s="1559" t="s">
        <v>8</v>
      </c>
      <c r="W40" s="1560">
        <f t="shared" si="12"/>
        <v>98</v>
      </c>
      <c r="X40" s="1553"/>
      <c r="Y40" s="3411"/>
      <c r="Z40" s="1561" t="str">
        <f t="shared" si="13"/>
        <v>宗地面积</v>
      </c>
      <c r="AA40" s="1562">
        <f t="shared" si="3"/>
        <v>1.0204081632653061</v>
      </c>
      <c r="AB40" s="1562">
        <f t="shared" si="4"/>
        <v>1.0204081632653061</v>
      </c>
      <c r="AC40" s="1562">
        <f t="shared" si="5"/>
        <v>1.0204081632653061</v>
      </c>
    </row>
    <row r="41" spans="1:29" ht="21">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27"/>
      <c r="M41" s="2117"/>
      <c r="N41" s="2117"/>
      <c r="O41" s="2126"/>
      <c r="P41" s="3411"/>
      <c r="Q41" s="1558" t="str">
        <f t="shared" ref="Q41:Q47" si="14">B41</f>
        <v>宗地形状</v>
      </c>
      <c r="R41" s="1559" t="s">
        <v>8</v>
      </c>
      <c r="S41" s="1560">
        <f t="shared" si="10"/>
        <v>100</v>
      </c>
      <c r="T41" s="1559" t="s">
        <v>8</v>
      </c>
      <c r="U41" s="1560">
        <f t="shared" si="11"/>
        <v>100</v>
      </c>
      <c r="V41" s="1559" t="s">
        <v>8</v>
      </c>
      <c r="W41" s="1560">
        <f t="shared" si="12"/>
        <v>100</v>
      </c>
      <c r="X41" s="1553"/>
      <c r="Y41" s="3411"/>
      <c r="Z41" s="1561" t="str">
        <f t="shared" si="13"/>
        <v>宗地形状</v>
      </c>
      <c r="AA41" s="1562">
        <f t="shared" si="3"/>
        <v>1</v>
      </c>
      <c r="AB41" s="1562">
        <f t="shared" si="4"/>
        <v>1</v>
      </c>
      <c r="AC41" s="1562">
        <f t="shared" si="5"/>
        <v>1</v>
      </c>
    </row>
    <row r="42" spans="1:29" ht="2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7"/>
      <c r="M42" s="2117"/>
      <c r="N42" s="2117"/>
      <c r="O42" s="2126"/>
      <c r="P42" s="3411"/>
      <c r="Q42" s="1558" t="str">
        <f t="shared" si="14"/>
        <v>临街宽度及深度</v>
      </c>
      <c r="R42" s="1559" t="s">
        <v>8</v>
      </c>
      <c r="S42" s="1560">
        <f t="shared" si="10"/>
        <v>100</v>
      </c>
      <c r="T42" s="1559" t="s">
        <v>8</v>
      </c>
      <c r="U42" s="1560">
        <f t="shared" si="11"/>
        <v>100</v>
      </c>
      <c r="V42" s="1559" t="s">
        <v>8</v>
      </c>
      <c r="W42" s="1560">
        <f t="shared" si="12"/>
        <v>100</v>
      </c>
      <c r="X42" s="1553"/>
      <c r="Y42" s="3411"/>
      <c r="Z42" s="1561" t="str">
        <f t="shared" si="13"/>
        <v>临街宽度及深度</v>
      </c>
      <c r="AA42" s="1562">
        <f t="shared" si="3"/>
        <v>1</v>
      </c>
      <c r="AB42" s="1562">
        <f t="shared" si="4"/>
        <v>1</v>
      </c>
      <c r="AC42" s="1562">
        <f t="shared" si="5"/>
        <v>1</v>
      </c>
    </row>
    <row r="43" spans="1:29" s="1215" customFormat="1" ht="21">
      <c r="A43" s="600"/>
      <c r="B43" s="1880" t="s">
        <v>2419</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20"/>
      <c r="M43" s="2117"/>
      <c r="N43" s="2117"/>
      <c r="O43" s="2122"/>
      <c r="P43" s="3411"/>
      <c r="Q43" s="1558" t="str">
        <f t="shared" si="14"/>
        <v>宗地开发程度</v>
      </c>
      <c r="R43" s="1554" t="s">
        <v>8</v>
      </c>
      <c r="S43" s="1555">
        <f t="shared" si="10"/>
        <v>100</v>
      </c>
      <c r="T43" s="1554" t="s">
        <v>8</v>
      </c>
      <c r="U43" s="1555">
        <f t="shared" si="11"/>
        <v>100</v>
      </c>
      <c r="V43" s="1554" t="s">
        <v>8</v>
      </c>
      <c r="W43" s="1555">
        <f t="shared" si="12"/>
        <v>100</v>
      </c>
      <c r="X43" s="1556"/>
      <c r="Y43" s="3411"/>
      <c r="Z43" s="1145" t="str">
        <f t="shared" si="13"/>
        <v>宗地开发程度</v>
      </c>
      <c r="AA43" s="1557">
        <f t="shared" si="3"/>
        <v>1</v>
      </c>
      <c r="AB43" s="1557">
        <f t="shared" si="4"/>
        <v>1</v>
      </c>
      <c r="AC43" s="1557">
        <f t="shared" si="5"/>
        <v>1</v>
      </c>
    </row>
    <row r="44" spans="1:29" ht="2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27"/>
      <c r="M44" s="2117"/>
      <c r="N44" s="2117"/>
      <c r="O44" s="2126"/>
      <c r="P44" s="3411" t="s">
        <v>550</v>
      </c>
      <c r="Q44" s="1558" t="str">
        <f t="shared" si="14"/>
        <v>工程地质条件</v>
      </c>
      <c r="R44" s="1559" t="s">
        <v>8</v>
      </c>
      <c r="S44" s="1560">
        <f t="shared" si="10"/>
        <v>100</v>
      </c>
      <c r="T44" s="1559" t="s">
        <v>8</v>
      </c>
      <c r="U44" s="1560">
        <f t="shared" si="11"/>
        <v>100</v>
      </c>
      <c r="V44" s="1559" t="s">
        <v>8</v>
      </c>
      <c r="W44" s="1560">
        <f t="shared" si="12"/>
        <v>100</v>
      </c>
      <c r="X44" s="1553"/>
      <c r="Y44" s="3411" t="s">
        <v>550</v>
      </c>
      <c r="Z44" s="1561" t="str">
        <f t="shared" si="13"/>
        <v>工程地质条件</v>
      </c>
      <c r="AA44" s="1562">
        <f t="shared" si="3"/>
        <v>1</v>
      </c>
      <c r="AB44" s="1562">
        <f t="shared" si="4"/>
        <v>1</v>
      </c>
      <c r="AC44" s="1562">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11"/>
      <c r="Q45" s="1558">
        <f t="shared" si="14"/>
        <v>111</v>
      </c>
      <c r="R45" s="1559" t="s">
        <v>8</v>
      </c>
      <c r="S45" s="1560">
        <f t="shared" si="10"/>
        <v>100</v>
      </c>
      <c r="T45" s="1559" t="s">
        <v>8</v>
      </c>
      <c r="U45" s="1560">
        <f t="shared" si="11"/>
        <v>100</v>
      </c>
      <c r="V45" s="1559" t="s">
        <v>8</v>
      </c>
      <c r="W45" s="1560">
        <f t="shared" si="12"/>
        <v>100</v>
      </c>
      <c r="X45" s="1553"/>
      <c r="Y45" s="3411"/>
      <c r="Z45" s="1561">
        <f t="shared" si="13"/>
        <v>111</v>
      </c>
      <c r="AA45" s="1562">
        <f t="shared" si="3"/>
        <v>1</v>
      </c>
      <c r="AB45" s="1562">
        <f t="shared" si="4"/>
        <v>1</v>
      </c>
      <c r="AC45" s="1562">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11"/>
      <c r="Q46" s="1558">
        <f t="shared" si="14"/>
        <v>111</v>
      </c>
      <c r="R46" s="1559" t="s">
        <v>8</v>
      </c>
      <c r="S46" s="1560">
        <f t="shared" si="10"/>
        <v>100</v>
      </c>
      <c r="T46" s="1559" t="s">
        <v>8</v>
      </c>
      <c r="U46" s="1560">
        <f t="shared" si="11"/>
        <v>100</v>
      </c>
      <c r="V46" s="1559" t="s">
        <v>8</v>
      </c>
      <c r="W46" s="1560">
        <f t="shared" si="12"/>
        <v>100</v>
      </c>
      <c r="X46" s="1553"/>
      <c r="Y46" s="3411"/>
      <c r="Z46" s="1561">
        <f t="shared" si="13"/>
        <v>111</v>
      </c>
      <c r="AA46" s="1562">
        <f t="shared" si="3"/>
        <v>1</v>
      </c>
      <c r="AB46" s="1562">
        <f t="shared" si="4"/>
        <v>1</v>
      </c>
      <c r="AC46" s="1562">
        <f t="shared" si="5"/>
        <v>1</v>
      </c>
    </row>
    <row r="47" spans="1:29" s="1334"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11"/>
      <c r="Q47" s="1558">
        <f t="shared" si="14"/>
        <v>111</v>
      </c>
      <c r="R47" s="1563" t="s">
        <v>8</v>
      </c>
      <c r="S47" s="1564">
        <f t="shared" si="10"/>
        <v>100</v>
      </c>
      <c r="T47" s="1563" t="s">
        <v>8</v>
      </c>
      <c r="U47" s="1564">
        <f t="shared" si="11"/>
        <v>100</v>
      </c>
      <c r="V47" s="1563" t="s">
        <v>8</v>
      </c>
      <c r="W47" s="1564">
        <f t="shared" si="12"/>
        <v>100</v>
      </c>
      <c r="X47" s="1565"/>
      <c r="Y47" s="3411"/>
      <c r="Z47" s="1566">
        <f t="shared" si="13"/>
        <v>111</v>
      </c>
      <c r="AA47" s="1562">
        <f t="shared" si="3"/>
        <v>1</v>
      </c>
      <c r="AB47" s="1562">
        <f t="shared" si="4"/>
        <v>1</v>
      </c>
      <c r="AC47" s="1562">
        <f t="shared" si="5"/>
        <v>1</v>
      </c>
    </row>
    <row r="48" spans="1:29" ht="21">
      <c r="A48" s="607" t="s">
        <v>556</v>
      </c>
      <c r="B48" s="608" t="s">
        <v>3093</v>
      </c>
      <c r="C48" s="609" t="s">
        <v>1</v>
      </c>
      <c r="D48" s="610"/>
      <c r="E48" s="611">
        <f>ROUND(Sheet2!M2,0)</f>
        <v>5351</v>
      </c>
      <c r="F48" s="612"/>
      <c r="G48" s="613">
        <f>ROUND(Sheet2!M4,0)</f>
        <v>6419</v>
      </c>
      <c r="H48" s="614"/>
      <c r="I48" s="611">
        <f>ROUND(Sheet2!M6,0)</f>
        <v>4743</v>
      </c>
      <c r="J48" s="614"/>
      <c r="K48" s="1335"/>
      <c r="L48" s="2129"/>
      <c r="M48" s="2117"/>
      <c r="N48" s="2117"/>
      <c r="O48" s="2130"/>
      <c r="P48" s="3374" t="str">
        <f>A48</f>
        <v>成交单价</v>
      </c>
      <c r="Q48" s="3374"/>
      <c r="R48" s="3375">
        <f>E48</f>
        <v>5351</v>
      </c>
      <c r="S48" s="3375"/>
      <c r="T48" s="3375">
        <f>G48</f>
        <v>6419</v>
      </c>
      <c r="U48" s="3375"/>
      <c r="V48" s="3375">
        <f>I48</f>
        <v>4743</v>
      </c>
      <c r="W48" s="3375"/>
      <c r="X48" s="1545"/>
      <c r="Y48" s="1567"/>
      <c r="Z48" s="1545"/>
      <c r="AA48" s="1545"/>
      <c r="AB48" s="1545"/>
      <c r="AC48" s="1545"/>
    </row>
    <row r="49" spans="1:29" ht="21.6" thickBot="1">
      <c r="A49" s="615" t="s">
        <v>2687</v>
      </c>
      <c r="B49" s="616"/>
      <c r="C49" s="617">
        <f>R50</f>
        <v>4306</v>
      </c>
      <c r="D49" s="618"/>
      <c r="E49" s="617">
        <f>R49</f>
        <v>4104</v>
      </c>
      <c r="F49" s="619"/>
      <c r="G49" s="620">
        <f>T49</f>
        <v>4933</v>
      </c>
      <c r="H49" s="618"/>
      <c r="I49" s="617">
        <f>V49</f>
        <v>3880</v>
      </c>
      <c r="J49" s="618"/>
      <c r="K49" s="1336"/>
      <c r="L49" s="2129"/>
      <c r="M49" s="2117"/>
      <c r="N49" s="2117"/>
      <c r="O49" s="2130"/>
      <c r="P49" s="3374" t="str">
        <f>A49</f>
        <v>比较价格（元/平方米）</v>
      </c>
      <c r="Q49" s="3374"/>
      <c r="R49" s="3376">
        <f>ROUND(PRODUCT(R48,AA9:AA47),0)</f>
        <v>4104</v>
      </c>
      <c r="S49" s="3376"/>
      <c r="T49" s="3376">
        <f>ROUND(PRODUCT(T48,AB9:AB47),0)</f>
        <v>4933</v>
      </c>
      <c r="U49" s="3376"/>
      <c r="V49" s="3376">
        <f>ROUND(PRODUCT(V48,AC9:AC47),0)</f>
        <v>3880</v>
      </c>
      <c r="W49" s="3376"/>
      <c r="X49" s="1545"/>
      <c r="Y49" s="1545"/>
      <c r="Z49" s="1545"/>
      <c r="AA49" s="1545"/>
      <c r="AB49" s="1545"/>
      <c r="AC49" s="1545"/>
    </row>
    <row r="50" spans="1:29" ht="21.6" thickBot="1">
      <c r="A50" s="621" t="s">
        <v>2931</v>
      </c>
      <c r="B50" s="622"/>
      <c r="C50" s="623">
        <f>R50</f>
        <v>4306</v>
      </c>
      <c r="D50" s="623"/>
      <c r="E50" s="623"/>
      <c r="F50" s="623"/>
      <c r="G50" s="623"/>
      <c r="H50" s="623"/>
      <c r="I50" s="623"/>
      <c r="J50" s="623"/>
      <c r="K50" s="1337"/>
      <c r="L50" s="2129"/>
      <c r="M50" s="2117"/>
      <c r="N50" s="2117"/>
      <c r="O50" s="2130"/>
      <c r="P50" s="3371" t="str">
        <f>A50</f>
        <v>估价对象XX用房的比较价格（楼面单价，元/平方米）</v>
      </c>
      <c r="Q50" s="3372"/>
      <c r="R50" s="3373">
        <f>ROUND(AVERAGE(R49:V49),0)</f>
        <v>4306</v>
      </c>
      <c r="S50" s="3373"/>
      <c r="T50" s="3373"/>
      <c r="U50" s="3373"/>
      <c r="V50" s="3373"/>
      <c r="W50" s="3373"/>
      <c r="X50" s="1545"/>
      <c r="Y50" s="1545"/>
      <c r="Z50" s="1545"/>
      <c r="AA50" s="1545"/>
      <c r="AB50" s="1545"/>
      <c r="AC50" s="1545"/>
    </row>
    <row r="51" spans="1:29" ht="21">
      <c r="A51" s="2130"/>
      <c r="B51" s="2130"/>
      <c r="C51" s="2130"/>
      <c r="D51" s="2130"/>
      <c r="E51" s="2130"/>
      <c r="F51" s="2130"/>
      <c r="G51" s="2133"/>
      <c r="H51" s="2130"/>
      <c r="I51" s="2130"/>
      <c r="J51" s="2130"/>
      <c r="K51" s="2134"/>
      <c r="L51" s="2135"/>
      <c r="M51" s="2117"/>
      <c r="N51" s="2117"/>
      <c r="O51" s="2130"/>
      <c r="P51" s="1545"/>
      <c r="Q51" s="2130"/>
      <c r="R51" s="2130"/>
      <c r="S51" s="2130"/>
      <c r="T51" s="2130"/>
      <c r="U51" s="2130"/>
      <c r="V51" s="2130"/>
      <c r="W51" s="2130"/>
      <c r="X51" s="2130"/>
      <c r="Y51" s="2130"/>
      <c r="Z51" s="2130"/>
      <c r="AA51" s="2130"/>
      <c r="AB51" s="2130"/>
      <c r="AC51" s="2130"/>
    </row>
    <row r="52" spans="1:29" ht="21">
      <c r="A52" s="2130"/>
      <c r="B52" s="2130"/>
      <c r="C52" s="2130"/>
      <c r="D52" s="2130"/>
      <c r="E52" s="2130"/>
      <c r="F52" s="2130"/>
      <c r="G52" s="2130"/>
      <c r="H52" s="2130"/>
      <c r="I52" s="2130"/>
      <c r="J52" s="2130"/>
      <c r="K52" s="2134"/>
      <c r="L52" s="2135"/>
      <c r="M52" s="2117"/>
      <c r="N52" s="2117"/>
      <c r="O52" s="2130"/>
      <c r="P52" s="1545"/>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0.30384990253411304</v>
      </c>
      <c r="F53" s="627" t="str">
        <f>IF(OR(E53&gt;=0.3,E53&lt;=-0.3),"超过30%","")</f>
        <v>超过30%</v>
      </c>
      <c r="G53" s="626">
        <f>IF(G48&lt;G49,G49/G48-1,G48/G49-1)</f>
        <v>0.301236570038516</v>
      </c>
      <c r="H53" s="627" t="str">
        <f>IF(OR(G53&gt;=0.3,G53&lt;=-0.3),"超过30%","")</f>
        <v>超过30%</v>
      </c>
      <c r="I53" s="626">
        <f>IF(I48&lt;I49,I49/I48-1,I48/I49-1)</f>
        <v>0.22242268041237123</v>
      </c>
      <c r="J53" s="627" t="str">
        <f>IF(OR(I53&gt;=0.3,I53&lt;=-0.3),"超过30%","")</f>
        <v/>
      </c>
      <c r="K53" s="2134"/>
      <c r="L53" s="2135"/>
      <c r="M53" s="2117"/>
      <c r="N53" s="2117"/>
      <c r="O53" s="2130"/>
      <c r="P53" s="1545"/>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0.20199805068226118</v>
      </c>
      <c r="F54" s="627" t="str">
        <f>IF(OR(E54&gt;=0.2,E54&lt;=-0.2),"超过20%","")</f>
        <v>超过20%</v>
      </c>
      <c r="G54" s="626">
        <f>IF(G49&lt;I49,I49/G49-1,G49/I49-1)</f>
        <v>0.27139175257731951</v>
      </c>
      <c r="H54" s="627" t="str">
        <f>IF(OR(G54&gt;=0.2,G54&lt;=-0.2),"超过20%","")</f>
        <v>超过20%</v>
      </c>
      <c r="I54" s="626">
        <f>IF(I49&lt;E49,E49/I49-1,I49/E49-1)</f>
        <v>5.7731958762886615E-2</v>
      </c>
      <c r="J54" s="627" t="str">
        <f>IF(OR(I54&gt;=0.2,I54&lt;=-0.2),"超过20%","")</f>
        <v/>
      </c>
      <c r="K54" s="2134"/>
      <c r="L54" s="2135"/>
      <c r="M54" s="2117"/>
      <c r="N54" s="2117"/>
      <c r="O54" s="2130"/>
      <c r="P54" s="1545"/>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f>IF(E48&lt;G48,G48/E48-1,E48/G48-1)</f>
        <v>0.19958886189497282</v>
      </c>
      <c r="F55" s="627" t="str">
        <f>IF(OR(E55&gt;=0.3,E55&lt;=-0.3),"超过30%","")</f>
        <v/>
      </c>
      <c r="G55" s="626">
        <f>IF(G48&lt;I48,I48/G48-1,G48/I48-1)</f>
        <v>0.3533628505165507</v>
      </c>
      <c r="H55" s="627" t="str">
        <f>IF(OR(G55&gt;=0.3,G55&lt;=-0.3),"超过30%","")</f>
        <v>超过30%</v>
      </c>
      <c r="I55" s="626">
        <f>IF(I48&lt;E48,E48/I48-1,I48/E48-1)</f>
        <v>0.12818890997259125</v>
      </c>
      <c r="J55" s="627" t="str">
        <f>IF(OR(I55&gt;=0.3,I55&lt;=-0.3),"超过30%","")</f>
        <v/>
      </c>
      <c r="K55" s="2137"/>
      <c r="L55" s="2138"/>
      <c r="M55" s="2117"/>
      <c r="N55" s="2117"/>
      <c r="O55" s="2131"/>
      <c r="P55" s="1543"/>
      <c r="Q55" s="2131"/>
      <c r="R55" s="2131"/>
      <c r="S55" s="2131"/>
      <c r="T55" s="2131"/>
      <c r="U55" s="2131"/>
      <c r="V55" s="2131"/>
      <c r="W55" s="2131"/>
      <c r="X55" s="2131"/>
      <c r="Y55" s="2131"/>
      <c r="Z55" s="2131"/>
      <c r="AA55" s="2131"/>
      <c r="AB55" s="2131"/>
      <c r="AC55" s="2131"/>
    </row>
    <row r="56" spans="1:29" s="1340" customFormat="1" ht="21.6" thickBot="1">
      <c r="A56" s="2131"/>
      <c r="B56" s="2132"/>
      <c r="C56" s="2136"/>
      <c r="D56" s="2131"/>
      <c r="E56" s="2131"/>
      <c r="F56" s="2131"/>
      <c r="G56" s="2131"/>
      <c r="H56" s="2131"/>
      <c r="I56" s="2131"/>
      <c r="J56" s="2131"/>
      <c r="K56" s="2137"/>
      <c r="L56" s="2138"/>
      <c r="M56" s="2117"/>
      <c r="N56" s="2117"/>
      <c r="O56" s="2131"/>
      <c r="P56" s="1543"/>
      <c r="Q56" s="2131"/>
      <c r="R56" s="2131"/>
      <c r="S56" s="2131"/>
      <c r="T56" s="2131"/>
      <c r="U56" s="2131"/>
      <c r="V56" s="2131"/>
      <c r="W56" s="2131"/>
      <c r="X56" s="2131"/>
      <c r="Y56" s="2131"/>
      <c r="Z56" s="2131"/>
      <c r="AA56" s="2131"/>
      <c r="AB56" s="2131"/>
      <c r="AC56" s="2131"/>
    </row>
    <row r="57" spans="1:29" ht="26.25" customHeight="1">
      <c r="A57" s="629" t="s">
        <v>560</v>
      </c>
      <c r="B57" s="630" t="s">
        <v>561</v>
      </c>
      <c r="C57" s="1546" t="s">
        <v>1722</v>
      </c>
      <c r="D57" s="2212" t="s">
        <v>2288</v>
      </c>
      <c r="E57" s="631" t="s">
        <v>562</v>
      </c>
      <c r="F57" s="632" t="s">
        <v>563</v>
      </c>
      <c r="G57" s="3400" t="s">
        <v>2276</v>
      </c>
      <c r="H57" s="3401"/>
      <c r="I57" s="1541" t="s">
        <v>1720</v>
      </c>
      <c r="J57" s="1541">
        <f>项目基本情况!F41</f>
        <v>0</v>
      </c>
      <c r="K57" s="2139" t="s">
        <v>1721</v>
      </c>
      <c r="L57" s="2135"/>
      <c r="M57" s="2130"/>
      <c r="N57" s="2130"/>
      <c r="O57" s="2130"/>
      <c r="P57" s="2130"/>
      <c r="Q57" s="2130"/>
      <c r="R57" s="2130"/>
      <c r="S57" s="2130"/>
      <c r="T57" s="2130"/>
      <c r="U57" s="2130"/>
      <c r="V57" s="2130"/>
      <c r="W57" s="2130"/>
      <c r="X57" s="2130"/>
      <c r="Y57" s="2130"/>
      <c r="Z57" s="2130"/>
      <c r="AA57" s="2130"/>
      <c r="AB57" s="2130"/>
      <c r="AC57" s="2130"/>
    </row>
    <row r="58" spans="1:29" s="1341" customFormat="1" ht="13.2">
      <c r="A58" s="633" t="s">
        <v>564</v>
      </c>
      <c r="B58" s="634">
        <f>C50</f>
        <v>4306</v>
      </c>
      <c r="C58" s="635">
        <v>1</v>
      </c>
      <c r="D58" s="2213">
        <v>1</v>
      </c>
      <c r="E58" s="635">
        <f>'数据-汇总表'!E8+'数据-汇总表'!E9</f>
        <v>75478</v>
      </c>
      <c r="F58" s="636">
        <f t="shared" ref="F58:F67" si="15">ROUND(B58*E58/10000,0)</f>
        <v>32501</v>
      </c>
      <c r="G58" s="3402"/>
      <c r="H58" s="3403"/>
      <c r="I58" s="1542">
        <v>1</v>
      </c>
      <c r="J58" s="1542">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565</v>
      </c>
      <c r="B59" s="638">
        <f>ROUND($C$50*C59*D59,0)</f>
        <v>0</v>
      </c>
      <c r="C59" s="378">
        <f t="shared" ref="C59:C67" si="16">IF($C$57="北京市系数",I59,J59)</f>
        <v>0</v>
      </c>
      <c r="D59" s="2214">
        <v>0.25</v>
      </c>
      <c r="E59" s="639">
        <v>0</v>
      </c>
      <c r="F59" s="636">
        <f t="shared" si="15"/>
        <v>0</v>
      </c>
      <c r="G59" s="3404" t="s">
        <v>2277</v>
      </c>
      <c r="H59" s="1933">
        <f>项目基本情况!B43</f>
        <v>0</v>
      </c>
      <c r="I59" s="1542">
        <f>SUMIF(修正!$A$45:$A$56,H59,修正!B45:B56)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566</v>
      </c>
      <c r="B60" s="638">
        <f t="shared" ref="B60:B67" si="17">ROUND($C$50*C60*D60,0)</f>
        <v>0</v>
      </c>
      <c r="C60" s="378">
        <f t="shared" si="16"/>
        <v>0</v>
      </c>
      <c r="D60" s="2214">
        <v>0.25</v>
      </c>
      <c r="E60" s="639">
        <v>0</v>
      </c>
      <c r="F60" s="636">
        <f t="shared" si="15"/>
        <v>0</v>
      </c>
      <c r="G60" s="3404"/>
      <c r="H60" s="1933">
        <f>项目基本情况!B43</f>
        <v>0</v>
      </c>
      <c r="I60" s="1542">
        <f>SUMIF(修正!$A$45:$A$56,H60,修正!C45:C56)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567</v>
      </c>
      <c r="B61" s="638">
        <f t="shared" si="17"/>
        <v>0</v>
      </c>
      <c r="C61" s="378">
        <f t="shared" si="16"/>
        <v>0</v>
      </c>
      <c r="D61" s="2214">
        <v>0.25</v>
      </c>
      <c r="E61" s="639">
        <v>0</v>
      </c>
      <c r="F61" s="636">
        <f t="shared" si="15"/>
        <v>0</v>
      </c>
      <c r="G61" s="3404"/>
      <c r="H61" s="1933">
        <f>项目基本情况!B43</f>
        <v>0</v>
      </c>
      <c r="I61" s="1542">
        <f>SUMIF(修正!$A$45:$A$56,H61,修正!D45:D56)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ht="13.2">
      <c r="A62" s="637" t="s">
        <v>568</v>
      </c>
      <c r="B62" s="638">
        <f t="shared" si="17"/>
        <v>0</v>
      </c>
      <c r="C62" s="378">
        <f t="shared" si="16"/>
        <v>0</v>
      </c>
      <c r="D62" s="2214">
        <v>0.25</v>
      </c>
      <c r="E62" s="639">
        <v>0</v>
      </c>
      <c r="F62" s="636">
        <f t="shared" si="15"/>
        <v>0</v>
      </c>
      <c r="G62" s="3404"/>
      <c r="H62" s="1933">
        <f>项目基本情况!B43</f>
        <v>0</v>
      </c>
      <c r="I62" s="1542">
        <f>SUMIF(修正!$A$45:$A$56,H62,修正!E45:E56)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ht="13.2">
      <c r="A63" s="2316" t="s">
        <v>2323</v>
      </c>
      <c r="B63" s="638">
        <f t="shared" si="17"/>
        <v>0</v>
      </c>
      <c r="C63" s="378">
        <f t="shared" si="16"/>
        <v>0</v>
      </c>
      <c r="D63" s="2214">
        <v>0.25</v>
      </c>
      <c r="E63" s="641">
        <f>'数据-汇总表'!E11</f>
        <v>0</v>
      </c>
      <c r="F63" s="636">
        <f t="shared" si="15"/>
        <v>0</v>
      </c>
      <c r="G63" s="1930" t="s">
        <v>2278</v>
      </c>
      <c r="H63" s="1933">
        <f>项目基本情况!C43</f>
        <v>0</v>
      </c>
      <c r="I63" s="1542">
        <f>SUMIF(修正!$A$45:$A$56,H63,修正!F45:F56)</f>
        <v>0</v>
      </c>
      <c r="J63" s="1544"/>
      <c r="K63" s="2140"/>
      <c r="L63" s="2140"/>
      <c r="M63" s="2140"/>
      <c r="N63" s="2140"/>
      <c r="O63" s="2140"/>
      <c r="P63" s="2140"/>
      <c r="Q63" s="2140"/>
      <c r="R63" s="2140"/>
      <c r="S63" s="2140"/>
      <c r="T63" s="2140"/>
      <c r="U63" s="2140"/>
      <c r="V63" s="2140"/>
      <c r="W63" s="2140"/>
      <c r="X63" s="2140"/>
      <c r="Y63" s="2140"/>
      <c r="Z63" s="2140"/>
      <c r="AA63" s="2140"/>
      <c r="AB63" s="2140"/>
      <c r="AC63" s="2140"/>
    </row>
    <row r="64" spans="1:29" s="1341" customFormat="1" ht="13.2">
      <c r="A64" s="637" t="s">
        <v>569</v>
      </c>
      <c r="B64" s="638">
        <f t="shared" si="17"/>
        <v>0</v>
      </c>
      <c r="C64" s="378">
        <f t="shared" si="16"/>
        <v>0</v>
      </c>
      <c r="D64" s="2214">
        <v>0.25</v>
      </c>
      <c r="E64" s="641">
        <f>'数据-汇总表'!E12</f>
        <v>0</v>
      </c>
      <c r="F64" s="636">
        <f t="shared" si="15"/>
        <v>0</v>
      </c>
      <c r="G64" s="1931" t="s">
        <v>1675</v>
      </c>
      <c r="H64" s="1929">
        <f>IF(G64="商业",项目基本情况!B43,IF(G64="办公",项目基本情况!C43,IF(G64="住宅",项目基本情况!D43,项目基本情况!E43)))</f>
        <v>0</v>
      </c>
      <c r="I64" s="1542">
        <f>SUMIF(修正!$A$45:$A$56,H64,修正!G45:G56)</f>
        <v>0</v>
      </c>
      <c r="J64" s="1544"/>
      <c r="K64" s="2140"/>
      <c r="L64" s="2140"/>
      <c r="M64" s="2140"/>
      <c r="N64" s="2140"/>
      <c r="O64" s="2140"/>
      <c r="P64" s="2140"/>
      <c r="Q64" s="2140"/>
      <c r="R64" s="2140"/>
      <c r="S64" s="2140"/>
      <c r="T64" s="2140"/>
      <c r="U64" s="2140"/>
      <c r="V64" s="2140"/>
      <c r="W64" s="2140"/>
      <c r="X64" s="2140"/>
      <c r="Y64" s="2140"/>
      <c r="Z64" s="2140"/>
      <c r="AA64" s="2140"/>
      <c r="AB64" s="2140"/>
      <c r="AC64" s="2140"/>
    </row>
    <row r="65" spans="1:29" s="1341" customFormat="1" ht="13.2">
      <c r="A65" s="637" t="s">
        <v>570</v>
      </c>
      <c r="B65" s="638">
        <f t="shared" si="17"/>
        <v>0</v>
      </c>
      <c r="C65" s="378">
        <f t="shared" si="16"/>
        <v>0</v>
      </c>
      <c r="D65" s="2214">
        <v>0.25</v>
      </c>
      <c r="E65" s="641">
        <f>'数据-汇总表'!E13</f>
        <v>0</v>
      </c>
      <c r="F65" s="636">
        <f t="shared" si="15"/>
        <v>0</v>
      </c>
      <c r="G65" s="1931" t="s">
        <v>921</v>
      </c>
      <c r="H65" s="1929">
        <f>IF(G65="商业",项目基本情况!B43,IF(G65="办公",项目基本情况!C43,IF(G65="住宅",项目基本情况!D43,项目基本情况!E43)))</f>
        <v>0</v>
      </c>
      <c r="I65" s="1542">
        <f>SUMIF(修正!$A$45:$A$56,H65,修正!H45:H56)</f>
        <v>0</v>
      </c>
      <c r="J65" s="1544"/>
      <c r="K65" s="2140"/>
      <c r="L65" s="2140"/>
      <c r="M65" s="2140"/>
      <c r="N65" s="2140"/>
      <c r="O65" s="2140"/>
      <c r="P65" s="2140"/>
      <c r="Q65" s="2140"/>
      <c r="R65" s="2140"/>
      <c r="S65" s="2140"/>
      <c r="T65" s="2140"/>
      <c r="U65" s="2140"/>
      <c r="V65" s="2140"/>
      <c r="W65" s="2140"/>
      <c r="X65" s="2140"/>
      <c r="Y65" s="2140"/>
      <c r="Z65" s="2140"/>
      <c r="AA65" s="2140"/>
      <c r="AB65" s="2140"/>
      <c r="AC65" s="2140"/>
    </row>
    <row r="66" spans="1:29" s="1341" customFormat="1" ht="13.2">
      <c r="A66" s="637" t="s">
        <v>571</v>
      </c>
      <c r="B66" s="638">
        <f t="shared" si="17"/>
        <v>0</v>
      </c>
      <c r="C66" s="378">
        <f t="shared" si="16"/>
        <v>0</v>
      </c>
      <c r="D66" s="2214">
        <v>0.25</v>
      </c>
      <c r="E66" s="641">
        <f>'数据-汇总表'!E14</f>
        <v>0</v>
      </c>
      <c r="F66" s="636">
        <f t="shared" si="15"/>
        <v>0</v>
      </c>
      <c r="G66" s="1930" t="s">
        <v>2277</v>
      </c>
      <c r="H66" s="1933">
        <f>项目基本情况!B43</f>
        <v>0</v>
      </c>
      <c r="I66" s="1542">
        <f>SUMIF(修正!$A$45:$A$56,H66,修正!H45:H56)</f>
        <v>0</v>
      </c>
      <c r="J66" s="1544"/>
      <c r="K66" s="2140"/>
      <c r="L66" s="2140"/>
      <c r="M66" s="2140"/>
      <c r="N66" s="2140"/>
      <c r="O66" s="2140"/>
      <c r="P66" s="2140"/>
      <c r="Q66" s="2140"/>
      <c r="R66" s="2140"/>
      <c r="S66" s="2140"/>
      <c r="T66" s="2140"/>
      <c r="U66" s="2140"/>
      <c r="V66" s="2140"/>
      <c r="W66" s="2140"/>
      <c r="X66" s="2140"/>
      <c r="Y66" s="2140"/>
      <c r="Z66" s="2140"/>
      <c r="AA66" s="2140"/>
      <c r="AB66" s="2140"/>
      <c r="AC66" s="2140"/>
    </row>
    <row r="67" spans="1:29" s="1341" customFormat="1" thickBot="1">
      <c r="A67" s="637" t="s">
        <v>572</v>
      </c>
      <c r="B67" s="638">
        <f t="shared" si="17"/>
        <v>0</v>
      </c>
      <c r="C67" s="378">
        <f t="shared" si="16"/>
        <v>0</v>
      </c>
      <c r="D67" s="2214">
        <v>0.25</v>
      </c>
      <c r="E67" s="641">
        <f>'数据-汇总表'!E15</f>
        <v>0</v>
      </c>
      <c r="F67" s="636">
        <f t="shared" si="15"/>
        <v>0</v>
      </c>
      <c r="G67" s="1932" t="s">
        <v>2278</v>
      </c>
      <c r="H67" s="1934">
        <f>项目基本情况!C43</f>
        <v>0</v>
      </c>
      <c r="I67" s="1542">
        <f>SUMIF(修正!$A$45:$A$56,H67,修正!H45:H56)</f>
        <v>0</v>
      </c>
      <c r="J67" s="1544"/>
      <c r="K67" s="2140"/>
      <c r="L67" s="2140"/>
      <c r="M67" s="2140"/>
      <c r="N67" s="2140"/>
      <c r="O67" s="2140"/>
      <c r="P67" s="2140"/>
      <c r="Q67" s="2140"/>
      <c r="R67" s="2140"/>
      <c r="S67" s="2140"/>
      <c r="T67" s="2140"/>
      <c r="U67" s="2140"/>
      <c r="V67" s="2140"/>
      <c r="W67" s="2140"/>
      <c r="X67" s="2140"/>
      <c r="Y67" s="2140"/>
      <c r="Z67" s="2140"/>
      <c r="AA67" s="2140"/>
      <c r="AB67" s="2140"/>
      <c r="AC67" s="2140"/>
    </row>
    <row r="68" spans="1:29" s="1341" customFormat="1" thickBot="1">
      <c r="A68" s="642" t="s">
        <v>573</v>
      </c>
      <c r="B68" s="643" t="s">
        <v>17</v>
      </c>
      <c r="C68" s="643" t="s">
        <v>18</v>
      </c>
      <c r="D68" s="643" t="s">
        <v>2289</v>
      </c>
      <c r="E68" s="643">
        <f>IF(B48="楼面地价",SUM(E58:E67),'数据-汇总表'!D3)</f>
        <v>75478</v>
      </c>
      <c r="F68" s="644">
        <f>IF(B48="楼面地价",SUM(F58:F67),ROUND(C50*E68/10000,0))</f>
        <v>32501</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2020-6-1</v>
      </c>
      <c r="D70" s="2754">
        <f>EDATE(C70,-3)</f>
        <v>43891</v>
      </c>
      <c r="E70" s="2754">
        <f t="shared" ref="E70:N70" si="18">EDATE(D70,-3)</f>
        <v>43800</v>
      </c>
      <c r="F70" s="2754">
        <f t="shared" si="18"/>
        <v>43709</v>
      </c>
      <c r="G70" s="2754">
        <f t="shared" si="18"/>
        <v>43617</v>
      </c>
      <c r="H70" s="2754">
        <f t="shared" si="18"/>
        <v>43525</v>
      </c>
      <c r="I70" s="2754">
        <f t="shared" si="18"/>
        <v>43435</v>
      </c>
      <c r="J70" s="2754">
        <f t="shared" si="18"/>
        <v>43344</v>
      </c>
      <c r="K70" s="2754">
        <f t="shared" si="18"/>
        <v>43252</v>
      </c>
      <c r="L70" s="2754">
        <f t="shared" si="18"/>
        <v>43160</v>
      </c>
      <c r="M70" s="2754">
        <f t="shared" si="18"/>
        <v>43070</v>
      </c>
      <c r="N70" s="2754">
        <f t="shared" si="18"/>
        <v>42979</v>
      </c>
      <c r="O70" s="2130"/>
      <c r="P70" s="2130"/>
      <c r="Q70" s="2130"/>
      <c r="R70" s="2130"/>
      <c r="S70" s="2130"/>
      <c r="T70" s="2130"/>
      <c r="U70" s="2130"/>
      <c r="V70" s="2130"/>
      <c r="W70" s="2130"/>
      <c r="X70" s="2130"/>
      <c r="Y70" s="2130"/>
      <c r="Z70" s="2130"/>
      <c r="AA70" s="2130"/>
      <c r="AB70" s="2130"/>
      <c r="AC70" s="2130"/>
    </row>
    <row r="71" spans="1:29" ht="22.2" thickBot="1">
      <c r="A71" s="1570" t="s">
        <v>574</v>
      </c>
      <c r="B71" s="1545"/>
      <c r="C71" s="1569"/>
      <c r="D71" s="1569"/>
      <c r="E71" s="1569"/>
      <c r="F71" s="1571"/>
      <c r="G71" s="1571"/>
      <c r="H71" s="1569"/>
      <c r="I71" s="1569"/>
      <c r="J71" s="1569"/>
      <c r="K71" s="1572"/>
      <c r="L71" s="1568"/>
      <c r="M71" s="1569"/>
      <c r="N71" s="1569"/>
      <c r="O71" s="2142"/>
      <c r="P71" s="2142"/>
      <c r="Q71" s="2143"/>
      <c r="R71" s="2130"/>
      <c r="S71" s="2130"/>
      <c r="T71" s="2130"/>
      <c r="U71" s="2130"/>
      <c r="V71" s="2130"/>
      <c r="W71" s="2130"/>
      <c r="X71" s="2130"/>
      <c r="Y71" s="2130"/>
      <c r="Z71" s="2130"/>
      <c r="AA71" s="2130"/>
      <c r="AB71" s="2130"/>
      <c r="AC71" s="2130"/>
    </row>
    <row r="72" spans="1:29" s="1342" customFormat="1" ht="14.4">
      <c r="A72" s="2532" t="s">
        <v>2527</v>
      </c>
      <c r="B72" s="2533"/>
      <c r="C72" s="2750" t="str">
        <f>YEAR(C70)&amp;"-"&amp;ROUNDUP(MONTH(C70)/3,0)</f>
        <v>2020-2</v>
      </c>
      <c r="D72" s="2756" t="str">
        <f>YEAR(D70)&amp;"-"&amp;ROUNDUP(MONTH(D70)/3,0)</f>
        <v>2020-1</v>
      </c>
      <c r="E72" s="2756" t="str">
        <f t="shared" ref="E72:N72" si="19">YEAR(E70)&amp;"-"&amp;ROUNDUP(MONTH(E70)/3,0)</f>
        <v>2019-4</v>
      </c>
      <c r="F72" s="2756" t="str">
        <f t="shared" si="19"/>
        <v>2019-3</v>
      </c>
      <c r="G72" s="2756" t="str">
        <f t="shared" si="19"/>
        <v>2019-2</v>
      </c>
      <c r="H72" s="2756" t="str">
        <f t="shared" si="19"/>
        <v>2019-1</v>
      </c>
      <c r="I72" s="2756" t="str">
        <f t="shared" si="19"/>
        <v>2018-4</v>
      </c>
      <c r="J72" s="2756" t="str">
        <f t="shared" si="19"/>
        <v>2018-3</v>
      </c>
      <c r="K72" s="2756" t="str">
        <f t="shared" si="19"/>
        <v>2018-2</v>
      </c>
      <c r="L72" s="2756" t="str">
        <f t="shared" si="19"/>
        <v>2018-1</v>
      </c>
      <c r="M72" s="2756" t="str">
        <f t="shared" si="19"/>
        <v>2017-4</v>
      </c>
      <c r="N72" s="2756" t="str">
        <f t="shared" si="19"/>
        <v>2017-3</v>
      </c>
      <c r="O72" s="2144"/>
      <c r="P72" s="2145"/>
      <c r="Q72" s="2146"/>
      <c r="R72" s="2146"/>
      <c r="S72" s="2146"/>
      <c r="T72" s="2146"/>
      <c r="U72" s="2146"/>
      <c r="V72" s="2146"/>
      <c r="W72" s="2146"/>
      <c r="X72" s="2146"/>
      <c r="Y72" s="2146"/>
      <c r="Z72" s="2146"/>
      <c r="AA72" s="2146"/>
      <c r="AB72" s="2146"/>
      <c r="AC72" s="2146"/>
    </row>
    <row r="73" spans="1:29" s="1215" customFormat="1" ht="27" customHeight="1">
      <c r="A73" s="2761" t="s">
        <v>2641</v>
      </c>
      <c r="B73" s="479" t="str">
        <f>"北京市平均增长率"&amp;TEXT(SUMIF(基准地价!N21:N25,A73,基准地价!P21:P25),"0.00%")</f>
        <v>北京市平均增长率1.85%</v>
      </c>
      <c r="C73" s="894">
        <v>100</v>
      </c>
      <c r="D73" s="730">
        <v>100</v>
      </c>
      <c r="E73" s="730">
        <v>100</v>
      </c>
      <c r="F73" s="730">
        <v>99.8</v>
      </c>
      <c r="G73" s="730">
        <v>99.8</v>
      </c>
      <c r="H73" s="730">
        <v>99.8</v>
      </c>
      <c r="I73" s="730">
        <v>99.6</v>
      </c>
      <c r="J73" s="730">
        <v>99.6</v>
      </c>
      <c r="K73" s="730">
        <v>99.6</v>
      </c>
      <c r="L73" s="730"/>
      <c r="M73" s="2748"/>
      <c r="N73" s="2749"/>
      <c r="O73" s="2147"/>
      <c r="P73" s="2143"/>
      <c r="Q73" s="1978"/>
      <c r="R73" s="1978"/>
      <c r="S73" s="1978"/>
      <c r="T73" s="1978"/>
      <c r="U73" s="1978"/>
      <c r="V73" s="1978"/>
      <c r="W73" s="1978"/>
      <c r="X73" s="1978"/>
      <c r="Y73" s="1978"/>
      <c r="Z73" s="1978"/>
      <c r="AA73" s="1978"/>
      <c r="AB73" s="1978"/>
      <c r="AC73" s="1978"/>
    </row>
    <row r="74" spans="1:29" s="1215" customFormat="1" ht="15" customHeight="1" thickBot="1">
      <c r="A74" s="2752" t="s">
        <v>2640</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5" customFormat="1" ht="14.4">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5" customFormat="1" ht="14.4"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ht="14.4">
      <c r="A77" s="664" t="s">
        <v>577</v>
      </c>
      <c r="B77" s="665" t="s">
        <v>534</v>
      </c>
      <c r="C77" s="598"/>
      <c r="D77" s="59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1"/>
      <c r="D78" s="671"/>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9.4"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c r="A82" s="669"/>
      <c r="B82" s="683"/>
      <c r="C82" s="541">
        <v>0</v>
      </c>
      <c r="D82" s="541">
        <v>1</v>
      </c>
      <c r="E82" s="541">
        <v>2</v>
      </c>
      <c r="F82" s="541">
        <v>3</v>
      </c>
      <c r="G82" s="541">
        <v>4</v>
      </c>
      <c r="H82" s="541">
        <v>5</v>
      </c>
      <c r="I82" s="541">
        <v>6</v>
      </c>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4.4" thickBot="1">
      <c r="A83" s="669"/>
      <c r="B83" s="670"/>
      <c r="C83" s="679">
        <v>100</v>
      </c>
      <c r="D83" s="679">
        <f>IF($B$48="单位面积地价",C83+$K13,C83-$K13)</f>
        <v>92</v>
      </c>
      <c r="E83" s="679">
        <f t="shared" ref="E83:M83" si="21">IF($B$48="单位面积地价",D83+$K13,D83-$K13)</f>
        <v>84</v>
      </c>
      <c r="F83" s="679">
        <f t="shared" si="21"/>
        <v>76</v>
      </c>
      <c r="G83" s="679">
        <f t="shared" si="21"/>
        <v>68</v>
      </c>
      <c r="H83" s="679">
        <f t="shared" si="21"/>
        <v>60</v>
      </c>
      <c r="I83" s="679">
        <f t="shared" si="21"/>
        <v>52</v>
      </c>
      <c r="J83" s="679">
        <f t="shared" si="21"/>
        <v>44</v>
      </c>
      <c r="K83" s="679">
        <f t="shared" si="21"/>
        <v>36</v>
      </c>
      <c r="L83" s="679">
        <f t="shared" si="21"/>
        <v>28</v>
      </c>
      <c r="M83" s="679">
        <f t="shared" si="21"/>
        <v>20</v>
      </c>
      <c r="N83" s="2151"/>
      <c r="O83" s="2151"/>
      <c r="P83" s="2150"/>
      <c r="Q83" s="2143"/>
      <c r="R83" s="2130"/>
      <c r="S83" s="2130"/>
      <c r="T83" s="2130"/>
      <c r="U83" s="2130"/>
      <c r="V83" s="2130"/>
      <c r="W83" s="2130"/>
      <c r="X83" s="2130"/>
      <c r="Y83" s="2130"/>
      <c r="Z83" s="2130"/>
      <c r="AA83" s="2130"/>
      <c r="AB83" s="2130"/>
      <c r="AC83" s="2130"/>
    </row>
    <row r="84" spans="1:29" s="1334" customFormat="1" ht="15" thickTop="1">
      <c r="A84" s="687"/>
      <c r="B84" s="673" t="str">
        <f>B14</f>
        <v>配建</v>
      </c>
      <c r="C84" s="688"/>
      <c r="D84" s="1371"/>
      <c r="E84" s="1372"/>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4" customFormat="1" ht="14.4"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4" customFormat="1" ht="14.4"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4" customFormat="1" ht="14.4"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4" customFormat="1" ht="14.4"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ht="14.4">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4.4" thickBot="1">
      <c r="A91" s="669"/>
      <c r="B91" s="678"/>
      <c r="C91" s="679">
        <v>100</v>
      </c>
      <c r="D91" s="679">
        <f>C91-$K17</f>
        <v>100</v>
      </c>
      <c r="E91" s="679">
        <f>D91-$K17</f>
        <v>100</v>
      </c>
      <c r="F91" s="679">
        <f>E91-$K17</f>
        <v>100</v>
      </c>
      <c r="G91" s="679">
        <f>F91-$K17</f>
        <v>100</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79">
        <v>100</v>
      </c>
      <c r="D97" s="679">
        <f>C97-$K23</f>
        <v>100</v>
      </c>
      <c r="E97" s="679">
        <f>D97-$K23</f>
        <v>100</v>
      </c>
      <c r="F97" s="679">
        <f>E97-$K23</f>
        <v>100</v>
      </c>
      <c r="G97" s="679">
        <f>F97-$K23</f>
        <v>100</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5" customFormat="1" ht="29.4"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5" customFormat="1" ht="14.4" thickBot="1">
      <c r="A99" s="709"/>
      <c r="B99" s="678"/>
      <c r="C99" s="712">
        <v>100</v>
      </c>
      <c r="D99" s="679">
        <f>C99-$K25</f>
        <v>100</v>
      </c>
      <c r="E99" s="679">
        <f>D99-$K25</f>
        <v>100</v>
      </c>
      <c r="F99" s="679">
        <f>E99-$K25</f>
        <v>100</v>
      </c>
      <c r="G99" s="679">
        <f>F99-$K25</f>
        <v>100</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5" customFormat="1" ht="29.4"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5" customFormat="1" ht="14.4" thickBot="1">
      <c r="A101" s="709"/>
      <c r="B101" s="678"/>
      <c r="C101" s="679">
        <v>100</v>
      </c>
      <c r="D101" s="679">
        <f>C101-$K27</f>
        <v>100</v>
      </c>
      <c r="E101" s="679">
        <f>D101-$K27</f>
        <v>100</v>
      </c>
      <c r="F101" s="679">
        <f>E101-$K27</f>
        <v>100</v>
      </c>
      <c r="G101" s="679">
        <f>F101-$K27</f>
        <v>100</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4" customFormat="1" ht="15" thickTop="1">
      <c r="A102" s="687"/>
      <c r="B102" s="1881" t="s">
        <v>2543</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4" customFormat="1" ht="14.4" thickBot="1">
      <c r="A103" s="687"/>
      <c r="B103" s="678"/>
      <c r="C103" s="679">
        <v>100</v>
      </c>
      <c r="D103" s="679">
        <f>C103-$K29</f>
        <v>100</v>
      </c>
      <c r="E103" s="679">
        <f>D103-$K29</f>
        <v>100</v>
      </c>
      <c r="F103" s="679">
        <f>E103-$K29</f>
        <v>100</v>
      </c>
      <c r="G103" s="679">
        <f>F103-$K29</f>
        <v>100</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4" customFormat="1" ht="15" thickTop="1">
      <c r="A104" s="687"/>
      <c r="B104" s="2561" t="s">
        <v>2545</v>
      </c>
      <c r="C104" s="2562" t="s">
        <v>2546</v>
      </c>
      <c r="D104" s="2562" t="s">
        <v>2547</v>
      </c>
      <c r="E104" s="2562" t="s">
        <v>2548</v>
      </c>
      <c r="F104" s="2562" t="s">
        <v>2549</v>
      </c>
      <c r="G104" s="2562" t="s">
        <v>2550</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4" customFormat="1" ht="14.4" thickBot="1">
      <c r="A105" s="687"/>
      <c r="B105" s="681"/>
      <c r="C105" s="679">
        <v>100</v>
      </c>
      <c r="D105" s="679">
        <f>C105-$K31</f>
        <v>100</v>
      </c>
      <c r="E105" s="679">
        <f>D105-$K31</f>
        <v>100</v>
      </c>
      <c r="F105" s="679">
        <f>E105-$K31</f>
        <v>100</v>
      </c>
      <c r="G105" s="679">
        <f>F105-$K31</f>
        <v>100</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1"/>
      <c r="O107" s="2151"/>
      <c r="P107" s="2150"/>
      <c r="Q107" s="2143"/>
      <c r="R107" s="2130"/>
      <c r="S107" s="2130"/>
      <c r="T107" s="2130"/>
      <c r="U107" s="2130"/>
      <c r="V107" s="2130"/>
      <c r="W107" s="2130"/>
      <c r="X107" s="2130"/>
      <c r="Y107" s="2130"/>
      <c r="Z107" s="2130"/>
      <c r="AA107" s="2130"/>
      <c r="AB107" s="2130"/>
      <c r="AC107" s="2130"/>
    </row>
    <row r="108" spans="1:29" ht="29.4" thickTop="1">
      <c r="A108" s="669"/>
      <c r="B108" s="673" t="s">
        <v>548</v>
      </c>
      <c r="C108" s="688"/>
      <c r="D108" s="688"/>
      <c r="E108" s="688"/>
      <c r="F108" s="688"/>
      <c r="G108" s="688"/>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1"/>
      <c r="O109" s="2151"/>
      <c r="P109" s="2150"/>
      <c r="Q109" s="2143"/>
      <c r="R109" s="2130"/>
      <c r="S109" s="2130"/>
      <c r="T109" s="2130"/>
      <c r="U109" s="2130"/>
      <c r="V109" s="2130"/>
      <c r="W109" s="2130"/>
      <c r="X109" s="2130"/>
      <c r="Y109" s="2130"/>
      <c r="Z109" s="2130"/>
      <c r="AA109" s="2130"/>
      <c r="AB109" s="2130"/>
      <c r="AC109" s="2130"/>
    </row>
    <row r="110" spans="1:29" ht="1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4.4"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4.4"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4" customFormat="1" ht="14.4"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4" customFormat="1" ht="14.4"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7.6">
      <c r="A118" s="664" t="s">
        <v>551</v>
      </c>
      <c r="B118" s="665" t="s">
        <v>593</v>
      </c>
      <c r="C118" s="704" t="str">
        <f t="shared" ref="C118:L118" si="25">C119&amp;"(含)"&amp;"-"&amp;D119</f>
        <v>0(含)-5000</v>
      </c>
      <c r="D118" s="704" t="str">
        <f t="shared" si="25"/>
        <v>5000(含)-10000</v>
      </c>
      <c r="E118" s="704" t="str">
        <f t="shared" si="25"/>
        <v>10000(含)-50000</v>
      </c>
      <c r="F118" s="704" t="str">
        <f t="shared" si="25"/>
        <v>50000(含)-</v>
      </c>
      <c r="G118" s="704" t="str">
        <f t="shared" si="25"/>
        <v>(含)-</v>
      </c>
      <c r="H118" s="704" t="str">
        <f t="shared" si="25"/>
        <v>(含)-</v>
      </c>
      <c r="I118" s="704" t="str">
        <f t="shared" si="25"/>
        <v>(含)-</v>
      </c>
      <c r="J118" s="3038" t="str">
        <f t="shared" si="25"/>
        <v>(含)-</v>
      </c>
      <c r="K118" s="3038" t="str">
        <f t="shared" si="25"/>
        <v>(含)-</v>
      </c>
      <c r="L118" s="3039" t="str">
        <f t="shared" si="25"/>
        <v>(含)-</v>
      </c>
      <c r="M118" s="3040"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c r="A119" s="669"/>
      <c r="B119" s="681"/>
      <c r="C119" s="730">
        <v>0</v>
      </c>
      <c r="D119" s="730">
        <v>5000</v>
      </c>
      <c r="E119" s="730">
        <v>10000</v>
      </c>
      <c r="F119" s="730">
        <v>50000</v>
      </c>
      <c r="G119" s="730"/>
      <c r="H119" s="730"/>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4.4" thickBot="1">
      <c r="A120" s="669"/>
      <c r="B120" s="678"/>
      <c r="C120" s="700">
        <v>100</v>
      </c>
      <c r="D120" s="726">
        <v>101</v>
      </c>
      <c r="E120" s="726">
        <v>102</v>
      </c>
      <c r="F120" s="726">
        <v>103</v>
      </c>
      <c r="G120" s="726"/>
      <c r="H120" s="726"/>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718"/>
      <c r="D121" s="718"/>
      <c r="E121" s="718"/>
      <c r="F121" s="718"/>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4.4"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4" customFormat="1" ht="15" thickTop="1">
      <c r="A125" s="728"/>
      <c r="B125" s="1881" t="s">
        <v>2420</v>
      </c>
      <c r="C125" s="1371"/>
      <c r="D125" s="1371"/>
      <c r="E125" s="1371"/>
      <c r="F125" s="1371"/>
      <c r="G125" s="1371"/>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4" customFormat="1" ht="14.4"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688"/>
      <c r="D127" s="688"/>
      <c r="E127" s="718"/>
      <c r="F127" s="718"/>
      <c r="G127" s="718"/>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4.4"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51"/>
      <c r="O128" s="2151"/>
      <c r="P128" s="2150"/>
      <c r="Q128" s="2143"/>
      <c r="R128" s="2130"/>
      <c r="S128" s="2130"/>
      <c r="T128" s="2130"/>
      <c r="U128" s="2130"/>
      <c r="V128" s="2130"/>
      <c r="W128" s="2130"/>
      <c r="X128" s="2130"/>
      <c r="Y128" s="2130"/>
      <c r="Z128" s="2130"/>
      <c r="AA128" s="2130"/>
      <c r="AB128" s="2130"/>
      <c r="AC128" s="2130"/>
    </row>
    <row r="129" spans="1:29" ht="14.4"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4.4"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4.4"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4" customFormat="1" ht="14.4"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4" customFormat="1" ht="14.4"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3"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3"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3"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3"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3"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3"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3"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3"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3"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3"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3"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3"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3"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3"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3"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3"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3"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3"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3"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3"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3"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3"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3"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3"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3"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3"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3"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3"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3"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3"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3"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3"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3"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3"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3"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3"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3"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3"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3"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3"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3"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3"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3"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3"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3"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3"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3"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3"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3"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3"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3"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3"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3"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3"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3"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3"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3"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3"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3"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3"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3"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3"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3"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3"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3"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3"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3"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3"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3"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3"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3"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3"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3"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3"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3"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3"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3"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3"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3"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3"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3"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3"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3"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3"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3"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3"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3"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3"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3"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3"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3"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3"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3"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3"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3"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3"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3"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3"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3"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3"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3"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3"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3"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3"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3"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3"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3"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3"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3"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3"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3"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3"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3"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3"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3"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3"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3"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3"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3"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3"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3"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3" customFormat="1">
      <c r="K256" s="1574"/>
      <c r="L256" s="1575"/>
    </row>
    <row r="257" spans="11:12" s="1573" customFormat="1">
      <c r="K257" s="1574"/>
      <c r="L257" s="1575"/>
    </row>
    <row r="258" spans="11:12" s="1573" customFormat="1">
      <c r="K258" s="1574"/>
      <c r="L258" s="1575"/>
    </row>
    <row r="259" spans="11:12" s="1573" customFormat="1">
      <c r="K259" s="1574"/>
      <c r="L259" s="157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40" customWidth="1"/>
    <col min="2" max="2" width="10.77734375" style="1640" customWidth="1"/>
    <col min="3" max="4" width="11.6640625" style="1640" customWidth="1"/>
    <col min="5" max="5" width="6.6640625" style="1640" customWidth="1"/>
    <col min="6" max="16384" width="9" style="1640"/>
  </cols>
  <sheetData>
    <row r="36" spans="1:9">
      <c r="A36" s="1639" t="s">
        <v>1899</v>
      </c>
      <c r="B36" s="1639" t="s">
        <v>1900</v>
      </c>
    </row>
    <row r="37" spans="1:9" ht="28.5" customHeight="1">
      <c r="A37" s="1639"/>
      <c r="B37" s="3200" t="str">
        <f>项目基本情况!B1</f>
        <v>太原市尖草坪区大东流村出让国有建设用地使用权抵押价格预评估</v>
      </c>
      <c r="C37" s="3200"/>
      <c r="D37" s="3200"/>
      <c r="E37" s="3200"/>
      <c r="F37" s="3200"/>
      <c r="G37" s="3200"/>
      <c r="H37" s="3200"/>
      <c r="I37" s="3200"/>
    </row>
    <row r="38" spans="1:9">
      <c r="A38" s="1641"/>
      <c r="B38" s="1641"/>
    </row>
    <row r="39" spans="1:9">
      <c r="A39" s="1639" t="s">
        <v>1899</v>
      </c>
      <c r="B39" s="1639" t="s">
        <v>2042</v>
      </c>
    </row>
    <row r="40" spans="1:9">
      <c r="A40" s="1639"/>
      <c r="B40" s="1639">
        <f>项目基本情况!B5</f>
        <v>0</v>
      </c>
    </row>
    <row r="41" spans="1:9">
      <c r="A41" s="1639"/>
      <c r="B41" s="1639"/>
    </row>
    <row r="42" spans="1:9">
      <c r="A42" s="1639" t="s">
        <v>1899</v>
      </c>
      <c r="B42" s="1639" t="s">
        <v>2043</v>
      </c>
    </row>
    <row r="43" spans="1:9">
      <c r="A43" s="1639"/>
      <c r="B43" s="1639" t="s">
        <v>1901</v>
      </c>
    </row>
    <row r="44" spans="1:9">
      <c r="A44" s="1639"/>
      <c r="B44" s="1639"/>
    </row>
    <row r="45" spans="1:9">
      <c r="A45" s="1639" t="s">
        <v>1899</v>
      </c>
      <c r="B45" s="1639" t="s">
        <v>2041</v>
      </c>
    </row>
    <row r="46" spans="1:9" s="1639" customFormat="1">
      <c r="B46" s="1639" t="str">
        <f>项目基本情况!K4</f>
        <v>土地估价师、土地估价师</v>
      </c>
    </row>
    <row r="47" spans="1:9">
      <c r="A47" s="1639"/>
      <c r="B47" s="1639"/>
    </row>
    <row r="48" spans="1:9">
      <c r="A48" s="1639" t="s">
        <v>1899</v>
      </c>
      <c r="B48" s="1639" t="s">
        <v>2044</v>
      </c>
    </row>
    <row r="49" spans="2:2">
      <c r="B49" s="163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G40" sqref="G40"/>
    </sheetView>
  </sheetViews>
  <sheetFormatPr defaultColWidth="6.6640625" defaultRowHeight="13.2"/>
  <cols>
    <col min="1" max="1" width="9.77734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11.66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31" s="2026" customFormat="1" ht="21">
      <c r="A1" s="2088" t="s">
        <v>466</v>
      </c>
      <c r="B1" s="2764"/>
      <c r="C1" s="2089"/>
      <c r="D1" s="2089"/>
      <c r="E1" s="2089"/>
      <c r="F1" s="2089"/>
      <c r="G1" s="2089"/>
      <c r="H1" s="2089"/>
      <c r="I1" s="2089"/>
      <c r="J1" s="2089"/>
      <c r="K1" s="422">
        <f>MATCH(B1,'数据-取费表'!A6:A16,0)+5</f>
        <v>8</v>
      </c>
    </row>
    <row r="2" spans="1:31" s="2026" customFormat="1" ht="18" customHeight="1">
      <c r="A2" s="2086" t="s">
        <v>467</v>
      </c>
      <c r="B2" s="2090">
        <f ca="1">C36</f>
        <v>22321</v>
      </c>
      <c r="C2" s="2089"/>
      <c r="D2" s="2089"/>
      <c r="E2" s="2089"/>
      <c r="F2" s="2089"/>
      <c r="G2" s="2089"/>
      <c r="H2" s="2089"/>
      <c r="I2" s="2089"/>
      <c r="J2" s="2089"/>
      <c r="K2" s="2089"/>
    </row>
    <row r="3" spans="1:31" s="2026" customFormat="1" ht="18" customHeight="1">
      <c r="A3" s="2091" t="s">
        <v>1682</v>
      </c>
      <c r="B3" s="2092">
        <f ca="1">ROUND(B2*10000/IF(B1="",'数据-汇总表'!E3,INDIRECT("'数据-取费表'!K"&amp;$K$1)),0)</f>
        <v>2027</v>
      </c>
      <c r="C3" s="2089"/>
      <c r="D3" s="2089"/>
      <c r="E3" s="2089"/>
      <c r="F3" s="2089"/>
      <c r="G3" s="2089"/>
      <c r="H3" s="2089"/>
      <c r="I3" s="2089"/>
      <c r="J3" s="2089"/>
      <c r="K3" s="2089"/>
    </row>
    <row r="4" spans="1:31" s="2026" customFormat="1" ht="18" customHeight="1">
      <c r="A4" s="426" t="s">
        <v>468</v>
      </c>
      <c r="B4" s="427">
        <f ca="1">ROUND(B2*10000/IF(B1="",'数据-汇总表'!D3,INDIRECT("'数据-取费表'!R"&amp;$K$1)),0)</f>
        <v>16276</v>
      </c>
      <c r="C4" s="428"/>
      <c r="D4" s="422"/>
      <c r="E4" s="422"/>
      <c r="F4" s="422"/>
      <c r="G4" s="422"/>
      <c r="H4" s="422"/>
      <c r="I4" s="422"/>
      <c r="J4" s="422"/>
      <c r="K4" s="422"/>
    </row>
    <row r="5" spans="1:31" s="2026" customFormat="1" ht="18" customHeight="1" thickBot="1">
      <c r="A5" s="429"/>
      <c r="B5" s="430">
        <f ca="1">ROUND(B2/(IF(B1="",'数据-汇总表'!D3,INDIRECT("'数据-取费表'!R"&amp;$K$1))/666.67),0)</f>
        <v>1085</v>
      </c>
      <c r="C5" s="431" t="s">
        <v>469</v>
      </c>
      <c r="D5" s="422"/>
      <c r="E5" s="422"/>
      <c r="F5" s="422"/>
      <c r="G5" s="422"/>
      <c r="H5" s="422"/>
      <c r="I5" s="422"/>
      <c r="J5" s="422"/>
      <c r="K5" s="422"/>
    </row>
    <row r="6" spans="1:31" s="2096" customFormat="1" ht="16.5" customHeight="1">
      <c r="A6" s="2783" t="s">
        <v>1840</v>
      </c>
      <c r="B6" s="2784"/>
      <c r="C6" s="2785">
        <f ca="1">SUM(C10:K10)</f>
        <v>71360</v>
      </c>
      <c r="D6" s="2784"/>
      <c r="E6" s="2784"/>
      <c r="F6" s="2784"/>
      <c r="G6" s="2784"/>
      <c r="H6" s="2784"/>
      <c r="I6" s="2784"/>
      <c r="J6" s="2784"/>
      <c r="K6" s="2786"/>
    </row>
    <row r="7" spans="1:31" s="2098" customFormat="1" ht="14.4">
      <c r="A7" s="2787" t="s">
        <v>470</v>
      </c>
      <c r="B7" s="2788" t="s">
        <v>471</v>
      </c>
      <c r="C7" s="436" t="s">
        <v>3012</v>
      </c>
      <c r="D7" s="436" t="s">
        <v>3003</v>
      </c>
      <c r="E7" s="436"/>
      <c r="F7" s="436"/>
      <c r="G7" s="436"/>
      <c r="H7" s="436"/>
      <c r="I7" s="436"/>
      <c r="J7" s="436"/>
      <c r="K7" s="437"/>
      <c r="L7" s="2097">
        <v>1060</v>
      </c>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1843</v>
      </c>
      <c r="B8" s="261" t="s">
        <v>472</v>
      </c>
      <c r="C8" s="2789">
        <v>9000</v>
      </c>
      <c r="D8" s="2789">
        <f ca="1">不动产收益法!B3</f>
        <v>1013</v>
      </c>
      <c r="E8" s="2789"/>
      <c r="F8" s="2789"/>
      <c r="G8" s="2789"/>
      <c r="H8" s="2789"/>
      <c r="I8" s="2789"/>
      <c r="J8" s="2789"/>
      <c r="K8" s="2790"/>
      <c r="L8" s="2099">
        <f ca="1">D10/L7</f>
        <v>3.2358490566037736</v>
      </c>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1844</v>
      </c>
      <c r="B9" s="261" t="s">
        <v>473</v>
      </c>
      <c r="C9" s="441">
        <f>SUMIF('数据-汇总表'!$C19:$C33,'剩余法-待开发'!C7,'数据-汇总表'!$E19:$E33)</f>
        <v>75478</v>
      </c>
      <c r="D9" s="441">
        <f>SUMIF('数据-汇总表'!$C19:$C33,'剩余法-待开发'!D7,'数据-汇总表'!$E19:$E33)</f>
        <v>33875</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1845</v>
      </c>
      <c r="B10" s="2777" t="s">
        <v>474</v>
      </c>
      <c r="C10" s="2981">
        <f>ROUND(C8*C9/10000,0)</f>
        <v>67930</v>
      </c>
      <c r="D10" s="2981">
        <f ca="1">不动产收益法!B2</f>
        <v>3430</v>
      </c>
      <c r="E10" s="2981"/>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1841</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1846</v>
      </c>
      <c r="B13" s="2798" t="s">
        <v>479</v>
      </c>
      <c r="C13" s="450">
        <f ca="1">IF(B1="",'数据-取费表'!P16,INDIRECT("'数据-取费表'!p"&amp;$K$1)+INDIRECT("'数据-取费表'!t"&amp;$K$1))</f>
        <v>28062</v>
      </c>
      <c r="D13" s="2799"/>
      <c r="E13" s="2800"/>
      <c r="F13" s="2801"/>
      <c r="G13" s="2767"/>
      <c r="H13" s="2768"/>
      <c r="I13" s="2768"/>
      <c r="J13" s="2768"/>
      <c r="K13" s="2769"/>
    </row>
    <row r="14" spans="1:31" s="2101" customFormat="1" ht="13.5" customHeight="1">
      <c r="A14" s="2797" t="s">
        <v>1847</v>
      </c>
      <c r="B14" s="2798" t="s">
        <v>480</v>
      </c>
      <c r="C14" s="53">
        <f ca="1">ROUND(C13*F14,0)</f>
        <v>842</v>
      </c>
      <c r="D14" s="2799"/>
      <c r="E14" s="2800"/>
      <c r="F14" s="2802">
        <f>'数据-取费表'!B33</f>
        <v>0.03</v>
      </c>
      <c r="G14" s="2767" t="s">
        <v>481</v>
      </c>
      <c r="H14" s="2768"/>
      <c r="I14" s="2768"/>
      <c r="J14" s="2768"/>
      <c r="K14" s="2769"/>
    </row>
    <row r="15" spans="1:31" s="2101" customFormat="1" ht="13.5" customHeight="1">
      <c r="A15" s="2797" t="s">
        <v>1848</v>
      </c>
      <c r="B15" s="2798" t="s">
        <v>482</v>
      </c>
      <c r="C15" s="53">
        <f ca="1">ROUND(IF(B1="",SUMIF('数据-取费表'!C:C,"住宅",'数据-取费表'!P:P)*F15,IF(INDIRECT("'数据-取费表'!c"&amp;$K$1)="住宅",INDIRECT("'数据-取费表'!P"&amp;$K$1)*F15,0)),0)</f>
        <v>0</v>
      </c>
      <c r="D15" s="2799"/>
      <c r="E15" s="2800"/>
      <c r="F15" s="2802">
        <f>'数据-取费表'!B34</f>
        <v>0</v>
      </c>
      <c r="G15" s="2767" t="s">
        <v>483</v>
      </c>
      <c r="H15" s="2768"/>
      <c r="I15" s="2768"/>
      <c r="J15" s="2768"/>
      <c r="K15" s="2769"/>
    </row>
    <row r="16" spans="1:31" s="2102" customFormat="1" ht="13.5" customHeight="1">
      <c r="A16" s="2797" t="s">
        <v>1849</v>
      </c>
      <c r="B16" s="2798" t="s">
        <v>484</v>
      </c>
      <c r="C16" s="53">
        <f ca="1">ROUND(D16*E16/10000,0)</f>
        <v>2202</v>
      </c>
      <c r="D16" s="2799">
        <f ca="1">IF(B1="",'数据-汇总表'!E3,INDIRECT("'数据-取费表'!K"&amp;$K$1)+INDIRECT("'数据-取费表'!S"&amp;$K$1))</f>
        <v>110119</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1850</v>
      </c>
      <c r="B17" s="2798" t="s">
        <v>485</v>
      </c>
      <c r="C17" s="2803">
        <f ca="1">ROUND(C13*F17,0)</f>
        <v>421</v>
      </c>
      <c r="D17" s="475"/>
      <c r="E17" s="2803"/>
      <c r="F17" s="2804">
        <f>'数据-取费表'!B36</f>
        <v>1.4999999999999999E-2</v>
      </c>
      <c r="G17" s="261" t="s">
        <v>486</v>
      </c>
      <c r="H17" s="2770"/>
      <c r="I17" s="2770"/>
      <c r="J17" s="2770"/>
      <c r="K17" s="279"/>
    </row>
    <row r="18" spans="1:14" s="2101" customFormat="1" ht="13.5" customHeight="1">
      <c r="A18" s="2805" t="s">
        <v>1851</v>
      </c>
      <c r="B18" s="2806" t="s">
        <v>487</v>
      </c>
      <c r="C18" s="2807">
        <f ca="1">SUM(C13:C17)</f>
        <v>31527</v>
      </c>
      <c r="D18" s="2808"/>
      <c r="E18" s="468"/>
      <c r="F18" s="468"/>
      <c r="G18" s="2771" t="s">
        <v>2425</v>
      </c>
      <c r="H18" s="2772"/>
      <c r="I18" s="2772"/>
      <c r="J18" s="2772"/>
      <c r="K18" s="2773"/>
    </row>
    <row r="19" spans="1:14" s="2101" customFormat="1" ht="13.5" customHeight="1">
      <c r="A19" s="2805" t="s">
        <v>1852</v>
      </c>
      <c r="B19" s="2806" t="s">
        <v>488</v>
      </c>
      <c r="C19" s="2763">
        <f ca="1">ROUND(D19*E19/10000,0)</f>
        <v>2202</v>
      </c>
      <c r="D19" s="2809">
        <f ca="1">D16</f>
        <v>110119</v>
      </c>
      <c r="E19" s="2763">
        <f>'数据-取费表'!B32</f>
        <v>200</v>
      </c>
      <c r="F19" s="468"/>
      <c r="G19" s="2767" t="s">
        <v>489</v>
      </c>
      <c r="H19" s="2768"/>
      <c r="I19" s="2772"/>
      <c r="J19" s="2772"/>
      <c r="K19" s="2773"/>
    </row>
    <row r="20" spans="1:14" s="2101" customFormat="1" ht="13.5" customHeight="1">
      <c r="A20" s="2805" t="s">
        <v>1853</v>
      </c>
      <c r="B20" s="2806" t="s">
        <v>490</v>
      </c>
      <c r="C20" s="2763">
        <f ca="1">C21+C22-IF(B1="",'数据-取费表'!B29,IF(G20="已全部缴纳",C21+C22,H20))</f>
        <v>991</v>
      </c>
      <c r="D20" s="2809"/>
      <c r="E20" s="2763"/>
      <c r="F20" s="2810"/>
      <c r="G20" s="3034"/>
      <c r="H20" s="2765"/>
      <c r="I20" s="2766" t="s">
        <v>2645</v>
      </c>
      <c r="J20" s="2772"/>
      <c r="K20" s="2773"/>
    </row>
    <row r="21" spans="1:14" s="2101" customFormat="1" ht="13.5" customHeight="1">
      <c r="A21" s="2797" t="s">
        <v>1854</v>
      </c>
      <c r="B21" s="2798" t="s">
        <v>491</v>
      </c>
      <c r="C21" s="53">
        <f ca="1">ROUND(D21*E21/10000,0)</f>
        <v>0</v>
      </c>
      <c r="D21" s="2799">
        <f ca="1">IF(B1="",'数据-汇总表'!E5,IF(INDIRECT("'数据-取费表'!c"&amp;$K$1)="住宅",INDIRECT("'数据-取费表'!k"&amp;$K$1),0))</f>
        <v>0</v>
      </c>
      <c r="E21" s="53">
        <f>'数据-取费表'!B27</f>
        <v>90</v>
      </c>
      <c r="F21" s="2802"/>
      <c r="G21" s="26"/>
      <c r="H21" s="51"/>
      <c r="I21" s="51"/>
      <c r="J21" s="51"/>
      <c r="K21" s="2774"/>
    </row>
    <row r="22" spans="1:14" s="2101" customFormat="1" ht="13.5" customHeight="1">
      <c r="A22" s="2797" t="s">
        <v>1855</v>
      </c>
      <c r="B22" s="2798" t="s">
        <v>492</v>
      </c>
      <c r="C22" s="53">
        <f ca="1">ROUND(D22*E22/10000,0)</f>
        <v>991</v>
      </c>
      <c r="D22" s="2799">
        <f ca="1">IF(B1="",'数据-汇总表'!E6,IF(INDIRECT("'数据-取费表'!c"&amp;$K$1)="住宅",INDIRECT("'数据-取费表'!s"&amp;$K$1),INDIRECT("'数据-取费表'!k"&amp;$K$1)+INDIRECT("'数据-取费表'!s"&amp;$K$1)))</f>
        <v>110119</v>
      </c>
      <c r="E22" s="53">
        <f>'数据-取费表'!B28</f>
        <v>90</v>
      </c>
      <c r="F22" s="2802"/>
      <c r="G22" s="26"/>
      <c r="H22" s="51"/>
      <c r="I22" s="51"/>
      <c r="J22" s="51"/>
      <c r="K22" s="2774"/>
    </row>
    <row r="23" spans="1:14" s="2101" customFormat="1" ht="13.5" customHeight="1">
      <c r="A23" s="2805" t="s">
        <v>1856</v>
      </c>
      <c r="B23" s="2987" t="s">
        <v>2828</v>
      </c>
      <c r="C23" s="2807">
        <f ca="1">ROUND((C18+C19+C20)*F23,0)</f>
        <v>694</v>
      </c>
      <c r="D23" s="468"/>
      <c r="E23" s="468"/>
      <c r="F23" s="2811">
        <f>'数据-取费表'!B37</f>
        <v>0.02</v>
      </c>
      <c r="G23" s="2767" t="s">
        <v>2426</v>
      </c>
      <c r="H23" s="2768"/>
      <c r="I23" s="2768"/>
      <c r="J23" s="2768"/>
      <c r="K23" s="2769"/>
      <c r="L23" s="2103"/>
      <c r="M23" s="2103"/>
      <c r="N23" s="2103"/>
    </row>
    <row r="24" spans="1:14" s="2101" customFormat="1" ht="13.5" customHeight="1">
      <c r="A24" s="2805" t="s">
        <v>1857</v>
      </c>
      <c r="B24" s="2987" t="s">
        <v>2831</v>
      </c>
      <c r="C24" s="2807">
        <f ca="1">ROUND(C6*F24,0)</f>
        <v>1427</v>
      </c>
      <c r="D24" s="475"/>
      <c r="E24" s="473"/>
      <c r="F24" s="2811">
        <f>'数据-取费表'!B38</f>
        <v>0.02</v>
      </c>
      <c r="G24" s="2776" t="s">
        <v>499</v>
      </c>
      <c r="H24" s="2770"/>
      <c r="I24" s="2770"/>
      <c r="J24" s="2770"/>
      <c r="K24" s="279"/>
      <c r="L24" s="2103"/>
      <c r="M24" s="2103"/>
      <c r="N24" s="2103"/>
    </row>
    <row r="25" spans="1:14" s="2104" customFormat="1" ht="13.5" customHeight="1">
      <c r="A25" s="2805" t="s">
        <v>1858</v>
      </c>
      <c r="B25" s="2987" t="s">
        <v>2829</v>
      </c>
      <c r="C25" s="467">
        <f>ROUND(F25/(1+'数据-取费表'!C42),4)</f>
        <v>2.9000000000000001E-2</v>
      </c>
      <c r="D25" s="462" t="s">
        <v>2823</v>
      </c>
      <c r="E25" s="469"/>
      <c r="F25" s="2811">
        <f>IF(项目基本情况!B8="出让",0,'数据-取费表'!B48+'数据-取费表'!B49)</f>
        <v>3.0499999999999999E-2</v>
      </c>
      <c r="G25" s="2775" t="s">
        <v>2284</v>
      </c>
      <c r="H25" s="2768"/>
      <c r="I25" s="2768"/>
      <c r="J25" s="2768"/>
      <c r="K25" s="2769"/>
    </row>
    <row r="26" spans="1:14" s="2103" customFormat="1" ht="13.5" customHeight="1">
      <c r="A26" s="2805" t="s">
        <v>1859</v>
      </c>
      <c r="B26" s="2988" t="s">
        <v>2830</v>
      </c>
      <c r="C26" s="2812">
        <f ca="1">C28</f>
        <v>1305</v>
      </c>
      <c r="D26" s="467">
        <f ca="1">C27</f>
        <v>7.4200000000000002E-2</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1854</v>
      </c>
      <c r="B27" s="2813" t="s">
        <v>496</v>
      </c>
      <c r="C27" s="2814">
        <f ca="1">ROUND(IF('数据-取费表'!B22&lt;=1,(1+C25)*F26*'数据-取费表'!B24,(1+C25)*(POWER((1+F26),'数据-取费表'!B24)-1)),4)</f>
        <v>7.4200000000000002E-2</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1855</v>
      </c>
      <c r="B28" s="2813" t="s">
        <v>2832</v>
      </c>
      <c r="C28" s="2815">
        <f ca="1">ROUND(IF('数据-取费表'!B22&lt;=1,(C18+C19+C20+C23+C24)*F26*'数据-取费表'!B24/2,(C18+C19+C20+C23+C24)*(POWER((1+F26),'数据-取费表'!B24/2)-1)),0)</f>
        <v>1305</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1860</v>
      </c>
      <c r="B29" s="2806" t="s">
        <v>497</v>
      </c>
      <c r="C29" s="2807">
        <f ca="1">ROUND(C6*F29/(1+'数据-取费表'!C42),0)</f>
        <v>3806</v>
      </c>
      <c r="D29" s="468"/>
      <c r="E29" s="468"/>
      <c r="F29" s="2989">
        <f>'数据-取费表'!B41</f>
        <v>5.6000000000000001E-2</v>
      </c>
      <c r="G29" s="2776" t="s">
        <v>498</v>
      </c>
      <c r="H29" s="2768"/>
      <c r="I29" s="2768"/>
      <c r="J29" s="2768"/>
      <c r="K29" s="2769"/>
    </row>
    <row r="30" spans="1:14" s="2106" customFormat="1" ht="13.5" customHeight="1">
      <c r="A30" s="1620" t="s">
        <v>1861</v>
      </c>
      <c r="B30" s="2817" t="s">
        <v>500</v>
      </c>
      <c r="C30" s="2812">
        <f ca="1">C31</f>
        <v>41952</v>
      </c>
      <c r="D30" s="477">
        <f ca="1">C32</f>
        <v>0.1032</v>
      </c>
      <c r="E30" s="469" t="s">
        <v>495</v>
      </c>
      <c r="F30" s="471"/>
      <c r="G30" s="2775" t="s">
        <v>2967</v>
      </c>
      <c r="H30" s="2768"/>
      <c r="I30" s="2768"/>
      <c r="J30" s="2768"/>
      <c r="K30" s="2769"/>
    </row>
    <row r="31" spans="1:14" s="2105" customFormat="1" ht="13.5" customHeight="1">
      <c r="A31" s="803" t="s">
        <v>1854</v>
      </c>
      <c r="B31" s="2813"/>
      <c r="C31" s="450">
        <f ca="1">C18+C19+C20+C23+C24+C26+C29</f>
        <v>41952</v>
      </c>
      <c r="D31" s="472"/>
      <c r="E31" s="473"/>
      <c r="F31" s="474"/>
      <c r="G31" s="261"/>
      <c r="H31" s="2770"/>
      <c r="I31" s="2770"/>
      <c r="J31" s="2770"/>
      <c r="K31" s="279"/>
    </row>
    <row r="32" spans="1:14" s="2105" customFormat="1" ht="13.5" customHeight="1">
      <c r="A32" s="803" t="s">
        <v>1855</v>
      </c>
      <c r="B32" s="2813"/>
      <c r="C32" s="53">
        <f ca="1">ROUND(C25+D26,4)</f>
        <v>0.1032</v>
      </c>
      <c r="D32" s="472"/>
      <c r="E32" s="473"/>
      <c r="F32" s="474"/>
      <c r="G32" s="261"/>
      <c r="H32" s="2770"/>
      <c r="I32" s="2770"/>
      <c r="J32" s="2770"/>
      <c r="K32" s="279"/>
    </row>
    <row r="33" spans="1:11" s="2107" customFormat="1" ht="13.5" customHeight="1">
      <c r="A33" s="2986" t="s">
        <v>2827</v>
      </c>
      <c r="B33" s="2984" t="s">
        <v>2825</v>
      </c>
      <c r="C33" s="478">
        <f ca="1">C35</f>
        <v>2947</v>
      </c>
      <c r="D33" s="467">
        <f ca="1">C34</f>
        <v>8.2299999999999998E-2</v>
      </c>
      <c r="E33" s="469" t="s">
        <v>495</v>
      </c>
      <c r="F33" s="479">
        <f ca="1">IF(B1="",'数据-取费表'!Q16,INDIRECT("'数据-取费表'!q"&amp;$K$1))</f>
        <v>0.08</v>
      </c>
      <c r="G33" s="2771"/>
      <c r="H33" s="2772"/>
      <c r="I33" s="2772"/>
      <c r="J33" s="2772"/>
      <c r="K33" s="2773"/>
    </row>
    <row r="34" spans="1:11" s="2108" customFormat="1" ht="13.5" customHeight="1">
      <c r="A34" s="375" t="s">
        <v>1854</v>
      </c>
      <c r="B34" s="2818" t="s">
        <v>501</v>
      </c>
      <c r="C34" s="472">
        <f ca="1">ROUND((1+C25)*F33,4)</f>
        <v>8.2299999999999998E-2</v>
      </c>
      <c r="D34" s="472"/>
      <c r="E34" s="473"/>
      <c r="F34" s="480"/>
      <c r="G34" s="261" t="s">
        <v>2285</v>
      </c>
      <c r="H34" s="2770"/>
      <c r="I34" s="2770"/>
      <c r="J34" s="2770"/>
      <c r="K34" s="279"/>
    </row>
    <row r="35" spans="1:11" s="2108" customFormat="1" ht="13.5" customHeight="1" thickBot="1">
      <c r="A35" s="1621" t="s">
        <v>1855</v>
      </c>
      <c r="B35" s="2985" t="s">
        <v>2833</v>
      </c>
      <c r="C35" s="1613">
        <f ca="1">ROUND((C18+C19+C20+C23+C24)*F33,0)</f>
        <v>2947</v>
      </c>
      <c r="D35" s="1614"/>
      <c r="E35" s="2819"/>
      <c r="F35" s="1615"/>
      <c r="G35" s="2777"/>
      <c r="H35" s="2778"/>
      <c r="I35" s="2778"/>
      <c r="J35" s="2778"/>
      <c r="K35" s="2779"/>
    </row>
    <row r="36" spans="1:11" s="2070" customFormat="1" ht="13.5" customHeight="1" thickBot="1">
      <c r="A36" s="284" t="s">
        <v>1842</v>
      </c>
      <c r="B36" s="2781"/>
      <c r="C36" s="2820">
        <f ca="1">ROUND((C6-C30-C33)/(1+D30+D33),0)</f>
        <v>22321</v>
      </c>
      <c r="D36" s="2781"/>
      <c r="E36" s="2781"/>
      <c r="F36" s="2781"/>
      <c r="G36" s="2780" t="s">
        <v>2834</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640625" defaultRowHeight="13.2"/>
  <cols>
    <col min="1" max="1" width="10.109375" style="2109" customWidth="1"/>
    <col min="2" max="2" width="25.77734375" style="2099" customWidth="1"/>
    <col min="3" max="3" width="10.33203125" style="2110" customWidth="1"/>
    <col min="4" max="4" width="12" style="2099" customWidth="1"/>
    <col min="5" max="5" width="9.44140625" style="2109" customWidth="1"/>
    <col min="6" max="6" width="10.109375" style="2099" customWidth="1"/>
    <col min="7" max="7" width="9.44140625" style="2099" customWidth="1"/>
    <col min="8" max="8" width="10" style="2099" customWidth="1"/>
    <col min="9" max="11" width="9.44140625" style="2099" customWidth="1"/>
    <col min="12" max="12" width="9" style="2099" customWidth="1"/>
    <col min="13" max="13" width="10.44140625" style="2099" bestFit="1" customWidth="1"/>
    <col min="14" max="254" width="9" style="2099" customWidth="1"/>
    <col min="255" max="16384" width="6.6640625" style="2099"/>
  </cols>
  <sheetData>
    <row r="1" spans="1:41" s="2026" customFormat="1" ht="21">
      <c r="A1" s="421" t="s">
        <v>466</v>
      </c>
      <c r="B1" s="2764"/>
      <c r="C1" s="2089"/>
      <c r="D1" s="2089"/>
      <c r="E1" s="2089"/>
      <c r="F1" s="2089"/>
      <c r="G1" s="2089"/>
      <c r="H1" s="2089"/>
      <c r="I1" s="2089"/>
      <c r="J1" s="2089"/>
      <c r="K1" s="422">
        <f>MATCH(B1,'数据-取费表'!A6:A16,0)+5</f>
        <v>8</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5" t="s">
        <v>1682</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2646</v>
      </c>
      <c r="B6" s="433"/>
      <c r="C6" s="1608">
        <f>SUM(C10:K10)</f>
        <v>0</v>
      </c>
      <c r="D6" s="2094"/>
      <c r="E6" s="2094"/>
      <c r="F6" s="2094"/>
      <c r="G6" s="2094"/>
      <c r="H6" s="2094"/>
      <c r="I6" s="2094"/>
      <c r="J6" s="2094"/>
      <c r="K6" s="2095"/>
    </row>
    <row r="7" spans="1:41" s="2098" customFormat="1" ht="14.4">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6" t="s">
        <v>1843</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6"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7" t="s">
        <v>1845</v>
      </c>
      <c r="B10" s="1609" t="s">
        <v>474</v>
      </c>
      <c r="C10" s="1610"/>
      <c r="D10" s="1610"/>
      <c r="E10" s="1610"/>
      <c r="F10" s="1611"/>
      <c r="G10" s="1611"/>
      <c r="H10" s="1611"/>
      <c r="I10" s="1611"/>
      <c r="J10" s="1611"/>
      <c r="K10" s="1612"/>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5" t="s">
        <v>1862</v>
      </c>
      <c r="B11" s="1606"/>
      <c r="C11" s="1606"/>
      <c r="D11" s="1606"/>
      <c r="E11" s="1606"/>
      <c r="F11" s="1606"/>
      <c r="G11" s="1606"/>
      <c r="H11" s="1606"/>
      <c r="I11" s="1606"/>
      <c r="J11" s="1606"/>
      <c r="K11" s="1607"/>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8" t="s">
        <v>1846</v>
      </c>
      <c r="B13" s="449" t="s">
        <v>479</v>
      </c>
      <c r="C13" s="450">
        <f ca="1">IF(B1="",'数据-取费表'!M16,INDIRECT("'数据-取费表'!M"&amp;$K$1)+INDIRECT("'数据-取费表'!t"&amp;$K$1))</f>
        <v>28062</v>
      </c>
      <c r="D13" s="451"/>
      <c r="E13" s="365"/>
      <c r="F13" s="452"/>
      <c r="G13" s="444"/>
      <c r="H13" s="447"/>
      <c r="I13" s="447"/>
      <c r="J13" s="447"/>
      <c r="K13" s="448"/>
    </row>
    <row r="14" spans="1:41" s="2101" customFormat="1" ht="13.5" customHeight="1">
      <c r="A14" s="1618" t="s">
        <v>1847</v>
      </c>
      <c r="B14" s="449" t="s">
        <v>480</v>
      </c>
      <c r="C14" s="53">
        <f ca="1">ROUND(C13*F14,0)</f>
        <v>842</v>
      </c>
      <c r="D14" s="451"/>
      <c r="E14" s="365"/>
      <c r="F14" s="453">
        <f>'数据-取费表'!B33</f>
        <v>0.03</v>
      </c>
      <c r="G14" s="444" t="s">
        <v>502</v>
      </c>
      <c r="H14" s="447"/>
      <c r="I14" s="447"/>
      <c r="J14" s="447"/>
      <c r="K14" s="448"/>
    </row>
    <row r="15" spans="1:41" s="2101" customFormat="1" ht="13.5" customHeight="1">
      <c r="A15" s="1618" t="s">
        <v>1848</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02" customFormat="1" ht="13.5" customHeight="1">
      <c r="A16" s="1618" t="s">
        <v>1849</v>
      </c>
      <c r="B16" s="449" t="s">
        <v>484</v>
      </c>
      <c r="C16" s="53">
        <f ca="1">ROUND(D16*E16/10000,0)</f>
        <v>2202</v>
      </c>
      <c r="D16" s="451">
        <f ca="1">IF(B1="",'数据-汇总表'!E3,INDIRECT("'数据-取费表'!K"&amp;$K$1)+INDIRECT("'数据-取费表'!S"&amp;$K$1))</f>
        <v>110119</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8" t="s">
        <v>1850</v>
      </c>
      <c r="B17" s="449" t="s">
        <v>485</v>
      </c>
      <c r="C17" s="454">
        <f ca="1">ROUND(C13*F17,0)</f>
        <v>421</v>
      </c>
      <c r="D17" s="455"/>
      <c r="E17" s="454"/>
      <c r="F17" s="456">
        <f>'数据-取费表'!B36</f>
        <v>1.4999999999999999E-2</v>
      </c>
      <c r="G17" s="444" t="s">
        <v>502</v>
      </c>
      <c r="H17" s="457"/>
      <c r="I17" s="457"/>
      <c r="J17" s="457"/>
      <c r="K17" s="458"/>
    </row>
    <row r="18" spans="1:14" s="2104" customFormat="1" ht="13.5" customHeight="1">
      <c r="A18" s="1619" t="s">
        <v>1851</v>
      </c>
      <c r="B18" s="459" t="s">
        <v>487</v>
      </c>
      <c r="C18" s="460">
        <f ca="1">SUM(C13:C17)</f>
        <v>31527</v>
      </c>
      <c r="D18" s="461"/>
      <c r="E18" s="462"/>
      <c r="F18" s="462"/>
      <c r="G18" s="1322" t="s">
        <v>2427</v>
      </c>
      <c r="H18" s="447"/>
      <c r="I18" s="447"/>
      <c r="J18" s="447"/>
      <c r="K18" s="448"/>
    </row>
    <row r="19" spans="1:14" s="2104" customFormat="1" ht="13.5" customHeight="1">
      <c r="A19" s="1619" t="s">
        <v>1852</v>
      </c>
      <c r="B19" s="459" t="s">
        <v>493</v>
      </c>
      <c r="C19" s="460">
        <f ca="1">ROUND(C18*F19,0)</f>
        <v>631</v>
      </c>
      <c r="D19" s="462"/>
      <c r="E19" s="462"/>
      <c r="F19" s="466">
        <f>'数据-取费表'!B37</f>
        <v>0.02</v>
      </c>
      <c r="G19" s="444" t="s">
        <v>503</v>
      </c>
      <c r="H19" s="447"/>
      <c r="I19" s="447"/>
      <c r="J19" s="447"/>
      <c r="K19" s="448"/>
      <c r="L19" s="2106"/>
      <c r="M19" s="2106"/>
      <c r="N19" s="2106"/>
    </row>
    <row r="20" spans="1:14" s="2104" customFormat="1" ht="13.5" customHeight="1">
      <c r="A20" s="1619" t="s">
        <v>1853</v>
      </c>
      <c r="B20" s="459" t="s">
        <v>504</v>
      </c>
      <c r="C20" s="2982">
        <f>F20</f>
        <v>0.02</v>
      </c>
      <c r="D20" s="469" t="s">
        <v>505</v>
      </c>
      <c r="E20" s="469"/>
      <c r="F20" s="486">
        <f>'数据-取费表'!B38</f>
        <v>0.02</v>
      </c>
      <c r="G20" s="1322" t="s">
        <v>506</v>
      </c>
      <c r="H20" s="447"/>
      <c r="I20" s="447"/>
      <c r="J20" s="447"/>
      <c r="K20" s="448"/>
      <c r="L20" s="2106"/>
      <c r="M20" s="2106"/>
      <c r="N20" s="2106"/>
    </row>
    <row r="21" spans="1:14" s="2106" customFormat="1" ht="13.5" customHeight="1">
      <c r="A21" s="1619" t="s">
        <v>1856</v>
      </c>
      <c r="B21" s="461" t="s">
        <v>494</v>
      </c>
      <c r="C21" s="470">
        <f ca="1">C22</f>
        <v>1139</v>
      </c>
      <c r="D21" s="467">
        <f ca="1">C23</f>
        <v>6.9999999999999999E-4</v>
      </c>
      <c r="E21" s="469" t="s">
        <v>507</v>
      </c>
      <c r="F21" s="471">
        <f ca="1">'数据-取费表'!B40</f>
        <v>4.7500000000000001E-2</v>
      </c>
      <c r="G21" s="1322" t="str">
        <f>IF('数据-取费表'!B22&lt;=1,"单利计息。","复利计息。")&amp;"建造成本、管理费用及销售费用产生的利息。"</f>
        <v>复利计息。建造成本、管理费用及销售费用产生的利息。</v>
      </c>
      <c r="H21" s="447"/>
      <c r="I21" s="447"/>
      <c r="J21" s="447"/>
      <c r="K21" s="448"/>
      <c r="L21" s="2103" t="s">
        <v>2449</v>
      </c>
    </row>
    <row r="22" spans="1:14" s="2105" customFormat="1" ht="13.5" customHeight="1">
      <c r="A22" s="1618" t="s">
        <v>1846</v>
      </c>
      <c r="B22" s="1323" t="s">
        <v>2430</v>
      </c>
      <c r="C22" s="487">
        <f ca="1">ROUND(IF('数据-取费表'!B22&lt;=1,(C18+C19)*F21*'数据-取费表'!B20/2,(C18+C19)*(POWER((1+F21),'数据-取费表'!B20/2)-1)),0)</f>
        <v>1139</v>
      </c>
      <c r="D22" s="472"/>
      <c r="E22" s="473"/>
      <c r="F22" s="474"/>
      <c r="G22" s="2531" t="str">
        <f>IF('数据-取费表'!B22&lt;=1,"((1)+(2))×年利率×建设期÷2","((1)+(2))×((1+年利率)^(建设期÷2)-1)")</f>
        <v>((1)+(2))×((1+年利率)^(建设期÷2)-1)</v>
      </c>
      <c r="H22" s="457"/>
      <c r="I22" s="457"/>
      <c r="J22" s="457"/>
      <c r="K22" s="458"/>
    </row>
    <row r="23" spans="1:14" s="2105" customFormat="1" ht="13.5" customHeight="1">
      <c r="A23" s="1618" t="s">
        <v>1847</v>
      </c>
      <c r="B23" s="1323" t="s">
        <v>508</v>
      </c>
      <c r="C23" s="488">
        <f ca="1">ROUND(IF('数据-取费表'!B22&lt;=1,F20*F21*'数据-取费表'!B20/2,F20*(POWER((1+F21),'数据-取费表'!B20/2)-1)),4)</f>
        <v>6.9999999999999999E-4</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19" t="s">
        <v>1857</v>
      </c>
      <c r="B24" s="2984" t="s">
        <v>2826</v>
      </c>
      <c r="C24" s="478">
        <f ca="1">C25</f>
        <v>2573</v>
      </c>
      <c r="D24" s="489">
        <f ca="1">C26</f>
        <v>1.6000000000000001E-3</v>
      </c>
      <c r="E24" s="469" t="s">
        <v>507</v>
      </c>
      <c r="F24" s="479">
        <f ca="1">IF(B1="",'数据-取费表'!Q16,INDIRECT("'数据-取费表'!q"&amp;$K$1))</f>
        <v>0.08</v>
      </c>
      <c r="G24" s="444"/>
      <c r="H24" s="447"/>
      <c r="I24" s="447"/>
      <c r="J24" s="447"/>
      <c r="K24" s="448"/>
    </row>
    <row r="25" spans="1:14" s="2105" customFormat="1" ht="13.5" customHeight="1">
      <c r="A25" s="1618" t="s">
        <v>1846</v>
      </c>
      <c r="B25" s="1323" t="s">
        <v>2431</v>
      </c>
      <c r="C25" s="490">
        <f ca="1">ROUND((C18+C19)*F24,0)</f>
        <v>2573</v>
      </c>
      <c r="D25" s="472"/>
      <c r="E25" s="473"/>
      <c r="F25" s="480"/>
      <c r="G25" s="1321" t="s">
        <v>2428</v>
      </c>
      <c r="H25" s="457"/>
      <c r="I25" s="457"/>
      <c r="J25" s="457"/>
      <c r="K25" s="458"/>
    </row>
    <row r="26" spans="1:14" s="2105" customFormat="1" ht="13.5" customHeight="1">
      <c r="A26" s="1618" t="s">
        <v>1847</v>
      </c>
      <c r="B26" s="1323" t="s">
        <v>509</v>
      </c>
      <c r="C26" s="491">
        <f ca="1">ROUND(F20*F24,4)</f>
        <v>1.6000000000000001E-3</v>
      </c>
      <c r="D26" s="472"/>
      <c r="E26" s="481"/>
      <c r="F26" s="480"/>
      <c r="G26" s="1321" t="s">
        <v>510</v>
      </c>
      <c r="H26" s="457"/>
      <c r="I26" s="457"/>
      <c r="J26" s="457"/>
      <c r="K26" s="458"/>
    </row>
    <row r="27" spans="1:14" s="2105" customFormat="1" ht="13.5" customHeight="1">
      <c r="A27" s="1622" t="s">
        <v>1865</v>
      </c>
      <c r="B27" s="459" t="s">
        <v>511</v>
      </c>
      <c r="C27" s="2983">
        <f>ROUND(F27/(1+'数据-取费表'!C42),4)</f>
        <v>5.33E-2</v>
      </c>
      <c r="D27" s="462" t="s">
        <v>2824</v>
      </c>
      <c r="E27" s="462"/>
      <c r="F27" s="466">
        <f>'数据-取费表'!B41</f>
        <v>5.6000000000000001E-2</v>
      </c>
      <c r="G27" s="1945" t="s">
        <v>2286</v>
      </c>
      <c r="H27" s="447"/>
      <c r="I27" s="447"/>
      <c r="J27" s="447"/>
      <c r="K27" s="448"/>
    </row>
    <row r="28" spans="1:14" s="2106" customFormat="1" ht="13.5" customHeight="1">
      <c r="A28" s="1622" t="s">
        <v>1866</v>
      </c>
      <c r="B28" s="476" t="s">
        <v>512</v>
      </c>
      <c r="C28" s="470">
        <f ca="1">ROUND((C18+C19+C21+C24)/(1-C20-D21-D24-C27),0)</f>
        <v>38804</v>
      </c>
      <c r="D28" s="477"/>
      <c r="E28" s="469"/>
      <c r="F28" s="471"/>
      <c r="G28" s="1322" t="s">
        <v>2429</v>
      </c>
      <c r="H28" s="447"/>
      <c r="I28" s="447"/>
      <c r="J28" s="447"/>
      <c r="K28" s="448"/>
    </row>
    <row r="29" spans="1:14" s="2106" customFormat="1" ht="13.5" customHeight="1">
      <c r="A29" s="1622" t="s">
        <v>1867</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4" t="s">
        <v>515</v>
      </c>
      <c r="H30" s="496"/>
      <c r="I30" s="496"/>
      <c r="J30" s="447"/>
      <c r="K30" s="448"/>
    </row>
    <row r="31" spans="1:14" s="2111" customFormat="1" ht="13.5" customHeight="1">
      <c r="A31" s="2446" t="s">
        <v>1863</v>
      </c>
      <c r="B31" s="1325"/>
      <c r="C31" s="500">
        <f>ROUND(C6*F31/(1+'数据-取费表'!C42),0)</f>
        <v>0</v>
      </c>
      <c r="D31" s="1326"/>
      <c r="E31" s="1326"/>
      <c r="F31" s="501">
        <f>'数据-取费表'!B41</f>
        <v>5.6000000000000001E-2</v>
      </c>
      <c r="G31" s="1327"/>
      <c r="H31" s="1327"/>
      <c r="I31" s="1327"/>
      <c r="J31" s="1328"/>
      <c r="K31" s="1329"/>
    </row>
    <row r="32" spans="1:14" s="2070"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7"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516</v>
      </c>
      <c r="B1" s="503"/>
      <c r="C1" s="504" t="s">
        <v>597</v>
      </c>
      <c r="D1" s="505" t="s">
        <v>518</v>
      </c>
      <c r="E1" s="737"/>
      <c r="F1" s="738"/>
      <c r="G1" s="737"/>
      <c r="H1" s="737"/>
      <c r="I1" s="737"/>
      <c r="J1" s="737"/>
      <c r="K1" s="739"/>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508" t="e">
        <f>F63</f>
        <v>#DIV/0!</v>
      </c>
      <c r="C2" s="2113"/>
      <c r="D2" s="2113"/>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c r="A3" s="1376" t="s">
        <v>1683</v>
      </c>
      <c r="B3" s="510" t="e">
        <f>ROUND(B2*10000/'数据-汇总表'!E3,0)</f>
        <v>#DIV/0!</v>
      </c>
      <c r="C3" s="2046"/>
      <c r="D3" s="2046"/>
      <c r="E3" s="2046"/>
      <c r="F3" s="2046"/>
      <c r="G3" s="2113"/>
      <c r="H3" s="2113"/>
      <c r="I3" s="2113"/>
      <c r="J3" s="2113"/>
      <c r="K3" s="2115"/>
      <c r="L3" s="2116"/>
      <c r="M3" s="2117"/>
      <c r="N3" s="2117"/>
      <c r="O3" s="2117"/>
      <c r="P3" s="1550"/>
      <c r="Q3" s="1550"/>
      <c r="R3" s="1550"/>
      <c r="S3" s="1550"/>
      <c r="T3" s="1550"/>
      <c r="U3" s="1550"/>
      <c r="V3" s="1550"/>
      <c r="W3" s="1550"/>
      <c r="X3" s="1550"/>
      <c r="Y3" s="1550"/>
      <c r="Z3" s="1550"/>
      <c r="AA3" s="1550"/>
      <c r="AB3" s="428"/>
      <c r="AC3" s="428"/>
    </row>
    <row r="4" spans="1:29" s="1331"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0"/>
      <c r="Q4" s="1550"/>
      <c r="R4" s="1550"/>
      <c r="S4" s="1550"/>
      <c r="T4" s="1550"/>
      <c r="U4" s="1550"/>
      <c r="V4" s="1550"/>
      <c r="W4" s="1550"/>
      <c r="X4" s="1550"/>
      <c r="Y4" s="1550"/>
      <c r="Z4" s="1550"/>
      <c r="AA4" s="1550"/>
      <c r="AB4" s="1550"/>
      <c r="AC4" s="428"/>
    </row>
    <row r="5" spans="1:29" s="1331"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0"/>
      <c r="Q5" s="1550"/>
      <c r="R5" s="1550"/>
      <c r="S5" s="1550"/>
      <c r="T5" s="1550"/>
      <c r="U5" s="1550"/>
      <c r="V5" s="1550"/>
      <c r="W5" s="1550"/>
      <c r="X5" s="1550"/>
      <c r="Y5" s="1550"/>
      <c r="Z5" s="1550"/>
      <c r="AA5" s="1550"/>
      <c r="AB5" s="1552"/>
      <c r="AC5" s="428"/>
    </row>
    <row r="6" spans="1:29" ht="14.4">
      <c r="A6" s="512" t="s">
        <v>521</v>
      </c>
      <c r="B6" s="513"/>
      <c r="C6" s="3380" t="s">
        <v>522</v>
      </c>
      <c r="D6" s="3381"/>
      <c r="E6" s="3414" t="s">
        <v>523</v>
      </c>
      <c r="F6" s="3415"/>
      <c r="G6" s="3380" t="s">
        <v>524</v>
      </c>
      <c r="H6" s="3381"/>
      <c r="I6" s="3380" t="s">
        <v>525</v>
      </c>
      <c r="J6" s="3381"/>
      <c r="K6" s="514" t="s">
        <v>526</v>
      </c>
      <c r="L6" s="2118"/>
      <c r="M6" s="2119"/>
      <c r="N6" s="2119"/>
      <c r="O6" s="2119"/>
      <c r="P6" s="3382" t="s">
        <v>527</v>
      </c>
      <c r="Q6" s="3383"/>
      <c r="R6" s="3388" t="s">
        <v>523</v>
      </c>
      <c r="S6" s="3389"/>
      <c r="T6" s="3388" t="s">
        <v>524</v>
      </c>
      <c r="U6" s="3389"/>
      <c r="V6" s="3375" t="s">
        <v>525</v>
      </c>
      <c r="W6" s="3375"/>
      <c r="X6" s="1553"/>
      <c r="Y6" s="3388" t="s">
        <v>527</v>
      </c>
      <c r="Z6" s="3389"/>
      <c r="AA6" s="3377" t="s">
        <v>523</v>
      </c>
      <c r="AB6" s="3378" t="s">
        <v>524</v>
      </c>
      <c r="AC6" s="3377" t="s">
        <v>525</v>
      </c>
    </row>
    <row r="7" spans="1:29">
      <c r="A7" s="515"/>
      <c r="B7" s="516"/>
      <c r="C7" s="3396" t="s">
        <v>2925</v>
      </c>
      <c r="D7" s="3397"/>
      <c r="E7" s="3416" t="s">
        <v>2926</v>
      </c>
      <c r="F7" s="3417"/>
      <c r="G7" s="3396" t="s">
        <v>2927</v>
      </c>
      <c r="H7" s="3397"/>
      <c r="I7" s="3396" t="s">
        <v>2928</v>
      </c>
      <c r="J7" s="3397"/>
      <c r="K7" s="514"/>
      <c r="L7" s="2118"/>
      <c r="M7" s="2119"/>
      <c r="N7" s="2119"/>
      <c r="O7" s="2119"/>
      <c r="P7" s="3384"/>
      <c r="Q7" s="3385"/>
      <c r="R7" s="3390"/>
      <c r="S7" s="3391"/>
      <c r="T7" s="3390"/>
      <c r="U7" s="3391"/>
      <c r="V7" s="3375"/>
      <c r="W7" s="3375"/>
      <c r="X7" s="1553"/>
      <c r="Y7" s="3390"/>
      <c r="Z7" s="3391"/>
      <c r="AA7" s="3378"/>
      <c r="AB7" s="3378"/>
      <c r="AC7" s="3378"/>
    </row>
    <row r="8" spans="1:29" ht="15" thickBot="1">
      <c r="A8" s="517"/>
      <c r="B8" s="518"/>
      <c r="C8" s="3394" t="s">
        <v>2929</v>
      </c>
      <c r="D8" s="3395"/>
      <c r="E8" s="3412" t="s">
        <v>2929</v>
      </c>
      <c r="F8" s="3413"/>
      <c r="G8" s="3394" t="s">
        <v>2929</v>
      </c>
      <c r="H8" s="3395"/>
      <c r="I8" s="3394" t="s">
        <v>2929</v>
      </c>
      <c r="J8" s="3395"/>
      <c r="K8" s="514" t="s">
        <v>528</v>
      </c>
      <c r="L8" s="2118"/>
      <c r="M8" s="2119"/>
      <c r="N8" s="2119"/>
      <c r="O8" s="2119"/>
      <c r="P8" s="3386"/>
      <c r="Q8" s="3387"/>
      <c r="R8" s="3390"/>
      <c r="S8" s="3391"/>
      <c r="T8" s="3392"/>
      <c r="U8" s="3393"/>
      <c r="V8" s="3375"/>
      <c r="W8" s="3375"/>
      <c r="X8" s="1553"/>
      <c r="Y8" s="3392"/>
      <c r="Z8" s="3393"/>
      <c r="AA8" s="3379"/>
      <c r="AB8" s="3379"/>
      <c r="AC8" s="3379"/>
    </row>
    <row r="9" spans="1:29" s="1215" customFormat="1" ht="15" thickBot="1">
      <c r="A9" s="2867"/>
      <c r="B9" s="2874" t="s">
        <v>529</v>
      </c>
      <c r="C9" s="519">
        <f>'数据-取费表'!B2</f>
        <v>44006</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05" t="s">
        <v>530</v>
      </c>
      <c r="Q9" s="3407"/>
      <c r="R9" s="1554" t="s">
        <v>8</v>
      </c>
      <c r="S9" s="1555">
        <f t="shared" ref="S9:S17" si="0">F9</f>
        <v>0</v>
      </c>
      <c r="T9" s="1554" t="s">
        <v>8</v>
      </c>
      <c r="U9" s="1555">
        <f t="shared" ref="U9:U17" si="1">H9</f>
        <v>0</v>
      </c>
      <c r="V9" s="1554" t="s">
        <v>8</v>
      </c>
      <c r="W9" s="1555">
        <f t="shared" ref="W9:W17" si="2">J9</f>
        <v>0</v>
      </c>
      <c r="X9" s="1556"/>
      <c r="Y9" s="3405" t="s">
        <v>530</v>
      </c>
      <c r="Z9" s="3406"/>
      <c r="AA9" s="1557" t="e">
        <f>D9/F9</f>
        <v>#DIV/0!</v>
      </c>
      <c r="AB9" s="1557" t="e">
        <f>D9/H9</f>
        <v>#DIV/0!</v>
      </c>
      <c r="AC9" s="1557" t="e">
        <f>D9/J9</f>
        <v>#DIV/0!</v>
      </c>
    </row>
    <row r="10" spans="1:29" s="1215" customFormat="1" ht="1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05" t="s">
        <v>533</v>
      </c>
      <c r="Q10" s="3406"/>
      <c r="R10" s="1554" t="s">
        <v>8</v>
      </c>
      <c r="S10" s="1555">
        <f t="shared" si="0"/>
        <v>0</v>
      </c>
      <c r="T10" s="1554" t="s">
        <v>8</v>
      </c>
      <c r="U10" s="1555">
        <f t="shared" si="1"/>
        <v>0</v>
      </c>
      <c r="V10" s="1554" t="s">
        <v>8</v>
      </c>
      <c r="W10" s="1555">
        <f t="shared" si="2"/>
        <v>0</v>
      </c>
      <c r="X10" s="1556"/>
      <c r="Y10" s="3405" t="s">
        <v>533</v>
      </c>
      <c r="Z10" s="3406"/>
      <c r="AA10" s="1557" t="e">
        <f t="shared" ref="AA10:AA42" si="3">D10/F10</f>
        <v>#DIV/0!</v>
      </c>
      <c r="AB10" s="1557" t="e">
        <f t="shared" ref="AB10:AB42" si="4">D10/H10</f>
        <v>#DIV/0!</v>
      </c>
      <c r="AC10" s="1557" t="e">
        <f t="shared" ref="AC10:AC42" si="5">D10/J10</f>
        <v>#DIV/0!</v>
      </c>
    </row>
    <row r="11" spans="1:29" s="1215" customFormat="1" ht="14.4">
      <c r="A11" s="2869"/>
      <c r="B11" s="2876" t="s">
        <v>2750</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4" t="s">
        <v>535</v>
      </c>
      <c r="Q11" s="1146" t="str">
        <f t="shared" ref="Q11:Q17" si="6">B11</f>
        <v>用途</v>
      </c>
      <c r="R11" s="1554" t="s">
        <v>8</v>
      </c>
      <c r="S11" s="1555">
        <f t="shared" si="0"/>
        <v>100</v>
      </c>
      <c r="T11" s="1554" t="s">
        <v>8</v>
      </c>
      <c r="U11" s="1555">
        <f t="shared" si="1"/>
        <v>100</v>
      </c>
      <c r="V11" s="1554" t="s">
        <v>8</v>
      </c>
      <c r="W11" s="1555">
        <f t="shared" si="2"/>
        <v>100</v>
      </c>
      <c r="X11" s="1556"/>
      <c r="Y11" s="3319" t="s">
        <v>536</v>
      </c>
      <c r="Z11" s="1145" t="str">
        <f t="shared" ref="Z11:Z17" si="7">Q11</f>
        <v>用途</v>
      </c>
      <c r="AA11" s="1557">
        <f t="shared" si="3"/>
        <v>1</v>
      </c>
      <c r="AB11" s="1557">
        <f t="shared" si="4"/>
        <v>1</v>
      </c>
      <c r="AC11" s="1557">
        <f t="shared" si="5"/>
        <v>1</v>
      </c>
    </row>
    <row r="12" spans="1:29" s="1333" customFormat="1" ht="28.8">
      <c r="A12" s="2870"/>
      <c r="B12" s="2875" t="s">
        <v>2751</v>
      </c>
      <c r="C12" s="528"/>
      <c r="D12" s="255">
        <v>100</v>
      </c>
      <c r="E12" s="528"/>
      <c r="F12" s="255">
        <f>ROUND(100/'数据-取费表'!G16,0)</f>
        <v>101</v>
      </c>
      <c r="G12" s="528"/>
      <c r="H12" s="255">
        <f>ROUND(100/'数据-取费表'!G16,0)</f>
        <v>101</v>
      </c>
      <c r="I12" s="528"/>
      <c r="J12" s="255">
        <f>ROUND(100/'数据-取费表'!G16,0)</f>
        <v>101</v>
      </c>
      <c r="K12" s="531"/>
      <c r="L12" s="2123"/>
      <c r="M12" s="2163"/>
      <c r="N12" s="2163"/>
      <c r="O12" s="2124"/>
      <c r="P12" s="3374"/>
      <c r="Q12" s="1146" t="str">
        <f t="shared" si="6"/>
        <v>土地使用年限（年）</v>
      </c>
      <c r="R12" s="1554" t="s">
        <v>8</v>
      </c>
      <c r="S12" s="1555">
        <f t="shared" si="0"/>
        <v>101</v>
      </c>
      <c r="T12" s="1554" t="s">
        <v>8</v>
      </c>
      <c r="U12" s="1555">
        <f t="shared" si="1"/>
        <v>101</v>
      </c>
      <c r="V12" s="1554" t="s">
        <v>8</v>
      </c>
      <c r="W12" s="1555">
        <f t="shared" si="2"/>
        <v>101</v>
      </c>
      <c r="X12" s="1556"/>
      <c r="Y12" s="3319"/>
      <c r="Z12" s="1145" t="str">
        <f t="shared" si="7"/>
        <v>土地使用年限（年）</v>
      </c>
      <c r="AA12" s="1557">
        <f t="shared" si="3"/>
        <v>0.99009900990099009</v>
      </c>
      <c r="AB12" s="1557">
        <f t="shared" si="4"/>
        <v>0.99009900990099009</v>
      </c>
      <c r="AC12" s="1557">
        <f t="shared" si="5"/>
        <v>0.99009900990099009</v>
      </c>
    </row>
    <row r="13" spans="1:29" ht="15">
      <c r="A13" s="2871"/>
      <c r="B13" s="2875"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4"/>
      <c r="Q13" s="1146" t="str">
        <f t="shared" si="6"/>
        <v>容积率</v>
      </c>
      <c r="R13" s="1554" t="s">
        <v>8</v>
      </c>
      <c r="S13" s="1555" t="e">
        <f t="shared" si="0"/>
        <v>#N/A</v>
      </c>
      <c r="T13" s="1554" t="s">
        <v>8</v>
      </c>
      <c r="U13" s="1555" t="e">
        <f t="shared" si="1"/>
        <v>#N/A</v>
      </c>
      <c r="V13" s="1554" t="s">
        <v>8</v>
      </c>
      <c r="W13" s="1555" t="e">
        <f t="shared" si="2"/>
        <v>#N/A</v>
      </c>
      <c r="X13" s="1556"/>
      <c r="Y13" s="3319"/>
      <c r="Z13" s="1145" t="str">
        <f t="shared" si="7"/>
        <v>容积率</v>
      </c>
      <c r="AA13" s="1557" t="e">
        <f t="shared" si="3"/>
        <v>#N/A</v>
      </c>
      <c r="AB13" s="1557" t="e">
        <f t="shared" si="4"/>
        <v>#N/A</v>
      </c>
      <c r="AC13" s="1557" t="e">
        <f t="shared" si="5"/>
        <v>#N/A</v>
      </c>
    </row>
    <row r="14" spans="1:29" s="1215"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4"/>
      <c r="Q14" s="1146">
        <f t="shared" si="6"/>
        <v>111</v>
      </c>
      <c r="R14" s="1554" t="s">
        <v>8</v>
      </c>
      <c r="S14" s="1555">
        <f t="shared" si="0"/>
        <v>100</v>
      </c>
      <c r="T14" s="1554" t="s">
        <v>8</v>
      </c>
      <c r="U14" s="1555">
        <f t="shared" si="1"/>
        <v>100</v>
      </c>
      <c r="V14" s="1554" t="s">
        <v>8</v>
      </c>
      <c r="W14" s="1555">
        <f t="shared" si="2"/>
        <v>100</v>
      </c>
      <c r="X14" s="1556"/>
      <c r="Y14" s="3319"/>
      <c r="Z14" s="1145">
        <f t="shared" si="7"/>
        <v>111</v>
      </c>
      <c r="AA14" s="1557">
        <f>D14/F14</f>
        <v>1</v>
      </c>
      <c r="AB14" s="1557">
        <f>D14/H14</f>
        <v>1</v>
      </c>
      <c r="AC14" s="1557">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4"/>
      <c r="Q15" s="1146">
        <f t="shared" si="6"/>
        <v>111</v>
      </c>
      <c r="R15" s="1554" t="s">
        <v>8</v>
      </c>
      <c r="S15" s="1555">
        <f t="shared" si="0"/>
        <v>100</v>
      </c>
      <c r="T15" s="1554" t="s">
        <v>8</v>
      </c>
      <c r="U15" s="1555">
        <f t="shared" si="1"/>
        <v>100</v>
      </c>
      <c r="V15" s="1554" t="s">
        <v>8</v>
      </c>
      <c r="W15" s="1555">
        <f t="shared" si="2"/>
        <v>100</v>
      </c>
      <c r="X15" s="1556"/>
      <c r="Y15" s="3319"/>
      <c r="Z15" s="1145">
        <f t="shared" si="7"/>
        <v>111</v>
      </c>
      <c r="AA15" s="1557">
        <f t="shared" si="3"/>
        <v>1</v>
      </c>
      <c r="AB15" s="1557">
        <f t="shared" si="4"/>
        <v>1</v>
      </c>
      <c r="AC15" s="1557">
        <f t="shared" si="5"/>
        <v>1</v>
      </c>
    </row>
    <row r="16" spans="1:29" ht="15.6"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4"/>
      <c r="Q16" s="1146">
        <f t="shared" si="6"/>
        <v>111</v>
      </c>
      <c r="R16" s="1554" t="s">
        <v>8</v>
      </c>
      <c r="S16" s="1555">
        <f t="shared" si="0"/>
        <v>100</v>
      </c>
      <c r="T16" s="1554" t="s">
        <v>8</v>
      </c>
      <c r="U16" s="1555">
        <f t="shared" si="1"/>
        <v>100</v>
      </c>
      <c r="V16" s="1554" t="s">
        <v>8</v>
      </c>
      <c r="W16" s="1555">
        <f t="shared" si="2"/>
        <v>100</v>
      </c>
      <c r="X16" s="1556"/>
      <c r="Y16" s="3319"/>
      <c r="Z16" s="1145">
        <f t="shared" si="7"/>
        <v>111</v>
      </c>
      <c r="AA16" s="1557">
        <f t="shared" si="3"/>
        <v>1</v>
      </c>
      <c r="AB16" s="1557">
        <f t="shared" si="4"/>
        <v>1</v>
      </c>
      <c r="AC16" s="1557">
        <f t="shared" si="5"/>
        <v>1</v>
      </c>
    </row>
    <row r="17" spans="1:29" ht="69">
      <c r="A17" s="2865" t="s">
        <v>2748</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08" t="s">
        <v>540</v>
      </c>
      <c r="Q17" s="1558" t="str">
        <f t="shared" si="6"/>
        <v>产业集聚程度</v>
      </c>
      <c r="R17" s="1559" t="s">
        <v>8</v>
      </c>
      <c r="S17" s="1560">
        <f t="shared" si="0"/>
        <v>100</v>
      </c>
      <c r="T17" s="1559" t="s">
        <v>8</v>
      </c>
      <c r="U17" s="1560">
        <f t="shared" si="1"/>
        <v>100</v>
      </c>
      <c r="V17" s="1559" t="s">
        <v>8</v>
      </c>
      <c r="W17" s="1560">
        <f t="shared" si="2"/>
        <v>100</v>
      </c>
      <c r="X17" s="1553"/>
      <c r="Y17" s="3408" t="s">
        <v>540</v>
      </c>
      <c r="Z17" s="1561" t="str">
        <f t="shared" si="7"/>
        <v>产业集聚程度</v>
      </c>
      <c r="AA17" s="1562">
        <f t="shared" si="3"/>
        <v>1</v>
      </c>
      <c r="AB17" s="1562">
        <f t="shared" si="4"/>
        <v>1</v>
      </c>
      <c r="AC17" s="1562">
        <f t="shared" si="5"/>
        <v>1</v>
      </c>
    </row>
    <row r="18" spans="1:29" ht="15">
      <c r="A18" s="532"/>
      <c r="B18" s="869"/>
      <c r="C18" s="576"/>
      <c r="D18" s="555"/>
      <c r="E18" s="554"/>
      <c r="F18" s="555"/>
      <c r="G18" s="554"/>
      <c r="H18" s="559"/>
      <c r="I18" s="554"/>
      <c r="J18" s="555"/>
      <c r="K18" s="531"/>
      <c r="L18" s="2127"/>
      <c r="M18" s="2119"/>
      <c r="N18" s="2119"/>
      <c r="O18" s="2126"/>
      <c r="P18" s="3409"/>
      <c r="Q18" s="1558"/>
      <c r="R18" s="1559"/>
      <c r="S18" s="1560"/>
      <c r="T18" s="1559"/>
      <c r="U18" s="1560"/>
      <c r="V18" s="1559"/>
      <c r="W18" s="1560"/>
      <c r="X18" s="1553"/>
      <c r="Y18" s="3409"/>
      <c r="Z18" s="1561"/>
      <c r="AA18" s="1562">
        <v>1</v>
      </c>
      <c r="AB18" s="1562">
        <v>1</v>
      </c>
      <c r="AC18" s="1562">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09"/>
      <c r="Q19" s="1558" t="str">
        <f>B19</f>
        <v>交通便捷度</v>
      </c>
      <c r="R19" s="1559" t="s">
        <v>8</v>
      </c>
      <c r="S19" s="1560">
        <f>F19</f>
        <v>100</v>
      </c>
      <c r="T19" s="1559" t="s">
        <v>8</v>
      </c>
      <c r="U19" s="1560">
        <f>H19</f>
        <v>100</v>
      </c>
      <c r="V19" s="1559" t="s">
        <v>8</v>
      </c>
      <c r="W19" s="1560">
        <f>J19</f>
        <v>100</v>
      </c>
      <c r="X19" s="1553"/>
      <c r="Y19" s="3409"/>
      <c r="Z19" s="1561" t="str">
        <f>Q19</f>
        <v>交通便捷度</v>
      </c>
      <c r="AA19" s="1562">
        <f t="shared" si="3"/>
        <v>1</v>
      </c>
      <c r="AB19" s="1562">
        <f t="shared" si="4"/>
        <v>1</v>
      </c>
      <c r="AC19" s="1562">
        <f t="shared" si="5"/>
        <v>1</v>
      </c>
    </row>
    <row r="20" spans="1:29" ht="15">
      <c r="A20" s="532"/>
      <c r="B20" s="922"/>
      <c r="C20" s="576"/>
      <c r="D20" s="555"/>
      <c r="E20" s="556"/>
      <c r="F20" s="555"/>
      <c r="G20" s="556"/>
      <c r="H20" s="555"/>
      <c r="I20" s="558"/>
      <c r="J20" s="555"/>
      <c r="K20" s="531"/>
      <c r="L20" s="2127"/>
      <c r="M20" s="2119"/>
      <c r="N20" s="2119"/>
      <c r="O20" s="2126"/>
      <c r="P20" s="3409"/>
      <c r="Q20" s="1558"/>
      <c r="R20" s="1559"/>
      <c r="S20" s="1560"/>
      <c r="T20" s="1559"/>
      <c r="U20" s="1560"/>
      <c r="V20" s="1559"/>
      <c r="W20" s="1560"/>
      <c r="X20" s="1553"/>
      <c r="Y20" s="3409"/>
      <c r="Z20" s="1561"/>
      <c r="AA20" s="1562">
        <v>1</v>
      </c>
      <c r="AB20" s="1562">
        <v>1</v>
      </c>
      <c r="AC20" s="1562">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27"/>
      <c r="M21" s="2119"/>
      <c r="N21" s="2119"/>
      <c r="O21" s="2126"/>
      <c r="P21" s="3409"/>
      <c r="Q21" s="1558" t="str">
        <f t="shared" ref="Q21:Q35" si="8">B21</f>
        <v>区域土地利用方向</v>
      </c>
      <c r="R21" s="1559" t="s">
        <v>8</v>
      </c>
      <c r="S21" s="1560">
        <f>F21</f>
        <v>100</v>
      </c>
      <c r="T21" s="1559" t="s">
        <v>8</v>
      </c>
      <c r="U21" s="1560">
        <f>H21</f>
        <v>100</v>
      </c>
      <c r="V21" s="1559" t="s">
        <v>8</v>
      </c>
      <c r="W21" s="1560">
        <f>J21</f>
        <v>100</v>
      </c>
      <c r="X21" s="1553"/>
      <c r="Y21" s="3409"/>
      <c r="Z21" s="1561" t="str">
        <f>Q21</f>
        <v>区域土地利用方向</v>
      </c>
      <c r="AA21" s="1562">
        <f t="shared" si="3"/>
        <v>1</v>
      </c>
      <c r="AB21" s="1562">
        <f t="shared" si="4"/>
        <v>1</v>
      </c>
      <c r="AC21" s="1562">
        <f t="shared" si="5"/>
        <v>1</v>
      </c>
    </row>
    <row r="22" spans="1:29" ht="15">
      <c r="A22" s="515"/>
      <c r="B22" s="595"/>
      <c r="C22" s="576"/>
      <c r="D22" s="555"/>
      <c r="E22" s="556"/>
      <c r="F22" s="557"/>
      <c r="G22" s="558"/>
      <c r="H22" s="557"/>
      <c r="I22" s="558"/>
      <c r="J22" s="557"/>
      <c r="K22" s="1343"/>
      <c r="L22" s="2127"/>
      <c r="M22" s="2119"/>
      <c r="N22" s="2119"/>
      <c r="O22" s="2126"/>
      <c r="P22" s="3409"/>
      <c r="Q22" s="1558"/>
      <c r="R22" s="1559"/>
      <c r="S22" s="1560"/>
      <c r="T22" s="1559"/>
      <c r="U22" s="1560"/>
      <c r="V22" s="1559"/>
      <c r="W22" s="1560"/>
      <c r="X22" s="1553"/>
      <c r="Y22" s="3409"/>
      <c r="Z22" s="1561"/>
      <c r="AA22" s="1562"/>
      <c r="AB22" s="1562"/>
      <c r="AC22" s="1562"/>
    </row>
    <row r="23" spans="1:29" ht="82.8">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09"/>
      <c r="Q23" s="1558" t="str">
        <f t="shared" si="8"/>
        <v>环境状况</v>
      </c>
      <c r="R23" s="1559" t="s">
        <v>8</v>
      </c>
      <c r="S23" s="1560">
        <f>F23</f>
        <v>100</v>
      </c>
      <c r="T23" s="1559" t="s">
        <v>8</v>
      </c>
      <c r="U23" s="1560">
        <f>H23</f>
        <v>100</v>
      </c>
      <c r="V23" s="1559" t="s">
        <v>8</v>
      </c>
      <c r="W23" s="1560">
        <f>J23</f>
        <v>100</v>
      </c>
      <c r="X23" s="1553"/>
      <c r="Y23" s="3409"/>
      <c r="Z23" s="1561" t="str">
        <f>Q23</f>
        <v>环境状况</v>
      </c>
      <c r="AA23" s="1562">
        <f t="shared" si="3"/>
        <v>1</v>
      </c>
      <c r="AB23" s="1562">
        <f t="shared" si="4"/>
        <v>1</v>
      </c>
      <c r="AC23" s="1562">
        <f t="shared" si="5"/>
        <v>1</v>
      </c>
    </row>
    <row r="24" spans="1:29" ht="15">
      <c r="A24" s="515"/>
      <c r="B24" s="595"/>
      <c r="C24" s="576"/>
      <c r="D24" s="555"/>
      <c r="E24" s="554"/>
      <c r="F24" s="555"/>
      <c r="G24" s="554"/>
      <c r="H24" s="555"/>
      <c r="I24" s="576"/>
      <c r="J24" s="555"/>
      <c r="K24" s="531"/>
      <c r="L24" s="2127"/>
      <c r="M24" s="2119"/>
      <c r="N24" s="2119"/>
      <c r="O24" s="2126"/>
      <c r="P24" s="3409"/>
      <c r="Q24" s="1558"/>
      <c r="R24" s="1559"/>
      <c r="S24" s="1560"/>
      <c r="T24" s="1559"/>
      <c r="U24" s="1560"/>
      <c r="V24" s="1559"/>
      <c r="W24" s="1560"/>
      <c r="X24" s="1553"/>
      <c r="Y24" s="3409"/>
      <c r="Z24" s="1561"/>
      <c r="AA24" s="1562">
        <v>1</v>
      </c>
      <c r="AB24" s="1562">
        <v>1</v>
      </c>
      <c r="AC24" s="1562">
        <v>1</v>
      </c>
    </row>
    <row r="25" spans="1:29" s="1215" customFormat="1" ht="41.4">
      <c r="A25" s="577"/>
      <c r="B25" s="2557"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09"/>
      <c r="Q25" s="1146" t="str">
        <f t="shared" si="8"/>
        <v>公共配套设施</v>
      </c>
      <c r="R25" s="1554" t="s">
        <v>8</v>
      </c>
      <c r="S25" s="1555">
        <f>F25</f>
        <v>100</v>
      </c>
      <c r="T25" s="1554" t="s">
        <v>8</v>
      </c>
      <c r="U25" s="1555">
        <f>H25</f>
        <v>100</v>
      </c>
      <c r="V25" s="1554" t="s">
        <v>8</v>
      </c>
      <c r="W25" s="1555">
        <f>J25</f>
        <v>100</v>
      </c>
      <c r="X25" s="1556"/>
      <c r="Y25" s="3409"/>
      <c r="Z25" s="1145" t="str">
        <f>Q25</f>
        <v>公共配套设施</v>
      </c>
      <c r="AA25" s="1562">
        <f>D25/F25</f>
        <v>1</v>
      </c>
      <c r="AB25" s="1562">
        <f>D25/H25</f>
        <v>1</v>
      </c>
      <c r="AC25" s="1562">
        <f>D25/J25</f>
        <v>1</v>
      </c>
    </row>
    <row r="26" spans="1:29" s="1215" customFormat="1" ht="15">
      <c r="A26" s="577"/>
      <c r="B26" s="595"/>
      <c r="C26" s="2556"/>
      <c r="D26" s="555"/>
      <c r="E26" s="554"/>
      <c r="F26" s="555"/>
      <c r="G26" s="554"/>
      <c r="H26" s="555"/>
      <c r="I26" s="576"/>
      <c r="J26" s="555"/>
      <c r="K26" s="531"/>
      <c r="L26" s="2120"/>
      <c r="M26" s="2121"/>
      <c r="N26" s="2121"/>
      <c r="O26" s="2122"/>
      <c r="P26" s="3409"/>
      <c r="Q26" s="1146"/>
      <c r="R26" s="1554"/>
      <c r="S26" s="1555"/>
      <c r="T26" s="1554"/>
      <c r="U26" s="1555"/>
      <c r="V26" s="1554"/>
      <c r="W26" s="1555"/>
      <c r="X26" s="1556"/>
      <c r="Y26" s="3409"/>
      <c r="Z26" s="1145"/>
      <c r="AA26" s="1557">
        <v>1</v>
      </c>
      <c r="AB26" s="1557">
        <v>1</v>
      </c>
      <c r="AC26" s="1557">
        <v>1</v>
      </c>
    </row>
    <row r="27" spans="1:29" s="1215" customFormat="1" ht="41.4">
      <c r="A27" s="577"/>
      <c r="B27" s="2557"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09"/>
      <c r="Q27" s="2542" t="str">
        <f t="shared" ref="Q27" si="9">B27</f>
        <v>基础设施水平</v>
      </c>
      <c r="R27" s="1554" t="s">
        <v>8</v>
      </c>
      <c r="S27" s="1555">
        <f>F27</f>
        <v>100</v>
      </c>
      <c r="T27" s="1554" t="s">
        <v>8</v>
      </c>
      <c r="U27" s="1555">
        <f>H27</f>
        <v>100</v>
      </c>
      <c r="V27" s="1554" t="s">
        <v>8</v>
      </c>
      <c r="W27" s="1555">
        <f>J27</f>
        <v>100</v>
      </c>
      <c r="X27" s="1556"/>
      <c r="Y27" s="3409"/>
      <c r="Z27" s="2539" t="str">
        <f>Q27</f>
        <v>基础设施水平</v>
      </c>
      <c r="AA27" s="1562">
        <f>D27/F27</f>
        <v>1</v>
      </c>
      <c r="AB27" s="1562">
        <f>D27/H27</f>
        <v>1</v>
      </c>
      <c r="AC27" s="1562">
        <f>D27/J27</f>
        <v>1</v>
      </c>
    </row>
    <row r="28" spans="1:29" s="1215" customFormat="1" ht="15">
      <c r="A28" s="577"/>
      <c r="B28" s="595"/>
      <c r="C28" s="2556"/>
      <c r="D28" s="555"/>
      <c r="E28" s="579"/>
      <c r="F28" s="555"/>
      <c r="G28" s="579"/>
      <c r="H28" s="555"/>
      <c r="I28" s="579"/>
      <c r="J28" s="555"/>
      <c r="K28" s="531"/>
      <c r="L28" s="2120"/>
      <c r="M28" s="2121"/>
      <c r="N28" s="2121"/>
      <c r="O28" s="2122"/>
      <c r="P28" s="3409"/>
      <c r="Q28" s="2542"/>
      <c r="R28" s="1554"/>
      <c r="S28" s="1555"/>
      <c r="T28" s="1554"/>
      <c r="U28" s="1555"/>
      <c r="V28" s="1554"/>
      <c r="W28" s="1555"/>
      <c r="X28" s="1556"/>
      <c r="Y28" s="3409"/>
      <c r="Z28" s="2539"/>
      <c r="AA28" s="1557">
        <v>1</v>
      </c>
      <c r="AB28" s="1557">
        <v>1</v>
      </c>
      <c r="AC28" s="155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09"/>
      <c r="Q29" s="1558" t="str">
        <f t="shared" si="8"/>
        <v>临街状况</v>
      </c>
      <c r="R29" s="1559" t="s">
        <v>8</v>
      </c>
      <c r="S29" s="1560">
        <f t="shared" ref="S29:S42" si="10">F29</f>
        <v>100</v>
      </c>
      <c r="T29" s="1559" t="s">
        <v>8</v>
      </c>
      <c r="U29" s="1560">
        <f t="shared" ref="U29:U42" si="11">H29</f>
        <v>100</v>
      </c>
      <c r="V29" s="1559" t="s">
        <v>8</v>
      </c>
      <c r="W29" s="1560">
        <f t="shared" ref="W29:W42" si="12">J29</f>
        <v>100</v>
      </c>
      <c r="X29" s="1553"/>
      <c r="Y29" s="3409"/>
      <c r="Z29" s="1561" t="str">
        <f t="shared" ref="Z29:Z42" si="13">Q29</f>
        <v>临街状况</v>
      </c>
      <c r="AA29" s="1562">
        <f t="shared" si="3"/>
        <v>1</v>
      </c>
      <c r="AB29" s="1562">
        <f t="shared" si="4"/>
        <v>1</v>
      </c>
      <c r="AC29" s="1562">
        <f t="shared" si="5"/>
        <v>1</v>
      </c>
    </row>
    <row r="30" spans="1:29" ht="28.8">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09"/>
      <c r="Q30" s="1558" t="str">
        <f t="shared" si="8"/>
        <v>毗邻道路的类型与等级</v>
      </c>
      <c r="R30" s="1559" t="s">
        <v>8</v>
      </c>
      <c r="S30" s="1560">
        <f t="shared" si="10"/>
        <v>100</v>
      </c>
      <c r="T30" s="1559" t="s">
        <v>8</v>
      </c>
      <c r="U30" s="1560">
        <f t="shared" si="11"/>
        <v>100</v>
      </c>
      <c r="V30" s="1559" t="s">
        <v>8</v>
      </c>
      <c r="W30" s="1560">
        <f t="shared" si="12"/>
        <v>100</v>
      </c>
      <c r="X30" s="1553"/>
      <c r="Y30" s="3409"/>
      <c r="Z30" s="1561" t="str">
        <f t="shared" si="13"/>
        <v>毗邻道路的类型与等级</v>
      </c>
      <c r="AA30" s="1562">
        <f t="shared" si="3"/>
        <v>1</v>
      </c>
      <c r="AB30" s="1562">
        <f t="shared" si="4"/>
        <v>1</v>
      </c>
      <c r="AC30" s="1562">
        <f t="shared" si="5"/>
        <v>1</v>
      </c>
    </row>
    <row r="31" spans="1:29" ht="15">
      <c r="A31" s="532"/>
      <c r="B31" s="595"/>
      <c r="C31" s="576"/>
      <c r="D31" s="555"/>
      <c r="E31" s="576"/>
      <c r="F31" s="555"/>
      <c r="G31" s="576"/>
      <c r="H31" s="555"/>
      <c r="I31" s="576"/>
      <c r="J31" s="555"/>
      <c r="K31" s="581"/>
      <c r="L31" s="2127"/>
      <c r="M31" s="2119"/>
      <c r="N31" s="2119"/>
      <c r="O31" s="2126"/>
      <c r="P31" s="3409"/>
      <c r="Q31" s="1558"/>
      <c r="R31" s="1559"/>
      <c r="S31" s="1560"/>
      <c r="T31" s="1559"/>
      <c r="U31" s="1560"/>
      <c r="V31" s="1559"/>
      <c r="W31" s="1560"/>
      <c r="X31" s="1553"/>
      <c r="Y31" s="3409"/>
      <c r="Z31" s="1561"/>
      <c r="AA31" s="1562">
        <v>1</v>
      </c>
      <c r="AB31" s="1562">
        <v>1</v>
      </c>
      <c r="AC31" s="1562">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09"/>
      <c r="Q32" s="1558" t="str">
        <f t="shared" si="8"/>
        <v>土地级别</v>
      </c>
      <c r="R32" s="1559" t="s">
        <v>8</v>
      </c>
      <c r="S32" s="1560">
        <f t="shared" si="10"/>
        <v>100</v>
      </c>
      <c r="T32" s="1559" t="s">
        <v>8</v>
      </c>
      <c r="U32" s="1560">
        <f t="shared" si="11"/>
        <v>100</v>
      </c>
      <c r="V32" s="1559" t="s">
        <v>8</v>
      </c>
      <c r="W32" s="1560">
        <f t="shared" si="12"/>
        <v>100</v>
      </c>
      <c r="X32" s="1553"/>
      <c r="Y32" s="3409"/>
      <c r="Z32" s="1561" t="str">
        <f t="shared" si="13"/>
        <v>土地级别</v>
      </c>
      <c r="AA32" s="1562">
        <f t="shared" si="3"/>
        <v>1</v>
      </c>
      <c r="AB32" s="1562">
        <f t="shared" si="4"/>
        <v>1</v>
      </c>
      <c r="AC32" s="156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09"/>
      <c r="Q33" s="1558">
        <f t="shared" si="8"/>
        <v>111</v>
      </c>
      <c r="R33" s="1559" t="s">
        <v>8</v>
      </c>
      <c r="S33" s="1560">
        <f t="shared" si="10"/>
        <v>100</v>
      </c>
      <c r="T33" s="1559" t="s">
        <v>8</v>
      </c>
      <c r="U33" s="1560">
        <f t="shared" si="11"/>
        <v>100</v>
      </c>
      <c r="V33" s="1559" t="s">
        <v>8</v>
      </c>
      <c r="W33" s="1560">
        <f t="shared" si="12"/>
        <v>100</v>
      </c>
      <c r="X33" s="1553"/>
      <c r="Y33" s="3409"/>
      <c r="Z33" s="1561">
        <f t="shared" si="13"/>
        <v>111</v>
      </c>
      <c r="AA33" s="1562">
        <f t="shared" si="3"/>
        <v>1</v>
      </c>
      <c r="AB33" s="1562">
        <f t="shared" si="4"/>
        <v>1</v>
      </c>
      <c r="AC33" s="156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10" t="s">
        <v>550</v>
      </c>
      <c r="Q34" s="1558">
        <f t="shared" si="8"/>
        <v>111</v>
      </c>
      <c r="R34" s="1559" t="s">
        <v>8</v>
      </c>
      <c r="S34" s="1560">
        <f t="shared" si="10"/>
        <v>100</v>
      </c>
      <c r="T34" s="1559" t="s">
        <v>8</v>
      </c>
      <c r="U34" s="1560">
        <f t="shared" si="11"/>
        <v>100</v>
      </c>
      <c r="V34" s="1559" t="s">
        <v>8</v>
      </c>
      <c r="W34" s="1560">
        <f t="shared" si="12"/>
        <v>100</v>
      </c>
      <c r="X34" s="1553"/>
      <c r="Y34" s="3411" t="s">
        <v>550</v>
      </c>
      <c r="Z34" s="1561">
        <f t="shared" si="13"/>
        <v>111</v>
      </c>
      <c r="AA34" s="1562">
        <f t="shared" si="3"/>
        <v>1</v>
      </c>
      <c r="AB34" s="1562">
        <f t="shared" si="4"/>
        <v>1</v>
      </c>
      <c r="AC34" s="1562">
        <f t="shared" si="5"/>
        <v>1</v>
      </c>
    </row>
    <row r="35" spans="1:29" s="1334" customFormat="1" ht="15.6"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11"/>
      <c r="Q35" s="1558">
        <f t="shared" si="8"/>
        <v>111</v>
      </c>
      <c r="R35" s="1563" t="s">
        <v>8</v>
      </c>
      <c r="S35" s="1564">
        <f t="shared" si="10"/>
        <v>100</v>
      </c>
      <c r="T35" s="1563" t="s">
        <v>8</v>
      </c>
      <c r="U35" s="1564">
        <f t="shared" si="11"/>
        <v>100</v>
      </c>
      <c r="V35" s="1563" t="s">
        <v>8</v>
      </c>
      <c r="W35" s="1564">
        <f t="shared" si="12"/>
        <v>100</v>
      </c>
      <c r="X35" s="1565"/>
      <c r="Y35" s="3411"/>
      <c r="Z35" s="1566">
        <f t="shared" si="13"/>
        <v>111</v>
      </c>
      <c r="AA35" s="1562">
        <f t="shared" si="3"/>
        <v>1</v>
      </c>
      <c r="AB35" s="1562">
        <f t="shared" si="4"/>
        <v>1</v>
      </c>
      <c r="AC35" s="1562">
        <f t="shared" si="5"/>
        <v>1</v>
      </c>
    </row>
    <row r="36" spans="1:29" ht="15">
      <c r="A36" s="2862"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11"/>
      <c r="Q36" s="1558" t="str">
        <f>B36</f>
        <v>宗地面积</v>
      </c>
      <c r="R36" s="1559" t="s">
        <v>8</v>
      </c>
      <c r="S36" s="1560" t="e">
        <f t="shared" si="10"/>
        <v>#N/A</v>
      </c>
      <c r="T36" s="1559" t="s">
        <v>8</v>
      </c>
      <c r="U36" s="1560" t="e">
        <f t="shared" si="11"/>
        <v>#N/A</v>
      </c>
      <c r="V36" s="1559" t="s">
        <v>8</v>
      </c>
      <c r="W36" s="1560" t="e">
        <f t="shared" si="12"/>
        <v>#N/A</v>
      </c>
      <c r="X36" s="1553"/>
      <c r="Y36" s="3411"/>
      <c r="Z36" s="1561" t="str">
        <f t="shared" si="13"/>
        <v>宗地面积</v>
      </c>
      <c r="AA36" s="1562" t="e">
        <f t="shared" si="3"/>
        <v>#N/A</v>
      </c>
      <c r="AB36" s="1562" t="e">
        <f t="shared" si="4"/>
        <v>#N/A</v>
      </c>
      <c r="AC36" s="156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11"/>
      <c r="Q37" s="1558" t="str">
        <f t="shared" ref="Q37:Q42" si="14">B37</f>
        <v>宗地形状</v>
      </c>
      <c r="R37" s="1559" t="s">
        <v>8</v>
      </c>
      <c r="S37" s="1560">
        <f t="shared" si="10"/>
        <v>100</v>
      </c>
      <c r="T37" s="1559" t="s">
        <v>8</v>
      </c>
      <c r="U37" s="1560">
        <f t="shared" si="11"/>
        <v>100</v>
      </c>
      <c r="V37" s="1559" t="s">
        <v>8</v>
      </c>
      <c r="W37" s="1560">
        <f t="shared" si="12"/>
        <v>100</v>
      </c>
      <c r="X37" s="1553"/>
      <c r="Y37" s="3411"/>
      <c r="Z37" s="1561" t="str">
        <f t="shared" si="13"/>
        <v>宗地形状</v>
      </c>
      <c r="AA37" s="1562">
        <f t="shared" si="3"/>
        <v>1</v>
      </c>
      <c r="AB37" s="1562">
        <f t="shared" si="4"/>
        <v>1</v>
      </c>
      <c r="AC37" s="1562">
        <f t="shared" si="5"/>
        <v>1</v>
      </c>
    </row>
    <row r="38" spans="1:29" s="1215" customFormat="1" ht="15">
      <c r="A38" s="600"/>
      <c r="B38" s="1880"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11"/>
      <c r="Q38" s="1558" t="str">
        <f t="shared" si="14"/>
        <v>宗地开发程度</v>
      </c>
      <c r="R38" s="1554" t="s">
        <v>8</v>
      </c>
      <c r="S38" s="1555">
        <f t="shared" si="10"/>
        <v>100</v>
      </c>
      <c r="T38" s="1554" t="s">
        <v>8</v>
      </c>
      <c r="U38" s="1555">
        <f t="shared" si="11"/>
        <v>100</v>
      </c>
      <c r="V38" s="1554" t="s">
        <v>8</v>
      </c>
      <c r="W38" s="1555">
        <f t="shared" si="12"/>
        <v>100</v>
      </c>
      <c r="X38" s="1556"/>
      <c r="Y38" s="3411"/>
      <c r="Z38" s="1145" t="str">
        <f t="shared" si="13"/>
        <v>宗地开发程度</v>
      </c>
      <c r="AA38" s="1557">
        <f t="shared" si="3"/>
        <v>1</v>
      </c>
      <c r="AB38" s="1557">
        <f t="shared" si="4"/>
        <v>1</v>
      </c>
      <c r="AC38" s="155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1" t="s">
        <v>601</v>
      </c>
      <c r="Q39" s="1558" t="str">
        <f t="shared" si="14"/>
        <v>工程地质条件</v>
      </c>
      <c r="R39" s="1559" t="s">
        <v>8</v>
      </c>
      <c r="S39" s="1560">
        <f t="shared" si="10"/>
        <v>100</v>
      </c>
      <c r="T39" s="1559" t="s">
        <v>8</v>
      </c>
      <c r="U39" s="1560">
        <f t="shared" si="11"/>
        <v>100</v>
      </c>
      <c r="V39" s="1559" t="s">
        <v>8</v>
      </c>
      <c r="W39" s="1560">
        <f t="shared" si="12"/>
        <v>100</v>
      </c>
      <c r="X39" s="1553"/>
      <c r="Y39" s="3411" t="s">
        <v>601</v>
      </c>
      <c r="Z39" s="1561" t="str">
        <f t="shared" si="13"/>
        <v>工程地质条件</v>
      </c>
      <c r="AA39" s="1562">
        <f t="shared" si="3"/>
        <v>1</v>
      </c>
      <c r="AB39" s="1562">
        <f t="shared" si="4"/>
        <v>1</v>
      </c>
      <c r="AC39" s="156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11"/>
      <c r="Q40" s="1558">
        <f t="shared" si="14"/>
        <v>111</v>
      </c>
      <c r="R40" s="1559" t="s">
        <v>8</v>
      </c>
      <c r="S40" s="1560">
        <f t="shared" si="10"/>
        <v>100</v>
      </c>
      <c r="T40" s="1559" t="s">
        <v>8</v>
      </c>
      <c r="U40" s="1560">
        <f t="shared" si="11"/>
        <v>100</v>
      </c>
      <c r="V40" s="1559" t="s">
        <v>8</v>
      </c>
      <c r="W40" s="1560">
        <f t="shared" si="12"/>
        <v>100</v>
      </c>
      <c r="X40" s="1553"/>
      <c r="Y40" s="3411"/>
      <c r="Z40" s="1561">
        <f t="shared" si="13"/>
        <v>111</v>
      </c>
      <c r="AA40" s="1562">
        <f t="shared" si="3"/>
        <v>1</v>
      </c>
      <c r="AB40" s="1562">
        <f t="shared" si="4"/>
        <v>1</v>
      </c>
      <c r="AC40" s="156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11"/>
      <c r="Q41" s="1558">
        <f t="shared" si="14"/>
        <v>111</v>
      </c>
      <c r="R41" s="1559" t="s">
        <v>8</v>
      </c>
      <c r="S41" s="1560">
        <f t="shared" si="10"/>
        <v>100</v>
      </c>
      <c r="T41" s="1559" t="s">
        <v>8</v>
      </c>
      <c r="U41" s="1560">
        <f t="shared" si="11"/>
        <v>100</v>
      </c>
      <c r="V41" s="1559" t="s">
        <v>8</v>
      </c>
      <c r="W41" s="1560">
        <f t="shared" si="12"/>
        <v>100</v>
      </c>
      <c r="X41" s="1553"/>
      <c r="Y41" s="3411"/>
      <c r="Z41" s="1561">
        <f t="shared" si="13"/>
        <v>111</v>
      </c>
      <c r="AA41" s="1562">
        <f t="shared" si="3"/>
        <v>1</v>
      </c>
      <c r="AB41" s="1562">
        <f t="shared" si="4"/>
        <v>1</v>
      </c>
      <c r="AC41" s="1562">
        <f t="shared" si="5"/>
        <v>1</v>
      </c>
    </row>
    <row r="42" spans="1:29" s="1334"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11"/>
      <c r="Q42" s="1558">
        <f t="shared" si="14"/>
        <v>111</v>
      </c>
      <c r="R42" s="1563" t="s">
        <v>8</v>
      </c>
      <c r="S42" s="1564">
        <f t="shared" si="10"/>
        <v>100</v>
      </c>
      <c r="T42" s="1563" t="s">
        <v>8</v>
      </c>
      <c r="U42" s="1564">
        <f t="shared" si="11"/>
        <v>100</v>
      </c>
      <c r="V42" s="1563" t="s">
        <v>8</v>
      </c>
      <c r="W42" s="1564">
        <f t="shared" si="12"/>
        <v>100</v>
      </c>
      <c r="X42" s="1565"/>
      <c r="Y42" s="3411"/>
      <c r="Z42" s="1566">
        <f t="shared" si="13"/>
        <v>111</v>
      </c>
      <c r="AA42" s="1562">
        <f t="shared" si="3"/>
        <v>1</v>
      </c>
      <c r="AB42" s="1562">
        <f t="shared" si="4"/>
        <v>1</v>
      </c>
      <c r="AC42" s="1562">
        <f t="shared" si="5"/>
        <v>1</v>
      </c>
    </row>
    <row r="43" spans="1:29" ht="14.4">
      <c r="A43" s="607" t="s">
        <v>556</v>
      </c>
      <c r="B43" s="608" t="s">
        <v>2930</v>
      </c>
      <c r="C43" s="609" t="s">
        <v>1</v>
      </c>
      <c r="D43" s="610"/>
      <c r="E43" s="611"/>
      <c r="F43" s="612"/>
      <c r="G43" s="613"/>
      <c r="H43" s="614"/>
      <c r="I43" s="611"/>
      <c r="J43" s="614"/>
      <c r="K43" s="1335"/>
      <c r="L43" s="2129"/>
      <c r="M43" s="2119"/>
      <c r="N43" s="2119"/>
      <c r="O43" s="2130"/>
      <c r="P43" s="3374" t="str">
        <f>A43</f>
        <v>成交单价</v>
      </c>
      <c r="Q43" s="3374"/>
      <c r="R43" s="3375">
        <f>E43</f>
        <v>0</v>
      </c>
      <c r="S43" s="3375"/>
      <c r="T43" s="3375">
        <f>G43</f>
        <v>0</v>
      </c>
      <c r="U43" s="3375"/>
      <c r="V43" s="3375">
        <f>I43</f>
        <v>0</v>
      </c>
      <c r="W43" s="3375"/>
      <c r="X43" s="1545"/>
      <c r="Y43" s="1567"/>
      <c r="Z43" s="1545"/>
      <c r="AA43" s="1545"/>
      <c r="AB43" s="1545"/>
      <c r="AC43" s="1545"/>
    </row>
    <row r="44" spans="1:29" ht="15" thickBot="1">
      <c r="A44" s="615" t="s">
        <v>2687</v>
      </c>
      <c r="B44" s="616"/>
      <c r="C44" s="617" t="e">
        <f>R45</f>
        <v>#DIV/0!</v>
      </c>
      <c r="D44" s="618"/>
      <c r="E44" s="617" t="e">
        <f>R44</f>
        <v>#DIV/0!</v>
      </c>
      <c r="F44" s="619"/>
      <c r="G44" s="620" t="e">
        <f>T44</f>
        <v>#DIV/0!</v>
      </c>
      <c r="H44" s="618"/>
      <c r="I44" s="617" t="e">
        <f>V44</f>
        <v>#DIV/0!</v>
      </c>
      <c r="J44" s="618"/>
      <c r="K44" s="1336"/>
      <c r="L44" s="2129"/>
      <c r="M44" s="2119"/>
      <c r="N44" s="2119"/>
      <c r="O44" s="2130"/>
      <c r="P44" s="3374" t="str">
        <f>A44</f>
        <v>比较价格（元/平方米）</v>
      </c>
      <c r="Q44" s="3374"/>
      <c r="R44" s="3376" t="e">
        <f>ROUND(PRODUCT(R43,AA9:AA42),0)</f>
        <v>#DIV/0!</v>
      </c>
      <c r="S44" s="3376"/>
      <c r="T44" s="3376" t="e">
        <f>ROUND(PRODUCT(T43,AB9:AB42),0)</f>
        <v>#DIV/0!</v>
      </c>
      <c r="U44" s="3376"/>
      <c r="V44" s="3376" t="e">
        <f>ROUND(PRODUCT(V43,AC9:AC42),0)</f>
        <v>#DIV/0!</v>
      </c>
      <c r="W44" s="3376"/>
      <c r="X44" s="1545"/>
      <c r="Y44" s="1545"/>
      <c r="Z44" s="1545"/>
      <c r="AA44" s="1545"/>
      <c r="AB44" s="1545"/>
      <c r="AC44" s="1545"/>
    </row>
    <row r="45" spans="1:29" ht="15" thickBot="1">
      <c r="A45" s="621" t="s">
        <v>2931</v>
      </c>
      <c r="B45" s="622"/>
      <c r="C45" s="623" t="e">
        <f>R45</f>
        <v>#DIV/0!</v>
      </c>
      <c r="D45" s="623"/>
      <c r="E45" s="623"/>
      <c r="F45" s="623"/>
      <c r="G45" s="623"/>
      <c r="H45" s="623"/>
      <c r="I45" s="623"/>
      <c r="J45" s="623"/>
      <c r="K45" s="1337"/>
      <c r="L45" s="2129"/>
      <c r="M45" s="2119"/>
      <c r="N45" s="2119"/>
      <c r="O45" s="2130"/>
      <c r="P45" s="3371" t="str">
        <f>A45</f>
        <v>估价对象XX用房的比较价格（楼面单价，元/平方米）</v>
      </c>
      <c r="Q45" s="3372"/>
      <c r="R45" s="3373" t="e">
        <f>ROUND(AVERAGE(R44:V44),0)</f>
        <v>#DIV/0!</v>
      </c>
      <c r="S45" s="3373"/>
      <c r="T45" s="3373"/>
      <c r="U45" s="3373"/>
      <c r="V45" s="3373"/>
      <c r="W45" s="3373"/>
      <c r="X45" s="1545"/>
      <c r="Y45" s="1545"/>
      <c r="Z45" s="1545"/>
      <c r="AA45" s="1545"/>
      <c r="AB45" s="1545"/>
      <c r="AC45" s="1545"/>
    </row>
    <row r="46" spans="1:29">
      <c r="A46" s="2130"/>
      <c r="B46" s="2130"/>
      <c r="C46" s="2130"/>
      <c r="D46" s="2130"/>
      <c r="E46" s="2130"/>
      <c r="F46" s="2130"/>
      <c r="G46" s="2133"/>
      <c r="H46" s="2130"/>
      <c r="I46" s="2130"/>
      <c r="J46" s="2130"/>
      <c r="K46" s="2134"/>
      <c r="L46" s="2135"/>
      <c r="M46" s="2119"/>
      <c r="N46" s="2119"/>
      <c r="O46" s="2130"/>
      <c r="P46" s="1545"/>
      <c r="Q46" s="1545"/>
      <c r="R46" s="1545"/>
      <c r="S46" s="1545"/>
      <c r="T46" s="1545"/>
      <c r="U46" s="1545"/>
      <c r="V46" s="1545"/>
      <c r="W46" s="1545"/>
      <c r="X46" s="1545"/>
      <c r="Y46" s="1545"/>
      <c r="Z46" s="1545"/>
      <c r="AA46" s="1545"/>
      <c r="AB46" s="1545"/>
      <c r="AC46" s="1545"/>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0"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0" customFormat="1" ht="14.4"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8.8">
      <c r="A52" s="629" t="s">
        <v>560</v>
      </c>
      <c r="B52" s="630" t="s">
        <v>561</v>
      </c>
      <c r="C52" s="1546" t="s">
        <v>1722</v>
      </c>
      <c r="D52" s="2212" t="s">
        <v>2288</v>
      </c>
      <c r="E52" s="631" t="s">
        <v>562</v>
      </c>
      <c r="F52" s="1936" t="s">
        <v>563</v>
      </c>
      <c r="G52" s="3418" t="s">
        <v>2279</v>
      </c>
      <c r="H52" s="3419"/>
      <c r="I52" s="1937" t="s">
        <v>1941</v>
      </c>
      <c r="J52" s="1541">
        <f>项目基本情况!F41</f>
        <v>0</v>
      </c>
      <c r="K52" s="2139" t="s">
        <v>1721</v>
      </c>
      <c r="L52" s="2135"/>
      <c r="M52" s="2130"/>
      <c r="N52" s="2130"/>
      <c r="O52" s="2130"/>
      <c r="P52" s="2130"/>
      <c r="Q52" s="2130"/>
      <c r="R52" s="2130"/>
      <c r="S52" s="2130"/>
      <c r="T52" s="2130"/>
      <c r="U52" s="2130"/>
      <c r="V52" s="2130"/>
      <c r="W52" s="2130"/>
      <c r="X52" s="2130"/>
      <c r="Y52" s="2130"/>
      <c r="Z52" s="2130"/>
      <c r="AA52" s="2130"/>
      <c r="AB52" s="2130"/>
      <c r="AC52" s="2130"/>
    </row>
    <row r="53" spans="1:29" s="1341" customFormat="1" ht="13.2">
      <c r="A53" s="633" t="s">
        <v>564</v>
      </c>
      <c r="B53" s="634" t="e">
        <f>C45</f>
        <v>#DIV/0!</v>
      </c>
      <c r="C53" s="635">
        <v>1</v>
      </c>
      <c r="D53" s="2213">
        <v>1</v>
      </c>
      <c r="E53" s="635">
        <f>'数据-汇总表'!E8+'数据-汇总表'!E9</f>
        <v>75478</v>
      </c>
      <c r="F53" s="1935" t="e">
        <f t="shared" ref="F53:F62" si="15">ROUND(B53*E53/10000,0)</f>
        <v>#DIV/0!</v>
      </c>
      <c r="G53" s="3420"/>
      <c r="H53" s="3421"/>
      <c r="I53" s="1938">
        <v>1</v>
      </c>
      <c r="J53" s="1542">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1" customFormat="1" ht="13.2">
      <c r="A54" s="637" t="s">
        <v>565</v>
      </c>
      <c r="B54" s="638" t="e">
        <f>ROUND($C$45*C54*D54,0)</f>
        <v>#DIV/0!</v>
      </c>
      <c r="C54" s="378">
        <f t="shared" ref="C54:C62" si="16">IF($C$52="北京市系数",I54,J54)</f>
        <v>0</v>
      </c>
      <c r="D54" s="2214">
        <v>0.25</v>
      </c>
      <c r="E54" s="639"/>
      <c r="F54" s="1935" t="e">
        <f t="shared" si="15"/>
        <v>#DIV/0!</v>
      </c>
      <c r="G54" s="3422" t="s">
        <v>2280</v>
      </c>
      <c r="H54" s="1939">
        <f>项目基本情况!B43</f>
        <v>0</v>
      </c>
      <c r="I54" s="1938">
        <f>SUMIF(修正!$A$45:$A$56,H54,修正!B45:B56)</f>
        <v>0</v>
      </c>
      <c r="J54" s="1544"/>
      <c r="K54" s="2140"/>
      <c r="L54" s="2140"/>
      <c r="M54" s="2140"/>
      <c r="N54" s="2140"/>
      <c r="O54" s="2140"/>
      <c r="P54" s="2140"/>
      <c r="Q54" s="2140"/>
      <c r="R54" s="2140"/>
      <c r="S54" s="2140"/>
      <c r="T54" s="2140"/>
      <c r="U54" s="2140"/>
      <c r="V54" s="2140"/>
      <c r="W54" s="2140"/>
      <c r="X54" s="2140"/>
      <c r="Y54" s="2140"/>
      <c r="Z54" s="2140"/>
      <c r="AA54" s="2140"/>
      <c r="AB54" s="2140"/>
      <c r="AC54" s="2140"/>
    </row>
    <row r="55" spans="1:29" s="1341" customFormat="1" ht="13.2">
      <c r="A55" s="637" t="s">
        <v>566</v>
      </c>
      <c r="B55" s="638" t="e">
        <f t="shared" ref="B55:B62" si="17">ROUND($C$45*C55*D55,0)</f>
        <v>#DIV/0!</v>
      </c>
      <c r="C55" s="378">
        <f t="shared" si="16"/>
        <v>0</v>
      </c>
      <c r="D55" s="2214">
        <v>0.25</v>
      </c>
      <c r="E55" s="639"/>
      <c r="F55" s="1935" t="e">
        <f t="shared" si="15"/>
        <v>#DIV/0!</v>
      </c>
      <c r="G55" s="3422"/>
      <c r="H55" s="1940">
        <f>项目基本情况!B43</f>
        <v>0</v>
      </c>
      <c r="I55" s="1938">
        <f>SUMIF(修正!$A$45:$A$56,H55,修正!C45:C56)</f>
        <v>0</v>
      </c>
      <c r="J55" s="1544"/>
      <c r="K55" s="2140"/>
      <c r="L55" s="2140"/>
      <c r="M55" s="2140"/>
      <c r="N55" s="2140"/>
      <c r="O55" s="2140"/>
      <c r="P55" s="2140"/>
      <c r="Q55" s="2140"/>
      <c r="R55" s="2140"/>
      <c r="S55" s="2140"/>
      <c r="T55" s="2140"/>
      <c r="U55" s="2140"/>
      <c r="V55" s="2140"/>
      <c r="W55" s="2140"/>
      <c r="X55" s="2140"/>
      <c r="Y55" s="2140"/>
      <c r="Z55" s="2140"/>
      <c r="AA55" s="2140"/>
      <c r="AB55" s="2140"/>
      <c r="AC55" s="2140"/>
    </row>
    <row r="56" spans="1:29" s="1341" customFormat="1" ht="13.2">
      <c r="A56" s="637" t="s">
        <v>567</v>
      </c>
      <c r="B56" s="638" t="e">
        <f t="shared" si="17"/>
        <v>#DIV/0!</v>
      </c>
      <c r="C56" s="378">
        <f t="shared" si="16"/>
        <v>0</v>
      </c>
      <c r="D56" s="2214">
        <v>0.25</v>
      </c>
      <c r="E56" s="639"/>
      <c r="F56" s="1935" t="e">
        <f t="shared" si="15"/>
        <v>#DIV/0!</v>
      </c>
      <c r="G56" s="3422"/>
      <c r="H56" s="1940">
        <f>项目基本情况!B43</f>
        <v>0</v>
      </c>
      <c r="I56" s="1938">
        <f>SUMIF(修正!$A$45:$A$56,H56,修正!D45:D56)</f>
        <v>0</v>
      </c>
      <c r="J56" s="1544"/>
      <c r="K56" s="2140"/>
      <c r="L56" s="2140"/>
      <c r="M56" s="2140"/>
      <c r="N56" s="2140"/>
      <c r="O56" s="2140"/>
      <c r="P56" s="2140"/>
      <c r="Q56" s="2140"/>
      <c r="R56" s="2140"/>
      <c r="S56" s="2140"/>
      <c r="T56" s="2140"/>
      <c r="U56" s="2140"/>
      <c r="V56" s="2140"/>
      <c r="W56" s="2140"/>
      <c r="X56" s="2140"/>
      <c r="Y56" s="2140"/>
      <c r="Z56" s="2140"/>
      <c r="AA56" s="2140"/>
      <c r="AB56" s="2140"/>
      <c r="AC56" s="2140"/>
    </row>
    <row r="57" spans="1:29" s="1341" customFormat="1" ht="13.2">
      <c r="A57" s="637" t="s">
        <v>568</v>
      </c>
      <c r="B57" s="638" t="e">
        <f t="shared" si="17"/>
        <v>#DIV/0!</v>
      </c>
      <c r="C57" s="378">
        <f t="shared" si="16"/>
        <v>0</v>
      </c>
      <c r="D57" s="2214">
        <v>0.25</v>
      </c>
      <c r="E57" s="639"/>
      <c r="F57" s="1935" t="e">
        <f t="shared" si="15"/>
        <v>#DIV/0!</v>
      </c>
      <c r="G57" s="3422"/>
      <c r="H57" s="1940">
        <f>项目基本情况!B43</f>
        <v>0</v>
      </c>
      <c r="I57" s="1938">
        <f>SUMIF(修正!$A$45:$A$56,H57,修正!E45:E56)</f>
        <v>0</v>
      </c>
      <c r="J57" s="1544"/>
      <c r="K57" s="2140"/>
      <c r="L57" s="2140"/>
      <c r="M57" s="2140"/>
      <c r="N57" s="2140"/>
      <c r="O57" s="2140"/>
      <c r="P57" s="2140"/>
      <c r="Q57" s="2140"/>
      <c r="R57" s="2140"/>
      <c r="S57" s="2140"/>
      <c r="T57" s="2140"/>
      <c r="U57" s="2140"/>
      <c r="V57" s="2140"/>
      <c r="W57" s="2140"/>
      <c r="X57" s="2140"/>
      <c r="Y57" s="2140"/>
      <c r="Z57" s="2140"/>
      <c r="AA57" s="2140"/>
      <c r="AB57" s="2140"/>
      <c r="AC57" s="2140"/>
    </row>
    <row r="58" spans="1:29" s="1341" customFormat="1" ht="13.2">
      <c r="A58" s="2316" t="s">
        <v>2323</v>
      </c>
      <c r="B58" s="638" t="e">
        <f t="shared" si="17"/>
        <v>#DIV/0!</v>
      </c>
      <c r="C58" s="378">
        <f t="shared" si="16"/>
        <v>0</v>
      </c>
      <c r="D58" s="2214">
        <v>0.25</v>
      </c>
      <c r="E58" s="641">
        <f>'数据-汇总表'!E11</f>
        <v>0</v>
      </c>
      <c r="F58" s="1935" t="e">
        <f t="shared" si="15"/>
        <v>#DIV/0!</v>
      </c>
      <c r="G58" s="1941" t="s">
        <v>2281</v>
      </c>
      <c r="H58" s="1940">
        <f>项目基本情况!C43</f>
        <v>0</v>
      </c>
      <c r="I58" s="1938">
        <f>SUMIF(修正!$A$45:$A$56,H58,修正!F45:F56)</f>
        <v>0</v>
      </c>
      <c r="J58" s="1544"/>
      <c r="K58" s="2140"/>
      <c r="L58" s="2140"/>
      <c r="M58" s="2140"/>
      <c r="N58" s="2140"/>
      <c r="O58" s="2140"/>
      <c r="P58" s="2140"/>
      <c r="Q58" s="2140"/>
      <c r="R58" s="2140"/>
      <c r="S58" s="2140"/>
      <c r="T58" s="2140"/>
      <c r="U58" s="2140"/>
      <c r="V58" s="2140"/>
      <c r="W58" s="2140"/>
      <c r="X58" s="2140"/>
      <c r="Y58" s="2140"/>
      <c r="Z58" s="2140"/>
      <c r="AA58" s="2140"/>
      <c r="AB58" s="2140"/>
      <c r="AC58" s="2140"/>
    </row>
    <row r="59" spans="1:29" s="1341" customFormat="1" ht="13.2">
      <c r="A59" s="637" t="s">
        <v>569</v>
      </c>
      <c r="B59" s="638" t="e">
        <f t="shared" si="17"/>
        <v>#DIV/0!</v>
      </c>
      <c r="C59" s="378">
        <f t="shared" si="16"/>
        <v>0</v>
      </c>
      <c r="D59" s="2214">
        <v>0.25</v>
      </c>
      <c r="E59" s="641">
        <f>'数据-汇总表'!E12</f>
        <v>0</v>
      </c>
      <c r="F59" s="1935" t="e">
        <f t="shared" si="15"/>
        <v>#DIV/0!</v>
      </c>
      <c r="G59" s="1931" t="s">
        <v>1675</v>
      </c>
      <c r="H59" s="1939">
        <f>IF(G59="商业",项目基本情况!B43,IF(G59="办公",项目基本情况!C43,IF(G59="住宅",项目基本情况!D43,项目基本情况!E43)))</f>
        <v>0</v>
      </c>
      <c r="I59" s="1938">
        <f>SUMIF(修正!$A$45:$A$56,H59,修正!G45:G56)</f>
        <v>0</v>
      </c>
      <c r="J59" s="1544"/>
      <c r="K59" s="2140"/>
      <c r="L59" s="2140"/>
      <c r="M59" s="2140"/>
      <c r="N59" s="2140"/>
      <c r="O59" s="2140"/>
      <c r="P59" s="2140"/>
      <c r="Q59" s="2140"/>
      <c r="R59" s="2140"/>
      <c r="S59" s="2140"/>
      <c r="T59" s="2140"/>
      <c r="U59" s="2140"/>
      <c r="V59" s="2140"/>
      <c r="W59" s="2140"/>
      <c r="X59" s="2140"/>
      <c r="Y59" s="2140"/>
      <c r="Z59" s="2140"/>
      <c r="AA59" s="2140"/>
      <c r="AB59" s="2140"/>
      <c r="AC59" s="2140"/>
    </row>
    <row r="60" spans="1:29" s="1341" customFormat="1" ht="13.2">
      <c r="A60" s="637" t="s">
        <v>570</v>
      </c>
      <c r="B60" s="638" t="e">
        <f t="shared" si="17"/>
        <v>#DIV/0!</v>
      </c>
      <c r="C60" s="378">
        <f t="shared" si="16"/>
        <v>0</v>
      </c>
      <c r="D60" s="2214">
        <v>0.25</v>
      </c>
      <c r="E60" s="641">
        <f>'数据-汇总表'!E13</f>
        <v>0</v>
      </c>
      <c r="F60" s="1935" t="e">
        <f t="shared" si="15"/>
        <v>#DIV/0!</v>
      </c>
      <c r="G60" s="1931" t="s">
        <v>921</v>
      </c>
      <c r="H60" s="1939">
        <f>IF(G60="商业",项目基本情况!B43,IF(G60="办公",项目基本情况!C43,IF(G60="住宅",项目基本情况!D43,项目基本情况!E43)))</f>
        <v>0</v>
      </c>
      <c r="I60" s="1938">
        <f>SUMIF(修正!$A$45:$A$56,H60,修正!H45:H56)</f>
        <v>0</v>
      </c>
      <c r="J60" s="1544"/>
      <c r="K60" s="2140"/>
      <c r="L60" s="2140"/>
      <c r="M60" s="2140"/>
      <c r="N60" s="2140"/>
      <c r="O60" s="2140"/>
      <c r="P60" s="2140"/>
      <c r="Q60" s="2140"/>
      <c r="R60" s="2140"/>
      <c r="S60" s="2140"/>
      <c r="T60" s="2140"/>
      <c r="U60" s="2140"/>
      <c r="V60" s="2140"/>
      <c r="W60" s="2140"/>
      <c r="X60" s="2140"/>
      <c r="Y60" s="2140"/>
      <c r="Z60" s="2140"/>
      <c r="AA60" s="2140"/>
      <c r="AB60" s="2140"/>
      <c r="AC60" s="2140"/>
    </row>
    <row r="61" spans="1:29" s="1341" customFormat="1" ht="13.2">
      <c r="A61" s="637" t="s">
        <v>571</v>
      </c>
      <c r="B61" s="638" t="e">
        <f t="shared" si="17"/>
        <v>#DIV/0!</v>
      </c>
      <c r="C61" s="378">
        <f t="shared" si="16"/>
        <v>0</v>
      </c>
      <c r="D61" s="2214">
        <v>0.25</v>
      </c>
      <c r="E61" s="641">
        <f>'数据-汇总表'!E14</f>
        <v>0</v>
      </c>
      <c r="F61" s="1935" t="e">
        <f t="shared" si="15"/>
        <v>#DIV/0!</v>
      </c>
      <c r="G61" s="1941" t="s">
        <v>2280</v>
      </c>
      <c r="H61" s="1940">
        <f>项目基本情况!B43</f>
        <v>0</v>
      </c>
      <c r="I61" s="1938">
        <f>SUMIF(修正!$A$45:$A$56,H61,修正!H45:H56)</f>
        <v>0</v>
      </c>
      <c r="J61" s="1544"/>
      <c r="K61" s="2140"/>
      <c r="L61" s="2140"/>
      <c r="M61" s="2140"/>
      <c r="N61" s="2140"/>
      <c r="O61" s="2140"/>
      <c r="P61" s="2140"/>
      <c r="Q61" s="2140"/>
      <c r="R61" s="2140"/>
      <c r="S61" s="2140"/>
      <c r="T61" s="2140"/>
      <c r="U61" s="2140"/>
      <c r="V61" s="2140"/>
      <c r="W61" s="2140"/>
      <c r="X61" s="2140"/>
      <c r="Y61" s="2140"/>
      <c r="Z61" s="2140"/>
      <c r="AA61" s="2140"/>
      <c r="AB61" s="2140"/>
      <c r="AC61" s="2140"/>
    </row>
    <row r="62" spans="1:29" s="1341" customFormat="1" thickBot="1">
      <c r="A62" s="637" t="s">
        <v>572</v>
      </c>
      <c r="B62" s="638" t="e">
        <f t="shared" si="17"/>
        <v>#DIV/0!</v>
      </c>
      <c r="C62" s="378">
        <f t="shared" si="16"/>
        <v>0</v>
      </c>
      <c r="D62" s="2214">
        <v>0.25</v>
      </c>
      <c r="E62" s="641">
        <f>'数据-汇总表'!E15</f>
        <v>0</v>
      </c>
      <c r="F62" s="1935" t="e">
        <f t="shared" si="15"/>
        <v>#DIV/0!</v>
      </c>
      <c r="G62" s="1942" t="s">
        <v>2281</v>
      </c>
      <c r="H62" s="1943">
        <f>项目基本情况!C43</f>
        <v>0</v>
      </c>
      <c r="I62" s="1938">
        <f>SUMIF(修正!$A$45:$A$56,H62,修正!H45:H56)</f>
        <v>0</v>
      </c>
      <c r="J62" s="1544"/>
      <c r="K62" s="2140"/>
      <c r="L62" s="2140"/>
      <c r="M62" s="2140"/>
      <c r="N62" s="2140"/>
      <c r="O62" s="2140"/>
      <c r="P62" s="2140"/>
      <c r="Q62" s="2140"/>
      <c r="R62" s="2140"/>
      <c r="S62" s="2140"/>
      <c r="T62" s="2140"/>
      <c r="U62" s="2140"/>
      <c r="V62" s="2140"/>
      <c r="W62" s="2140"/>
      <c r="X62" s="2140"/>
      <c r="Y62" s="2140"/>
      <c r="Z62" s="2140"/>
      <c r="AA62" s="2140"/>
      <c r="AB62" s="2140"/>
      <c r="AC62" s="2140"/>
    </row>
    <row r="63" spans="1:29" s="1341" customFormat="1" thickBot="1">
      <c r="A63" s="642" t="s">
        <v>573</v>
      </c>
      <c r="B63" s="643" t="s">
        <v>17</v>
      </c>
      <c r="C63" s="643" t="s">
        <v>18</v>
      </c>
      <c r="D63" s="643" t="s">
        <v>2289</v>
      </c>
      <c r="E63" s="643">
        <f>IF(B43="楼面地价",SUM(E53:E62),'数据-汇总表'!D3)</f>
        <v>13713.98</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2020-6-1</v>
      </c>
      <c r="D65" s="2754">
        <f>EDATE(C65,-3)</f>
        <v>43891</v>
      </c>
      <c r="E65" s="2754">
        <f t="shared" ref="E65:N65" si="18">EDATE(D65,-3)</f>
        <v>43800</v>
      </c>
      <c r="F65" s="2754">
        <f t="shared" si="18"/>
        <v>43709</v>
      </c>
      <c r="G65" s="2754">
        <f t="shared" si="18"/>
        <v>43617</v>
      </c>
      <c r="H65" s="2754">
        <f t="shared" si="18"/>
        <v>43525</v>
      </c>
      <c r="I65" s="2754">
        <f t="shared" si="18"/>
        <v>43435</v>
      </c>
      <c r="J65" s="2754">
        <f t="shared" si="18"/>
        <v>43344</v>
      </c>
      <c r="K65" s="2754">
        <f t="shared" si="18"/>
        <v>43252</v>
      </c>
      <c r="L65" s="2754">
        <f t="shared" si="18"/>
        <v>43160</v>
      </c>
      <c r="M65" s="2754">
        <f t="shared" si="18"/>
        <v>43070</v>
      </c>
      <c r="N65" s="2754">
        <f t="shared" si="18"/>
        <v>42979</v>
      </c>
      <c r="O65" s="2130"/>
      <c r="P65" s="2130"/>
      <c r="Q65" s="2130"/>
      <c r="R65" s="2130"/>
      <c r="S65" s="2130"/>
      <c r="T65" s="2130"/>
      <c r="U65" s="2130"/>
      <c r="V65" s="2130"/>
      <c r="W65" s="2130"/>
      <c r="X65" s="2130"/>
      <c r="Y65" s="2130"/>
      <c r="Z65" s="2130"/>
      <c r="AA65" s="2130"/>
      <c r="AB65" s="2130"/>
      <c r="AC65" s="2130"/>
    </row>
    <row r="66" spans="1:29" ht="22.2" thickBot="1">
      <c r="A66" s="1570" t="s">
        <v>574</v>
      </c>
      <c r="B66" s="1545"/>
      <c r="C66" s="1569"/>
      <c r="D66" s="1569"/>
      <c r="E66" s="1569"/>
      <c r="F66" s="1571"/>
      <c r="G66" s="1571"/>
      <c r="H66" s="1569"/>
      <c r="I66" s="1569"/>
      <c r="J66" s="1569"/>
      <c r="K66" s="1572"/>
      <c r="L66" s="1568"/>
      <c r="M66" s="1569"/>
      <c r="N66" s="1569"/>
      <c r="O66" s="2142"/>
      <c r="P66" s="2142"/>
      <c r="Q66" s="2143"/>
      <c r="R66" s="2130"/>
      <c r="S66" s="2130"/>
      <c r="T66" s="2130"/>
      <c r="U66" s="2130"/>
      <c r="V66" s="2130"/>
      <c r="W66" s="2130"/>
      <c r="X66" s="2130"/>
      <c r="Y66" s="2130"/>
      <c r="Z66" s="2130"/>
      <c r="AA66" s="2130"/>
      <c r="AB66" s="2130"/>
      <c r="AC66" s="2130"/>
    </row>
    <row r="67" spans="1:29" s="1342" customFormat="1" ht="14.4">
      <c r="A67" s="2532" t="s">
        <v>2528</v>
      </c>
      <c r="B67" s="646"/>
      <c r="C67" s="2750" t="str">
        <f>YEAR(C65)&amp;"-"&amp;ROUNDUP(MONTH(C65)/3,0)</f>
        <v>2020-2</v>
      </c>
      <c r="D67" s="2756" t="str">
        <f t="shared" ref="D67:N67" si="19">YEAR(D65)&amp;"-"&amp;ROUNDUP(MONTH(D65)/3,0)</f>
        <v>2020-1</v>
      </c>
      <c r="E67" s="2756" t="str">
        <f t="shared" si="19"/>
        <v>2019-4</v>
      </c>
      <c r="F67" s="2756" t="str">
        <f t="shared" si="19"/>
        <v>2019-3</v>
      </c>
      <c r="G67" s="2756" t="str">
        <f t="shared" si="19"/>
        <v>2019-2</v>
      </c>
      <c r="H67" s="2756" t="str">
        <f t="shared" si="19"/>
        <v>2019-1</v>
      </c>
      <c r="I67" s="2756" t="str">
        <f t="shared" si="19"/>
        <v>2018-4</v>
      </c>
      <c r="J67" s="2756" t="str">
        <f t="shared" si="19"/>
        <v>2018-3</v>
      </c>
      <c r="K67" s="2756" t="str">
        <f t="shared" si="19"/>
        <v>2018-2</v>
      </c>
      <c r="L67" s="2756" t="str">
        <f t="shared" si="19"/>
        <v>2018-1</v>
      </c>
      <c r="M67" s="2756" t="str">
        <f t="shared" si="19"/>
        <v>2017-4</v>
      </c>
      <c r="N67" s="2756" t="str">
        <f t="shared" si="19"/>
        <v>2017-3</v>
      </c>
      <c r="O67" s="2144"/>
      <c r="P67" s="2145"/>
      <c r="Q67" s="2146"/>
      <c r="R67" s="2146"/>
      <c r="S67" s="2146"/>
      <c r="T67" s="2146"/>
      <c r="U67" s="2146"/>
      <c r="V67" s="2146"/>
      <c r="W67" s="2146"/>
      <c r="X67" s="2146"/>
      <c r="Y67" s="2146"/>
      <c r="Z67" s="2146"/>
      <c r="AA67" s="2146"/>
      <c r="AB67" s="2146"/>
      <c r="AC67" s="2146"/>
    </row>
    <row r="68" spans="1:29" s="1215" customFormat="1" ht="27.75" customHeight="1">
      <c r="A68" s="2753" t="s">
        <v>2643</v>
      </c>
      <c r="B68" s="479" t="str">
        <f>"北京市平均增长率"&amp;TEXT(基准地价!P24,"0.00%")</f>
        <v>北京市平均增长率1.31%</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5" customFormat="1" ht="1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5" customFormat="1" ht="14.4">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5" customFormat="1" ht="14.4"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ht="14.4">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4.4"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9.4"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4" customFormat="1" ht="14.4"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4" customFormat="1" ht="14.4"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4" customFormat="1" ht="14.4"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4" customFormat="1" ht="14.4"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4" customFormat="1" ht="14.4"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4" customFormat="1" ht="14.4"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ht="14.4">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5" customFormat="1" ht="29.4"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5" customFormat="1" ht="29.4"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5" customFormat="1" ht="14.4"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4" customFormat="1" ht="15" thickTop="1">
      <c r="A93" s="687"/>
      <c r="B93" s="1881" t="s">
        <v>2543</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4" customFormat="1" ht="14.4"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4" customFormat="1" ht="15" thickTop="1">
      <c r="A95" s="687"/>
      <c r="B95" s="2561" t="s">
        <v>2545</v>
      </c>
      <c r="C95" s="2562" t="s">
        <v>2546</v>
      </c>
      <c r="D95" s="2562" t="s">
        <v>2547</v>
      </c>
      <c r="E95" s="2562" t="s">
        <v>2548</v>
      </c>
      <c r="F95" s="2562" t="s">
        <v>2549</v>
      </c>
      <c r="G95" s="2562" t="s">
        <v>2550</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4" customFormat="1" ht="14.4"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9.4"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4.4"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4.4"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4.4"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4" customFormat="1" ht="14.4"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4" customFormat="1" ht="14.4"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8" t="str">
        <f t="shared" si="25"/>
        <v>(含)-</v>
      </c>
      <c r="L109" s="3039" t="str">
        <f t="shared" si="25"/>
        <v>(含)-</v>
      </c>
      <c r="M109" s="3040"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4" customFormat="1" ht="15" thickTop="1">
      <c r="A114" s="728"/>
      <c r="B114" s="1881" t="s">
        <v>2420</v>
      </c>
      <c r="C114" s="1371"/>
      <c r="D114" s="1371"/>
      <c r="E114" s="1371"/>
      <c r="F114" s="1371"/>
      <c r="G114" s="1371"/>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4"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4.4"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4.4"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4.4"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4" customFormat="1" ht="14.4"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4" customFormat="1" ht="14.4"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7734375" style="1400" customWidth="1"/>
    <col min="2" max="2" width="20.88671875" style="1515" customWidth="1"/>
    <col min="3" max="4" width="12" style="1401"/>
    <col min="5" max="5" width="14.6640625" style="1401" customWidth="1"/>
    <col min="6" max="8" width="12" style="1401"/>
    <col min="9" max="9" width="12.21875" style="1401" bestFit="1" customWidth="1"/>
    <col min="10" max="10" width="12" style="1401"/>
    <col min="11" max="11" width="9.6640625" style="1398" customWidth="1"/>
    <col min="12" max="12" width="12" style="1401"/>
    <col min="13" max="14" width="10.6640625" style="1401" customWidth="1"/>
    <col min="15" max="17" width="12" style="1401"/>
    <col min="18" max="18" width="12" style="1400"/>
    <col min="19" max="22" width="15.44140625" style="1400" customWidth="1"/>
    <col min="23" max="28" width="12" style="1401"/>
    <col min="29" max="29" width="9.33203125" style="1400" customWidth="1"/>
    <col min="30" max="35" width="9.33203125" style="1399" customWidth="1"/>
    <col min="36" max="39" width="9.33203125" style="1400" customWidth="1"/>
    <col min="40" max="41" width="9.33203125" style="1401" customWidth="1"/>
    <col min="42" max="16384" width="12" style="1401"/>
  </cols>
  <sheetData>
    <row r="1" spans="1:39" ht="20.399999999999999">
      <c r="A1" s="1395" t="s">
        <v>1692</v>
      </c>
      <c r="B1" s="1396"/>
      <c r="C1" s="1402" t="s">
        <v>2421</v>
      </c>
      <c r="D1" s="1508">
        <f>SUM(D29:D30,D33:D39)</f>
        <v>0</v>
      </c>
      <c r="E1" s="1402" t="s">
        <v>2422</v>
      </c>
      <c r="F1" s="2416"/>
      <c r="G1" s="1397"/>
      <c r="H1" s="1397"/>
      <c r="I1" s="1397"/>
      <c r="J1" s="1397"/>
      <c r="K1" s="1397"/>
      <c r="L1" s="1867" t="s">
        <v>2234</v>
      </c>
      <c r="M1" s="1868">
        <f>SUMPRODUCT((区片价!B5:B9=I2)*(区片价!C3:F3=E2)*(区片价!C5:F9))</f>
        <v>0</v>
      </c>
      <c r="N1" s="1869">
        <f>SUMPRODUCT((因素修正幅度!B5:B9=I2)*(因素修正幅度!C3:F3=E2)*(因素修正幅度!C5:F9))</f>
        <v>0</v>
      </c>
      <c r="O1" s="1397"/>
      <c r="P1" s="1397"/>
      <c r="Q1" s="2174"/>
      <c r="R1" s="2891" t="s">
        <v>2756</v>
      </c>
      <c r="S1" s="2891" t="s">
        <v>2757</v>
      </c>
      <c r="T1" s="2891" t="s">
        <v>2778</v>
      </c>
      <c r="U1" s="2891" t="s">
        <v>2779</v>
      </c>
      <c r="V1" s="2891" t="s">
        <v>2780</v>
      </c>
      <c r="W1" s="2174"/>
      <c r="X1" s="2174"/>
      <c r="Y1" s="2174"/>
      <c r="Z1" s="2174"/>
      <c r="AA1" s="2174"/>
      <c r="AB1" s="2174"/>
      <c r="AC1" s="2175"/>
    </row>
    <row r="2" spans="1:39" ht="15.6">
      <c r="A2" s="1402" t="s">
        <v>918</v>
      </c>
      <c r="B2" s="1037" t="e">
        <f>C26</f>
        <v>#DIV/0!</v>
      </c>
      <c r="C2" s="1403" t="s">
        <v>919</v>
      </c>
      <c r="D2" s="1404" t="s">
        <v>920</v>
      </c>
      <c r="E2" s="1405"/>
      <c r="F2" s="1404" t="s">
        <v>922</v>
      </c>
      <c r="G2" s="1637">
        <f>IF(E2="商业",项目基本情况!B43,IF(E2="办公",项目基本情况!C43,IF(E2="住宅",项目基本情况!D43,项目基本情况!E43)))</f>
        <v>0</v>
      </c>
      <c r="H2" s="1404" t="s">
        <v>924</v>
      </c>
      <c r="I2" s="1638">
        <f>IF(E2="商业",项目基本情况!B44,IF(E2="办公",项目基本情况!C44,IF(E2="住宅",项目基本情况!D44,项目基本情况!E44)))</f>
        <v>0</v>
      </c>
      <c r="J2" s="1406"/>
      <c r="K2" s="1406"/>
      <c r="L2" s="1870" t="s">
        <v>2235</v>
      </c>
      <c r="M2" s="1871">
        <f>SUMPRODUCT((区片价!B10:B28=I2)*(区片价!C3:F3=E2)*(区片价!C10:F28))</f>
        <v>0</v>
      </c>
      <c r="N2" s="1872">
        <f>SUMPRODUCT((因素修正幅度!B10:B28=I2)*(因素修正幅度!C3:F3=E2)*(因素修正幅度!C10:F28))</f>
        <v>0</v>
      </c>
      <c r="O2" s="1406"/>
      <c r="P2" s="1397"/>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6">
      <c r="A3" s="1407" t="s">
        <v>1685</v>
      </c>
      <c r="B3" s="1037" t="e">
        <f>ROUND(B2*10000/D1,0)</f>
        <v>#DIV/0!</v>
      </c>
      <c r="C3" s="1403" t="s">
        <v>925</v>
      </c>
      <c r="D3" s="1404" t="s">
        <v>926</v>
      </c>
      <c r="E3" s="1408"/>
      <c r="F3" s="1409"/>
      <c r="G3" s="1038">
        <f>IF(F3="宗地容积率",'数据-汇总表'!I4,IF(F3="估价对象容积率",'数据-汇总表'!I6,'数据-汇总表'!I7))</f>
        <v>4</v>
      </c>
      <c r="H3" s="1410" t="s">
        <v>927</v>
      </c>
      <c r="I3" s="1039">
        <v>8</v>
      </c>
      <c r="J3" s="1406" t="s">
        <v>928</v>
      </c>
      <c r="K3" s="1406"/>
      <c r="L3" s="1870" t="s">
        <v>2236</v>
      </c>
      <c r="M3" s="1871">
        <f>SUMPRODUCT((区片价!B29:B48=I2)*(区片价!C3:F3=E2)*(区片价!C29:F48))</f>
        <v>0</v>
      </c>
      <c r="N3" s="1872">
        <f>SUMPRODUCT((因素修正幅度!B29:B48=I2)*(因素修正幅度!C3:F3=E2)*(因素修正幅度!C29:F48))</f>
        <v>0</v>
      </c>
      <c r="O3" s="1406"/>
      <c r="P3" s="1397"/>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31.2">
      <c r="A4" s="1876" t="s">
        <v>2275</v>
      </c>
      <c r="B4" s="2417" t="e">
        <f>ROUND(B2*10000/F1,0)</f>
        <v>#DIV/0!</v>
      </c>
      <c r="C4" s="1879" t="s">
        <v>2250</v>
      </c>
      <c r="D4" s="1879" t="e">
        <f>ROUND(B2/(F1/666.67),0)</f>
        <v>#DIV/0!</v>
      </c>
      <c r="E4" s="1879" t="s">
        <v>2251</v>
      </c>
      <c r="F4" s="1877"/>
      <c r="G4" s="1877"/>
      <c r="H4" s="1877"/>
      <c r="I4" s="1877"/>
      <c r="J4" s="1878"/>
      <c r="K4" s="3142"/>
      <c r="L4" s="1870" t="s">
        <v>2237</v>
      </c>
      <c r="M4" s="1871">
        <f>SUMPRODUCT((区片价!B49:B75=I2)*(区片价!C3:F3=E2)*(区片价!C49:F75))</f>
        <v>0</v>
      </c>
      <c r="N4" s="1872">
        <f>SUMPRODUCT((因素修正幅度!B49:B75=I2)*(因素修正幅度!C3:F3=E2)*(因素修正幅度!C49:F75))</f>
        <v>0</v>
      </c>
      <c r="O4" s="3142"/>
      <c r="P4" s="1397"/>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7" customFormat="1" ht="15.6" thickBot="1">
      <c r="A5" s="1623" t="s">
        <v>1821</v>
      </c>
      <c r="B5" s="1411" t="s">
        <v>929</v>
      </c>
      <c r="C5" s="1040" t="e">
        <f>ROUND(IF(E2="商业",C6*C7+C16,(IF(E2="住宅",C6*C12+C16,C6+C16))),0)</f>
        <v>#DIV/0!</v>
      </c>
      <c r="D5" s="3066" t="e">
        <f>ROUND(C6+C16,0)</f>
        <v>#DIV/0!</v>
      </c>
      <c r="E5" s="3066"/>
      <c r="F5" s="1412"/>
      <c r="G5" s="1413"/>
      <c r="H5" s="1413"/>
      <c r="I5" s="1413"/>
      <c r="J5" s="1414"/>
      <c r="K5" s="3143"/>
      <c r="L5" s="1870" t="s">
        <v>2238</v>
      </c>
      <c r="M5" s="1871">
        <f>SUMPRODUCT((区片价!B76:B109=I2)*(区片价!C3:F3=E2)*(区片价!C76:F109))</f>
        <v>0</v>
      </c>
      <c r="N5" s="1872">
        <f>SUMPRODUCT((因素修正幅度!B76:B109=I2)*(因素修正幅度!C3:F3=E2)*(因素修正幅度!C76:F109))</f>
        <v>0</v>
      </c>
      <c r="O5" s="3143"/>
      <c r="P5" s="1580"/>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5"/>
      <c r="AE5" s="1415"/>
      <c r="AF5" s="1415"/>
      <c r="AG5" s="1415"/>
      <c r="AH5" s="1415"/>
      <c r="AI5" s="1415"/>
      <c r="AJ5" s="1416"/>
      <c r="AK5" s="1416"/>
      <c r="AL5" s="1416"/>
      <c r="AM5" s="1416"/>
    </row>
    <row r="6" spans="1:39" ht="15.6" thickBot="1">
      <c r="A6" s="1624" t="s">
        <v>1868</v>
      </c>
      <c r="B6" s="1418" t="s">
        <v>929</v>
      </c>
      <c r="C6" s="1041">
        <f>SUMIF(L1:L12,基准地价!G2,M1:M12)</f>
        <v>0</v>
      </c>
      <c r="D6" s="1419" t="s">
        <v>1693</v>
      </c>
      <c r="E6" s="1420"/>
      <c r="F6" s="1420"/>
      <c r="G6" s="1421"/>
      <c r="H6" s="1421"/>
      <c r="I6" s="1421"/>
      <c r="J6" s="1422"/>
      <c r="K6" s="1452"/>
      <c r="L6" s="1870" t="s">
        <v>2239</v>
      </c>
      <c r="M6" s="1871">
        <f>SUMPRODUCT((区片价!B110:B157=I2)*(区片价!C3:F3=E2)*(区片价!C110:F157))</f>
        <v>0</v>
      </c>
      <c r="N6" s="1872">
        <f>SUMPRODUCT((因素修正幅度!B110:B157=I2)*(因素修正幅度!C3:F3=E2)*(因素修正幅度!C110:F157))</f>
        <v>0</v>
      </c>
      <c r="O6" s="1452"/>
      <c r="P6" s="1581"/>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5"/>
      <c r="AE6" s="1415"/>
      <c r="AF6" s="1415"/>
      <c r="AG6" s="1415"/>
      <c r="AH6" s="1415"/>
      <c r="AI6" s="1415"/>
      <c r="AJ6" s="1416"/>
    </row>
    <row r="7" spans="1:39" ht="24">
      <c r="A7" s="3434" t="str">
        <f>IF(E2="商业",IF(C8="不临58条商业街","",2),"")</f>
        <v/>
      </c>
      <c r="B7" s="1423" t="s">
        <v>930</v>
      </c>
      <c r="C7" s="1042" t="e">
        <f>IF(C8="不临58条商业街",1,ROUND(1+(1.6*E8+1.2*E9+0.8*E10+0.4*E11)*C9,4))</f>
        <v>#DIV/0!</v>
      </c>
      <c r="D7" s="1424" t="s">
        <v>931</v>
      </c>
      <c r="E7" s="1043"/>
      <c r="F7" s="1425"/>
      <c r="G7" s="1426"/>
      <c r="H7" s="1426"/>
      <c r="I7" s="1426"/>
      <c r="J7" s="1427"/>
      <c r="K7" s="1452"/>
      <c r="L7" s="1870" t="s">
        <v>2240</v>
      </c>
      <c r="M7" s="1871">
        <f>SUMPRODUCT((区片价!B158:B205=I2)*(区片价!C3:F3=E2)*(区片价!C158:F205))</f>
        <v>0</v>
      </c>
      <c r="N7" s="1872">
        <f>SUMPRODUCT((因素修正幅度!B158:B205=I2)*(因素修正幅度!C3:F3=E2)*(因素修正幅度!C158:F205))</f>
        <v>0</v>
      </c>
      <c r="O7" s="1452"/>
      <c r="P7" s="1581"/>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2759</v>
      </c>
      <c r="X7" s="2882">
        <f>G2</f>
        <v>0</v>
      </c>
      <c r="Y7" s="2882" t="s">
        <v>2760</v>
      </c>
      <c r="Z7" s="2883">
        <f>G3</f>
        <v>4</v>
      </c>
      <c r="AA7" s="2177"/>
      <c r="AB7" s="2177"/>
      <c r="AC7" s="2178"/>
      <c r="AD7" s="2884"/>
      <c r="AE7" s="2884"/>
      <c r="AF7" s="2884"/>
      <c r="AG7" s="2884"/>
      <c r="AH7" s="2884"/>
      <c r="AI7" s="2884"/>
      <c r="AJ7" s="2885"/>
    </row>
    <row r="8" spans="1:39" ht="15">
      <c r="A8" s="3435"/>
      <c r="B8" s="1410" t="s">
        <v>932</v>
      </c>
      <c r="C8" s="1516"/>
      <c r="D8" s="1044" t="s">
        <v>933</v>
      </c>
      <c r="E8" s="1045" t="e">
        <f>ROUND(C11/E7,4)</f>
        <v>#DIV/0!</v>
      </c>
      <c r="F8" s="1428" t="s">
        <v>934</v>
      </c>
      <c r="G8" s="1429"/>
      <c r="H8" s="1429"/>
      <c r="I8" s="1429"/>
      <c r="J8" s="1430"/>
      <c r="K8" s="1452"/>
      <c r="L8" s="1870" t="s">
        <v>2241</v>
      </c>
      <c r="M8" s="1871">
        <f>SUMPRODUCT((区片价!B206:B244=I2)*(区片价!C3:F3=E2)*(区片价!C206:F244))</f>
        <v>0</v>
      </c>
      <c r="N8" s="1872">
        <f>SUMPRODUCT((因素修正幅度!B206:B244=I2)*(因素修正幅度!C3:F3=E2)*(因素修正幅度!C206:F244))</f>
        <v>0</v>
      </c>
      <c r="O8" s="1452"/>
      <c r="P8" s="1397"/>
      <c r="Q8" s="2174"/>
      <c r="R8" s="2892">
        <v>7</v>
      </c>
      <c r="S8" s="2881"/>
      <c r="T8" s="2892" t="e">
        <f t="shared" si="0"/>
        <v>#DIV/0!</v>
      </c>
      <c r="U8" s="2881"/>
      <c r="V8" s="2892" t="e">
        <f t="shared" si="1"/>
        <v>#DIV/0!</v>
      </c>
      <c r="W8" s="3424" t="s">
        <v>2777</v>
      </c>
      <c r="X8" s="3425"/>
      <c r="Y8" s="1834" t="s">
        <v>2761</v>
      </c>
      <c r="Z8" s="1834" t="s">
        <v>2762</v>
      </c>
      <c r="AA8" s="1834" t="s">
        <v>2763</v>
      </c>
      <c r="AB8" s="1834" t="s">
        <v>2764</v>
      </c>
      <c r="AC8" s="1834" t="s">
        <v>2765</v>
      </c>
      <c r="AD8" s="1834" t="s">
        <v>2766</v>
      </c>
      <c r="AE8" s="1834" t="s">
        <v>2767</v>
      </c>
      <c r="AF8" s="1834" t="s">
        <v>2768</v>
      </c>
      <c r="AG8" s="1834" t="s">
        <v>2769</v>
      </c>
      <c r="AH8" s="1834" t="s">
        <v>2770</v>
      </c>
      <c r="AI8" s="1834" t="s">
        <v>2771</v>
      </c>
      <c r="AJ8" s="1834" t="s">
        <v>2772</v>
      </c>
    </row>
    <row r="9" spans="1:39" ht="15">
      <c r="A9" s="3435"/>
      <c r="B9" s="1410" t="s">
        <v>935</v>
      </c>
      <c r="C9" s="1046">
        <f>SUMIF(修正!C59:C119,C8,修正!E59:E119)</f>
        <v>0</v>
      </c>
      <c r="D9" s="1047" t="s">
        <v>936</v>
      </c>
      <c r="E9" s="1047" t="e">
        <f>ROUND(C11/E7,4)</f>
        <v>#DIV/0!</v>
      </c>
      <c r="F9" s="1428" t="s">
        <v>937</v>
      </c>
      <c r="G9" s="1429"/>
      <c r="H9" s="1429"/>
      <c r="I9" s="1429"/>
      <c r="J9" s="1430"/>
      <c r="K9" s="1452"/>
      <c r="L9" s="1870" t="s">
        <v>2242</v>
      </c>
      <c r="M9" s="1871">
        <f>SUMPRODUCT((区片价!B245:B289=I2)*(区片价!C3:F3=E2)*(区片价!C245:F289))</f>
        <v>0</v>
      </c>
      <c r="N9" s="1872">
        <f>SUMPRODUCT((因素修正幅度!B245:B289=I2)*(因素修正幅度!C3:F3=E2)*(因素修正幅度!C245:F289))</f>
        <v>0</v>
      </c>
      <c r="O9" s="1452"/>
      <c r="P9" s="1397"/>
      <c r="Q9" s="2174"/>
      <c r="R9" s="2892">
        <v>8</v>
      </c>
      <c r="S9" s="2881"/>
      <c r="T9" s="2892" t="e">
        <f t="shared" si="0"/>
        <v>#DIV/0!</v>
      </c>
      <c r="U9" s="2881"/>
      <c r="V9" s="2892" t="e">
        <f t="shared" si="1"/>
        <v>#DIV/0!</v>
      </c>
      <c r="W9" s="3423" t="s">
        <v>2773</v>
      </c>
      <c r="X9" s="2886" t="s">
        <v>2774</v>
      </c>
      <c r="Y9" s="3044"/>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35"/>
      <c r="B10" s="1410" t="s">
        <v>938</v>
      </c>
      <c r="C10" s="1047">
        <f>SUMIF(修正!C59:C119,C8,修正!F59:F119)</f>
        <v>0</v>
      </c>
      <c r="D10" s="1047" t="s">
        <v>939</v>
      </c>
      <c r="E10" s="1047" t="e">
        <f>ROUND(C11/E7,4)</f>
        <v>#DIV/0!</v>
      </c>
      <c r="F10" s="1428" t="s">
        <v>940</v>
      </c>
      <c r="G10" s="1429"/>
      <c r="H10" s="1429"/>
      <c r="I10" s="1429"/>
      <c r="J10" s="1430"/>
      <c r="K10" s="1452"/>
      <c r="L10" s="1870" t="s">
        <v>2243</v>
      </c>
      <c r="M10" s="1871">
        <f>SUMPRODUCT((区片价!B290:B316=I2)*(区片价!C3:F3=E2)*(区片价!C290:F316))</f>
        <v>0</v>
      </c>
      <c r="N10" s="1872">
        <f>SUMPRODUCT((因素修正幅度!B290:B316=I2)*(因素修正幅度!C3:F3=E2)*(因素修正幅度!C290:F316))</f>
        <v>0</v>
      </c>
      <c r="O10" s="1452"/>
      <c r="P10" s="1397"/>
      <c r="Q10" s="2174"/>
      <c r="R10" s="2892">
        <v>9</v>
      </c>
      <c r="S10" s="2881"/>
      <c r="T10" s="2892" t="e">
        <f t="shared" si="0"/>
        <v>#DIV/0!</v>
      </c>
      <c r="U10" s="2881"/>
      <c r="V10" s="2892" t="e">
        <f t="shared" si="1"/>
        <v>#DIV/0!</v>
      </c>
      <c r="W10" s="3423"/>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35"/>
      <c r="B11" s="1431" t="s">
        <v>941</v>
      </c>
      <c r="C11" s="1048">
        <f>C10/4</f>
        <v>0</v>
      </c>
      <c r="D11" s="1048" t="s">
        <v>942</v>
      </c>
      <c r="E11" s="1048" t="e">
        <f>ROUND(C11/E7,4)</f>
        <v>#DIV/0!</v>
      </c>
      <c r="F11" s="1432" t="s">
        <v>943</v>
      </c>
      <c r="G11" s="1433"/>
      <c r="H11" s="1433"/>
      <c r="I11" s="1433"/>
      <c r="J11" s="1434"/>
      <c r="K11" s="1452"/>
      <c r="L11" s="1870" t="s">
        <v>2244</v>
      </c>
      <c r="M11" s="1871">
        <f>SUMPRODUCT((区片价!B317:B337=I2)*(区片价!C3:F3=E2)*(区片价!C317:F337))</f>
        <v>0</v>
      </c>
      <c r="N11" s="1872">
        <f>SUMPRODUCT((因素修正幅度!B317:B337=I2)*(因素修正幅度!C3:F3=E2)*(因素修正幅度!C317:F337))</f>
        <v>0</v>
      </c>
      <c r="O11" s="1452"/>
      <c r="P11" s="1397"/>
      <c r="Q11" s="2174"/>
      <c r="R11" s="2892">
        <v>10</v>
      </c>
      <c r="S11" s="2881"/>
      <c r="T11" s="2892" t="e">
        <f t="shared" si="0"/>
        <v>#DIV/0!</v>
      </c>
      <c r="U11" s="2881"/>
      <c r="V11" s="2892" t="e">
        <f t="shared" si="1"/>
        <v>#DIV/0!</v>
      </c>
      <c r="W11" s="3423" t="s">
        <v>2775</v>
      </c>
      <c r="X11" s="1047" t="s">
        <v>2760</v>
      </c>
      <c r="Y11" s="1638">
        <f>$G$3</f>
        <v>4</v>
      </c>
      <c r="Z11" s="1638">
        <f t="shared" ref="Z11:AJ11" si="3">$G$3</f>
        <v>4</v>
      </c>
      <c r="AA11" s="1638">
        <f t="shared" si="3"/>
        <v>4</v>
      </c>
      <c r="AB11" s="1638">
        <f t="shared" si="3"/>
        <v>4</v>
      </c>
      <c r="AC11" s="1638">
        <f t="shared" si="3"/>
        <v>4</v>
      </c>
      <c r="AD11" s="1638">
        <f t="shared" si="3"/>
        <v>4</v>
      </c>
      <c r="AE11" s="1638">
        <f t="shared" si="3"/>
        <v>4</v>
      </c>
      <c r="AF11" s="1638">
        <f t="shared" si="3"/>
        <v>4</v>
      </c>
      <c r="AG11" s="1638">
        <f t="shared" si="3"/>
        <v>4</v>
      </c>
      <c r="AH11" s="1638">
        <f t="shared" si="3"/>
        <v>4</v>
      </c>
      <c r="AI11" s="1638">
        <f t="shared" si="3"/>
        <v>4</v>
      </c>
      <c r="AJ11" s="1638">
        <f t="shared" si="3"/>
        <v>4</v>
      </c>
    </row>
    <row r="12" spans="1:39" ht="25.8" thickBot="1">
      <c r="A12" s="3434" t="s">
        <v>1869</v>
      </c>
      <c r="B12" s="1435" t="s">
        <v>944</v>
      </c>
      <c r="C12" s="1042">
        <f>ROUND(C15*D15*E15*F15*G15*H15*I15*J15,4)</f>
        <v>1</v>
      </c>
      <c r="D12" s="1436" t="s">
        <v>945</v>
      </c>
      <c r="E12" s="1437"/>
      <c r="F12" s="1437"/>
      <c r="G12" s="1438"/>
      <c r="H12" s="1438"/>
      <c r="I12" s="1438"/>
      <c r="J12" s="1439"/>
      <c r="K12" s="1452"/>
      <c r="L12" s="1873" t="s">
        <v>2245</v>
      </c>
      <c r="M12" s="1874">
        <f>SUMPRODUCT((区片价!B338:B344=I2)*(区片价!C3:F3=E2)*(区片价!C338:F344))</f>
        <v>0</v>
      </c>
      <c r="N12" s="1875">
        <f>SUMPRODUCT((因素修正幅度!B338:B344=I2)*(因素修正幅度!C3:F3=E2)*(因素修正幅度!C338:F344))</f>
        <v>0</v>
      </c>
      <c r="O12" s="1452"/>
      <c r="P12" s="1397"/>
      <c r="Q12" s="2174"/>
      <c r="R12" s="2892">
        <v>11</v>
      </c>
      <c r="S12" s="2881"/>
      <c r="T12" s="2892" t="e">
        <f t="shared" si="0"/>
        <v>#DIV/0!</v>
      </c>
      <c r="U12" s="2881"/>
      <c r="V12" s="2892" t="e">
        <f t="shared" si="1"/>
        <v>#DIV/0!</v>
      </c>
      <c r="W12" s="3423"/>
      <c r="X12" s="2889" t="s">
        <v>2776</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36"/>
      <c r="B13" s="1440" t="s">
        <v>1694</v>
      </c>
      <c r="C13" s="1441" t="s">
        <v>1695</v>
      </c>
      <c r="D13" s="1084" t="s">
        <v>1696</v>
      </c>
      <c r="E13" s="1084" t="s">
        <v>1697</v>
      </c>
      <c r="F13" s="1442" t="s">
        <v>946</v>
      </c>
      <c r="G13" s="1443" t="s">
        <v>1640</v>
      </c>
      <c r="H13" s="1444" t="s">
        <v>1640</v>
      </c>
      <c r="I13" s="1445" t="s">
        <v>1640</v>
      </c>
      <c r="J13" s="1446" t="s">
        <v>1640</v>
      </c>
      <c r="K13" s="3158"/>
      <c r="L13" s="3158"/>
      <c r="M13" s="3158"/>
      <c r="N13" s="3158"/>
      <c r="O13" s="3158"/>
      <c r="P13" s="1397"/>
      <c r="Q13" s="2174"/>
      <c r="R13" s="2892">
        <v>12</v>
      </c>
      <c r="S13" s="2881"/>
      <c r="T13" s="2892" t="e">
        <f t="shared" si="0"/>
        <v>#DIV/0!</v>
      </c>
      <c r="U13" s="2881"/>
      <c r="V13" s="2892" t="e">
        <f t="shared" si="1"/>
        <v>#DIV/0!</v>
      </c>
      <c r="W13" s="3423"/>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36"/>
      <c r="B14" s="1447"/>
      <c r="C14" s="1448"/>
      <c r="D14" s="1449"/>
      <c r="E14" s="1449"/>
      <c r="F14" s="1450"/>
      <c r="G14" s="1451" t="s">
        <v>947</v>
      </c>
      <c r="H14" s="1452"/>
      <c r="I14" s="1453"/>
      <c r="J14" s="1454"/>
      <c r="K14" s="3144"/>
      <c r="L14" s="3144"/>
      <c r="M14" s="3144"/>
      <c r="N14" s="3144"/>
      <c r="O14" s="3144"/>
      <c r="P14" s="1397"/>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37"/>
      <c r="B15" s="3163" t="s">
        <v>1698</v>
      </c>
      <c r="C15" s="1048">
        <f>IF(C14="有",1.1,1)</f>
        <v>1</v>
      </c>
      <c r="D15" s="1048">
        <f>IF(D14="有",1.1,1)</f>
        <v>1</v>
      </c>
      <c r="E15" s="1048">
        <f>IF(E14="有",1.1,1)</f>
        <v>1</v>
      </c>
      <c r="F15" s="1048">
        <f>IF(F14="500米范围内",1.2,IF(F14="500-1000米",1.1,1))</f>
        <v>1</v>
      </c>
      <c r="G15" s="3155">
        <v>1</v>
      </c>
      <c r="H15" s="3155">
        <v>1</v>
      </c>
      <c r="I15" s="3155">
        <v>1</v>
      </c>
      <c r="J15" s="3156">
        <v>1</v>
      </c>
      <c r="K15" s="3159"/>
      <c r="L15" s="3159"/>
      <c r="M15" s="3159"/>
      <c r="N15" s="3159"/>
      <c r="O15" s="3159"/>
      <c r="P15" s="1397"/>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34" t="s">
        <v>1836</v>
      </c>
      <c r="B16" s="1423" t="s">
        <v>948</v>
      </c>
      <c r="C16" s="1051" t="e">
        <f>ROUND(IF(F17="与级别开发程度一致",0,(G17-E17)/C17),0)</f>
        <v>#DIV/0!</v>
      </c>
      <c r="D16" s="3431" t="s">
        <v>952</v>
      </c>
      <c r="E16" s="3432"/>
      <c r="F16" s="3431" t="s">
        <v>949</v>
      </c>
      <c r="G16" s="3432"/>
      <c r="H16" s="1455"/>
      <c r="I16" s="1455"/>
      <c r="J16" s="1455"/>
      <c r="K16" s="1455"/>
      <c r="L16" s="1455"/>
      <c r="M16" s="1455"/>
      <c r="N16" s="1455"/>
      <c r="O16" s="3168"/>
      <c r="P16" s="1397"/>
      <c r="Q16" s="2177"/>
      <c r="R16" s="2892">
        <v>15</v>
      </c>
      <c r="S16" s="2881"/>
      <c r="T16" s="2892" t="e">
        <f t="shared" si="0"/>
        <v>#DIV/0!</v>
      </c>
      <c r="U16" s="2881"/>
      <c r="V16" s="2892" t="e">
        <f t="shared" si="1"/>
        <v>#DIV/0!</v>
      </c>
      <c r="W16" s="2177"/>
      <c r="X16" s="2177"/>
      <c r="Y16" s="2177"/>
      <c r="Z16" s="2177"/>
      <c r="AA16" s="2177"/>
      <c r="AB16" s="2177"/>
      <c r="AC16" s="2178"/>
    </row>
    <row r="17" spans="1:40" ht="13.8" thickBot="1">
      <c r="A17" s="3438"/>
      <c r="B17" s="3169" t="s">
        <v>951</v>
      </c>
      <c r="C17" s="3170">
        <f>SUMPRODUCT((修正!A2:A5=E2)*(修正!B1:M1=G2)*(修正!B2:M5))</f>
        <v>0</v>
      </c>
      <c r="D17" s="3171" t="str">
        <f>IF(OR(G2="八级",G2="九级",G2="十级",G2="十一级",G2="十二级"),"五通一平","七通一平")</f>
        <v>七通一平</v>
      </c>
      <c r="E17" s="3161">
        <f>SUMPRODUCT((修正!B1:M1=G2)*(修正!B15:M15))</f>
        <v>0</v>
      </c>
      <c r="F17" s="3162"/>
      <c r="G17" s="3161">
        <f>SUM(H17:O17)</f>
        <v>0</v>
      </c>
      <c r="H17" s="1050">
        <f>SUMPRODUCT((七通一平=H16)*(修正!B1:M1=G2)*(修正!B6:M14))</f>
        <v>0</v>
      </c>
      <c r="I17" s="1050">
        <f>SUMPRODUCT((七通一平=I16)*(修正!B1:M1=G2)*(修正!B6:M14))</f>
        <v>0</v>
      </c>
      <c r="J17" s="1050">
        <f>SUMPRODUCT((七通一平=J16)*(修正!B1:M1=G2)*(修正!B6:M14))</f>
        <v>0</v>
      </c>
      <c r="K17" s="1050">
        <f>SUMPRODUCT((七通一平=K16)*(修正!B1:M1=G2)*(修正!B6:M14))</f>
        <v>0</v>
      </c>
      <c r="L17" s="1050">
        <f>SUMPRODUCT((七通一平=L16)*(修正!B1:M1=G2)*(修正!B6:M14))</f>
        <v>0</v>
      </c>
      <c r="M17" s="1050">
        <f>SUMPRODUCT((七通一平=M16)*(修正!B1:M1=G2)*(修正!B6:M14))</f>
        <v>0</v>
      </c>
      <c r="N17" s="1050">
        <f>SUMPRODUCT((七通一平=N16)*(修正!B1:M1=G2)*(修正!B6:M14))</f>
        <v>0</v>
      </c>
      <c r="O17" s="3172">
        <f>SUMPRODUCT((七通一平=O16)*(修正!B1:M1=G2)*(修正!B6:M14))</f>
        <v>0</v>
      </c>
      <c r="P17" s="1397"/>
      <c r="Q17" s="2177"/>
      <c r="R17" s="2178"/>
      <c r="S17" s="2178"/>
      <c r="T17" s="2178"/>
      <c r="U17" s="2178"/>
      <c r="V17" s="2178"/>
      <c r="W17" s="2177"/>
      <c r="X17" s="2177"/>
      <c r="Y17" s="2177"/>
      <c r="Z17" s="2177"/>
      <c r="AA17" s="2177"/>
      <c r="AB17" s="2177"/>
      <c r="AC17" s="2178"/>
      <c r="AH17" s="1398"/>
      <c r="AI17" s="1398"/>
      <c r="AJ17" s="1401"/>
      <c r="AK17" s="1401"/>
      <c r="AL17" s="1401"/>
      <c r="AM17" s="1401"/>
    </row>
    <row r="18" spans="1:40" s="1417" customFormat="1" ht="15" thickBot="1">
      <c r="A18" s="2734" t="s">
        <v>1827</v>
      </c>
      <c r="B18" s="3164" t="s">
        <v>953</v>
      </c>
      <c r="C18" s="3165">
        <f>SUMIF(修正!C18:C39,E3,修正!E18:E39)</f>
        <v>0</v>
      </c>
      <c r="D18" s="3166"/>
      <c r="E18" s="3167"/>
      <c r="F18" s="3149"/>
      <c r="G18" s="3143"/>
      <c r="H18" s="3143"/>
      <c r="I18" s="3143"/>
      <c r="J18" s="3157"/>
      <c r="K18" s="3143"/>
      <c r="L18" s="3143"/>
      <c r="M18" s="3143"/>
      <c r="N18" s="3143"/>
      <c r="O18" s="3143"/>
      <c r="P18" s="1469"/>
      <c r="Q18" s="2179"/>
      <c r="R18" s="2179"/>
      <c r="S18" s="2179"/>
      <c r="T18" s="2179"/>
      <c r="U18" s="2179"/>
      <c r="V18" s="2179"/>
      <c r="W18" s="2178"/>
      <c r="X18" s="2178"/>
      <c r="Y18" s="2178"/>
      <c r="Z18" s="2178"/>
      <c r="AA18" s="2177"/>
      <c r="AB18" s="2177"/>
      <c r="AC18" s="2180"/>
      <c r="AD18" s="1460"/>
      <c r="AE18" s="1460"/>
      <c r="AF18" s="1460"/>
      <c r="AG18" s="1460"/>
      <c r="AH18" s="1399"/>
      <c r="AI18" s="1399"/>
      <c r="AJ18" s="1400"/>
      <c r="AK18" s="1400"/>
      <c r="AL18" s="1400"/>
    </row>
    <row r="19" spans="1:40" s="1417" customFormat="1" ht="29.4" thickBot="1">
      <c r="A19" s="1625" t="s">
        <v>1833</v>
      </c>
      <c r="B19" s="1458" t="s">
        <v>954</v>
      </c>
      <c r="C19" s="1052">
        <f>ROUND(IF(H19="按公示增长率计算",SUMPRODUCT((地价!A3:A30=YEAR(G19)&amp;"-"&amp;ROUNDUP(MONTH(G19)/3,0))*(地价!X2:AB2=E2)*(地价!X3:AB30)),IF(H19="地价指数",M20/M19,(1+I19)^O19)),4)</f>
        <v>0</v>
      </c>
      <c r="D19" s="1462" t="s">
        <v>955</v>
      </c>
      <c r="E19" s="1053">
        <v>41640</v>
      </c>
      <c r="F19" s="1462" t="s">
        <v>956</v>
      </c>
      <c r="G19" s="1054">
        <f>'数据-取费表'!B2</f>
        <v>44006</v>
      </c>
      <c r="H19" s="1463" t="s">
        <v>2986</v>
      </c>
      <c r="I19" s="2740" t="str">
        <f>IF(H19="季度增幅（自定义）",SUMIF(N21:N24,E2,O21:O24),"")</f>
        <v/>
      </c>
      <c r="J19" s="1459"/>
      <c r="K19" s="3143"/>
      <c r="L19" s="2992" t="s">
        <v>2835</v>
      </c>
      <c r="M19" s="2993">
        <f>ROUND(SUMIF(地价!B2:F2,E2,地价!B30:F30),0)</f>
        <v>0</v>
      </c>
      <c r="N19" s="2742" t="s">
        <v>1674</v>
      </c>
      <c r="O19" s="2741">
        <f>ROUNDDOWN(DATEDIF(E19,G19,"M")/3,0)</f>
        <v>25</v>
      </c>
      <c r="P19" s="1582"/>
      <c r="Q19" s="2880"/>
      <c r="R19" s="2180"/>
      <c r="S19" s="2180"/>
      <c r="T19" s="2180"/>
      <c r="U19" s="2180"/>
      <c r="V19" s="2180"/>
      <c r="W19" s="2180"/>
      <c r="X19" s="2180"/>
      <c r="Y19" s="1399"/>
      <c r="Z19" s="1399"/>
      <c r="AA19" s="1399"/>
      <c r="AB19" s="1399"/>
      <c r="AC19" s="1460"/>
      <c r="AD19" s="1461"/>
      <c r="AE19" s="1465"/>
      <c r="AF19" s="1400"/>
      <c r="AG19" s="1416"/>
      <c r="AH19" s="1416"/>
      <c r="AI19" s="1416"/>
    </row>
    <row r="20" spans="1:40" s="1417" customFormat="1" ht="29.4" thickBot="1">
      <c r="A20" s="2734" t="s">
        <v>1834</v>
      </c>
      <c r="B20" s="2735" t="s">
        <v>969</v>
      </c>
      <c r="C20" s="2736" t="e">
        <f>ROUND(POWER(1+G20,J20-I20)*(POWER(1+G20,I20)-1)/(POWER(1+G20,J20)-1),4)</f>
        <v>#DIV/0!</v>
      </c>
      <c r="D20" s="2737" t="s">
        <v>970</v>
      </c>
      <c r="E20" s="3041">
        <f ca="1">存贷款利率!I4/100</f>
        <v>4.3499999999999997E-2</v>
      </c>
      <c r="F20" s="2737" t="s">
        <v>971</v>
      </c>
      <c r="G20" s="2738">
        <f>SUMIF(M26:P26,E2,M28:P28)</f>
        <v>0</v>
      </c>
      <c r="H20" s="2737" t="s">
        <v>972</v>
      </c>
      <c r="I20" s="2733" t="e">
        <f>SUMIF('数据-取费表'!C6:C15,E2,'数据-取费表'!F6:F15)/COUNTIF('数据-取费表'!C6:C15,E2)</f>
        <v>#DIV/0!</v>
      </c>
      <c r="J20" s="2739">
        <f>IF(E2="住宅",70,IF(E2="商业",40,50))</f>
        <v>50</v>
      </c>
      <c r="K20" s="3145"/>
      <c r="L20" s="2994" t="s">
        <v>2836</v>
      </c>
      <c r="M20" s="3152">
        <f>ROUND(SUMPRODUCT((地价!A4:A30=YEAR(G19)&amp;"-"&amp;ROUNDUP(MONTH(G19)/3,0))*(地价!B2:F2=E2)*(地价!B4:F30)),0)</f>
        <v>0</v>
      </c>
      <c r="N20" s="2745" t="s">
        <v>2639</v>
      </c>
      <c r="O20" s="2743" t="s">
        <v>2638</v>
      </c>
      <c r="P20" s="2744" t="s">
        <v>2644</v>
      </c>
      <c r="Q20" s="2880"/>
      <c r="R20" s="2180"/>
      <c r="S20" s="2180"/>
      <c r="T20" s="2180"/>
      <c r="U20" s="2180"/>
      <c r="V20" s="2180"/>
      <c r="W20" s="2180"/>
      <c r="X20" s="2180"/>
      <c r="Y20" s="1460"/>
      <c r="Z20" s="1460"/>
      <c r="AA20" s="1460"/>
      <c r="AB20" s="1460"/>
      <c r="AC20" s="1460"/>
      <c r="AD20" s="1460"/>
    </row>
    <row r="21" spans="1:40" s="1417" customFormat="1" ht="14.4">
      <c r="A21" s="1627" t="s">
        <v>1835</v>
      </c>
      <c r="B21" s="1468" t="s">
        <v>2755</v>
      </c>
      <c r="C21" s="1153">
        <f>IF(B21="容积率修正",IF(G3&lt;=10,D22,J22),C23)</f>
        <v>0</v>
      </c>
      <c r="D21" s="1469"/>
      <c r="E21" s="1469"/>
      <c r="F21" s="1469"/>
      <c r="G21" s="1469"/>
      <c r="H21" s="1469"/>
      <c r="I21" s="1469"/>
      <c r="J21" s="1470"/>
      <c r="K21" s="3143"/>
      <c r="L21" s="1469"/>
      <c r="M21" s="1469"/>
      <c r="N21" s="1466" t="s">
        <v>973</v>
      </c>
      <c r="O21" s="1529"/>
      <c r="P21" s="2732">
        <f>SUMPRODUCT((地价!A3:A30=YEAR(G19)&amp;"-"&amp;ROUNDUP(MONTH(G19)/3,0))*(地价!AD2:AH2=N21)*(地价!AD3:AH30))</f>
        <v>1.2800000000000001E-2</v>
      </c>
      <c r="Q21" s="2880"/>
      <c r="R21" s="2180"/>
      <c r="S21" s="2180"/>
      <c r="T21" s="2180"/>
      <c r="U21" s="2180"/>
      <c r="V21" s="2180"/>
      <c r="W21" s="2180"/>
      <c r="X21" s="2180"/>
      <c r="Y21" s="1399"/>
      <c r="Z21" s="1399"/>
      <c r="AA21" s="1399"/>
      <c r="AB21" s="1399"/>
      <c r="AC21" s="1460"/>
      <c r="AD21" s="1460"/>
    </row>
    <row r="22" spans="1:40" s="1417" customFormat="1" ht="14.4">
      <c r="A22" s="1628" t="s">
        <v>1868</v>
      </c>
      <c r="B22" s="1471" t="s">
        <v>974</v>
      </c>
      <c r="C22" s="1055" t="s">
        <v>1700</v>
      </c>
      <c r="D22" s="1055" t="b">
        <f>IF(E22=G22,F22,IF(G3&lt;=10,ROUND(F22+(H22-F22)*(G3-E22)/(G22-E22),4),"——"))</f>
        <v>0</v>
      </c>
      <c r="E22" s="1038">
        <f>ROUNDDOWN(G3,1)</f>
        <v>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975</v>
      </c>
      <c r="J22" s="1055" t="str">
        <f>IF(G3&gt;10,D113,"——")</f>
        <v>——</v>
      </c>
      <c r="K22" s="3146"/>
      <c r="L22" s="1469"/>
      <c r="M22" s="1469"/>
      <c r="N22" s="1466" t="s">
        <v>976</v>
      </c>
      <c r="O22" s="1529"/>
      <c r="P22" s="2732">
        <f>SUMPRODUCT((地价!A3:A30=YEAR(G19)&amp;"-"&amp;ROUNDUP(MONTH(G19)/3,0))*(地价!AD2:AH2=N22)*(地价!AD3:AH30))</f>
        <v>1.2800000000000001E-2</v>
      </c>
      <c r="Q22" s="2880"/>
      <c r="R22" s="2180"/>
      <c r="S22" s="2180"/>
      <c r="T22" s="2180"/>
      <c r="U22" s="2180"/>
      <c r="V22" s="2180"/>
      <c r="W22" s="2180"/>
      <c r="X22" s="2180"/>
      <c r="Y22" s="1460"/>
      <c r="Z22" s="1460"/>
      <c r="AA22" s="1460"/>
      <c r="AB22" s="1460"/>
      <c r="AC22" s="1460"/>
      <c r="AD22" s="1460"/>
    </row>
    <row r="23" spans="1:40" ht="15" thickBot="1">
      <c r="A23" s="1628" t="s">
        <v>1869</v>
      </c>
      <c r="B23" s="1471" t="s">
        <v>977</v>
      </c>
      <c r="C23" s="1056">
        <f>ROUND(IF(G3&gt;1,IF(I3&lt;7,SUMPRODUCT((B93:B98=I3)*(C92:N92=G2)*(C93:N98)),SUMIF(C92:N92,G2,C100:N100)),IF(I3&lt;7,SUMPRODUCT((B102:B107=I3)*(C92:N92=G2)*(C102:N107)),SUMIF(C92:N92,G2,C109:N109))),4)</f>
        <v>0</v>
      </c>
      <c r="D23" s="1517"/>
      <c r="E23" s="1517"/>
      <c r="F23" s="1518"/>
      <c r="G23" s="1519"/>
      <c r="H23" s="1520"/>
      <c r="I23" s="1521"/>
      <c r="J23" s="1521"/>
      <c r="K23" s="3147"/>
      <c r="L23" s="1397"/>
      <c r="M23" s="1397"/>
      <c r="N23" s="1466" t="s">
        <v>921</v>
      </c>
      <c r="O23" s="1529"/>
      <c r="P23" s="2732">
        <f>SUMPRODUCT((地价!A3:A30=YEAR(G19)&amp;"-"&amp;ROUNDUP(MONTH(G19)/3,0))*(地价!AD2:AH2=N23)*(地价!AD3:AH30))</f>
        <v>2.0299999999999999E-2</v>
      </c>
      <c r="Q23" s="2880"/>
      <c r="R23" s="2180"/>
      <c r="S23" s="2180"/>
      <c r="T23" s="2180"/>
      <c r="U23" s="2180"/>
      <c r="V23" s="2180"/>
      <c r="W23" s="2180"/>
      <c r="X23" s="2180"/>
      <c r="Y23" s="1399"/>
      <c r="Z23" s="1399"/>
      <c r="AA23" s="1399"/>
      <c r="AB23" s="1399"/>
      <c r="AC23" s="1399"/>
      <c r="AE23" s="1400"/>
      <c r="AF23" s="1400"/>
      <c r="AG23" s="1400"/>
      <c r="AH23" s="1400"/>
      <c r="AI23" s="1400"/>
      <c r="AJ23" s="1401"/>
      <c r="AK23" s="1401"/>
      <c r="AL23" s="1401"/>
      <c r="AM23" s="1401"/>
    </row>
    <row r="24" spans="1:40" s="1417" customFormat="1" ht="15" thickBot="1">
      <c r="A24" s="1626" t="s">
        <v>1870</v>
      </c>
      <c r="B24" s="1411" t="s">
        <v>978</v>
      </c>
      <c r="C24" s="1057">
        <f>SUMIF(A44:A87,E2,B44:B87)</f>
        <v>0</v>
      </c>
      <c r="D24" s="1522"/>
      <c r="E24" s="1523"/>
      <c r="F24" s="1523"/>
      <c r="G24" s="1523"/>
      <c r="H24" s="1523"/>
      <c r="I24" s="1523"/>
      <c r="J24" s="1523"/>
      <c r="K24" s="3147"/>
      <c r="L24" s="1469"/>
      <c r="M24" s="1469"/>
      <c r="N24" s="1466" t="s">
        <v>979</v>
      </c>
      <c r="O24" s="3151"/>
      <c r="P24" s="2732">
        <f>SUMPRODUCT((地价!A3:A30=YEAR(G19)&amp;"-"&amp;ROUNDUP(MONTH(G19)/3,0))*(地价!AD2:AH2=N24)*(地价!AD3:AH30))</f>
        <v>1.3100000000000001E-2</v>
      </c>
      <c r="Q24" s="2880"/>
      <c r="R24" s="2180"/>
      <c r="S24" s="2180"/>
      <c r="T24" s="2180"/>
      <c r="U24" s="2180"/>
      <c r="V24" s="2180"/>
      <c r="W24" s="2180"/>
      <c r="X24" s="2180"/>
      <c r="Y24" s="1460"/>
      <c r="Z24" s="1460"/>
      <c r="AA24" s="1460"/>
      <c r="AB24" s="1460"/>
      <c r="AC24" s="1460"/>
      <c r="AD24" s="1460"/>
    </row>
    <row r="25" spans="1:40" ht="15" thickBot="1">
      <c r="A25" s="1626" t="s">
        <v>1871</v>
      </c>
      <c r="B25" s="1473" t="s">
        <v>980</v>
      </c>
      <c r="C25" s="1474"/>
      <c r="D25" s="1426"/>
      <c r="E25" s="1426"/>
      <c r="F25" s="1475"/>
      <c r="G25" s="1426"/>
      <c r="H25" s="1426"/>
      <c r="I25" s="1426"/>
      <c r="J25" s="1427"/>
      <c r="K25" s="1452"/>
      <c r="L25" s="2180"/>
      <c r="M25" s="2180"/>
      <c r="N25" s="3153" t="s">
        <v>2642</v>
      </c>
      <c r="O25" s="3154"/>
      <c r="P25" s="2411">
        <f>SUMPRODUCT((地价!A3:A30=YEAR(G19)&amp;"-"&amp;ROUNDUP(MONTH(G19)/3,0))*(地价!AD2:AH2=N25)*(地价!AD3:AH30))</f>
        <v>1.8499999999999999E-2</v>
      </c>
      <c r="Q25" s="2880"/>
      <c r="R25" s="2180"/>
      <c r="S25" s="2180"/>
      <c r="T25" s="2180"/>
      <c r="U25" s="2180"/>
      <c r="V25" s="2180"/>
      <c r="W25" s="2180"/>
      <c r="X25" s="2180"/>
      <c r="Y25" s="1399"/>
      <c r="Z25" s="1399"/>
      <c r="AA25" s="1399"/>
      <c r="AB25" s="1399"/>
      <c r="AC25" s="1399"/>
      <c r="AE25" s="1400"/>
      <c r="AF25" s="1400"/>
      <c r="AG25" s="1400"/>
      <c r="AH25" s="1400"/>
      <c r="AI25" s="1401"/>
      <c r="AJ25" s="1401"/>
      <c r="AK25" s="1401"/>
      <c r="AL25" s="1401"/>
      <c r="AM25" s="1401"/>
    </row>
    <row r="26" spans="1:40" ht="14.4">
      <c r="A26" s="1476"/>
      <c r="B26" s="1471" t="s">
        <v>984</v>
      </c>
      <c r="C26" s="1058" t="e">
        <f>E29+SUM(E33:E39)</f>
        <v>#DIV/0!</v>
      </c>
      <c r="D26" s="1477"/>
      <c r="E26" s="1452"/>
      <c r="F26" s="1478"/>
      <c r="G26" s="1452"/>
      <c r="H26" s="1452"/>
      <c r="I26" s="1452"/>
      <c r="J26" s="1479"/>
      <c r="K26" s="1452"/>
      <c r="L26" s="1583" t="s">
        <v>896</v>
      </c>
      <c r="M26" s="1424" t="s">
        <v>981</v>
      </c>
      <c r="N26" s="1424" t="s">
        <v>982</v>
      </c>
      <c r="O26" s="1424" t="s">
        <v>900</v>
      </c>
      <c r="P26" s="1464" t="s">
        <v>983</v>
      </c>
      <c r="Q26" s="2880"/>
      <c r="R26" s="2180"/>
      <c r="S26" s="2180"/>
      <c r="T26" s="2180"/>
      <c r="U26" s="2180"/>
      <c r="V26" s="2180"/>
      <c r="W26" s="2180"/>
      <c r="X26" s="2180"/>
      <c r="Y26" s="1460"/>
      <c r="Z26" s="1460"/>
      <c r="AA26" s="1460"/>
      <c r="AB26" s="1460"/>
      <c r="AC26" s="1399"/>
      <c r="AE26" s="1400"/>
      <c r="AF26" s="1400"/>
      <c r="AG26" s="1400"/>
      <c r="AH26" s="1400"/>
      <c r="AI26" s="1401"/>
      <c r="AJ26" s="1401"/>
      <c r="AK26" s="1401"/>
      <c r="AL26" s="1401"/>
      <c r="AM26" s="1401"/>
    </row>
    <row r="27" spans="1:40" ht="15" thickBot="1">
      <c r="A27" s="1476"/>
      <c r="B27" s="1480" t="s">
        <v>986</v>
      </c>
      <c r="C27" s="1059" t="e">
        <f>E30+SUM(I33:I39)</f>
        <v>#DIV/0!</v>
      </c>
      <c r="D27" s="1481"/>
      <c r="E27" s="1482"/>
      <c r="F27" s="1483"/>
      <c r="G27" s="1482"/>
      <c r="H27" s="1482"/>
      <c r="I27" s="1482"/>
      <c r="J27" s="1484"/>
      <c r="K27" s="1452"/>
      <c r="L27" s="1456" t="s">
        <v>985</v>
      </c>
      <c r="M27" s="1046">
        <v>0.25</v>
      </c>
      <c r="N27" s="1046">
        <v>0.2</v>
      </c>
      <c r="O27" s="1046">
        <v>0.15</v>
      </c>
      <c r="P27" s="1526">
        <v>0.1</v>
      </c>
      <c r="Q27" s="2180"/>
      <c r="R27" s="2880"/>
      <c r="S27" s="2880"/>
      <c r="T27" s="2880"/>
      <c r="U27" s="2880"/>
      <c r="V27" s="2880"/>
      <c r="W27" s="2180"/>
      <c r="X27" s="2180"/>
      <c r="Y27" s="2180"/>
      <c r="Z27" s="2180"/>
      <c r="AA27" s="2180"/>
      <c r="AB27" s="2180"/>
      <c r="AC27" s="2180"/>
    </row>
    <row r="28" spans="1:40" ht="15" thickBot="1">
      <c r="A28" s="1472"/>
      <c r="B28" s="1485" t="s">
        <v>987</v>
      </c>
      <c r="C28" s="1486" t="s">
        <v>988</v>
      </c>
      <c r="D28" s="1486" t="s">
        <v>989</v>
      </c>
      <c r="E28" s="1487" t="s">
        <v>990</v>
      </c>
      <c r="F28" s="1488"/>
      <c r="G28" s="1438"/>
      <c r="H28" s="1438"/>
      <c r="I28" s="1438"/>
      <c r="J28" s="1439"/>
      <c r="K28" s="1452"/>
      <c r="L28" s="1457" t="s">
        <v>971</v>
      </c>
      <c r="M28" s="1527">
        <f ca="1">ROUND($E$20*(1+M27),3)</f>
        <v>5.3999999999999999E-2</v>
      </c>
      <c r="N28" s="1527">
        <f ca="1">ROUND($E$20*(1+N27),3)</f>
        <v>5.1999999999999998E-2</v>
      </c>
      <c r="O28" s="1527">
        <f ca="1">ROUND($E$20*(1+O27),3)</f>
        <v>0.05</v>
      </c>
      <c r="P28" s="1528">
        <f ca="1">ROUND($E$20*(1+P27),3)</f>
        <v>4.8000000000000001E-2</v>
      </c>
      <c r="Q28" s="2180"/>
      <c r="R28" s="2880"/>
      <c r="S28" s="2880"/>
      <c r="T28" s="2880"/>
      <c r="U28" s="2880"/>
      <c r="V28" s="2880"/>
      <c r="W28" s="2180"/>
      <c r="X28" s="2180"/>
      <c r="Y28" s="2180"/>
      <c r="Z28" s="2180"/>
      <c r="AA28" s="2180"/>
      <c r="AB28" s="2180"/>
      <c r="AC28" s="2180"/>
      <c r="AD28" s="1460"/>
      <c r="AE28" s="1460"/>
      <c r="AF28" s="1460"/>
      <c r="AG28" s="1460"/>
    </row>
    <row r="29" spans="1:40" ht="24">
      <c r="A29" s="1489"/>
      <c r="B29" s="1490" t="s">
        <v>991</v>
      </c>
      <c r="C29" s="1058" t="e">
        <f>ROUND(C5*C18*C19*C20*C21*C24,0)</f>
        <v>#DIV/0!</v>
      </c>
      <c r="D29" s="1491"/>
      <c r="E29" s="1834" t="e">
        <f>ROUND(C29*D29/10000,0)</f>
        <v>#DIV/0!</v>
      </c>
      <c r="F29" s="1492" t="s">
        <v>1699</v>
      </c>
      <c r="G29" s="1493"/>
      <c r="H29" s="1493"/>
      <c r="I29" s="1493"/>
      <c r="J29" s="1494"/>
      <c r="K29" s="3148"/>
      <c r="L29" s="3148"/>
      <c r="M29" s="3148"/>
      <c r="N29" s="3148"/>
      <c r="O29" s="3148"/>
      <c r="P29" s="1397"/>
      <c r="Q29" s="2180"/>
      <c r="R29" s="2180"/>
      <c r="S29" s="2180"/>
      <c r="T29" s="2180"/>
      <c r="U29" s="2180"/>
      <c r="V29" s="2180"/>
      <c r="W29" s="2880"/>
      <c r="X29" s="2880"/>
      <c r="Y29" s="2880"/>
      <c r="Z29" s="2880"/>
      <c r="AA29" s="2880"/>
      <c r="AB29" s="2180"/>
      <c r="AC29" s="2180"/>
      <c r="AD29" s="2180"/>
      <c r="AE29" s="2180"/>
      <c r="AF29" s="2180"/>
      <c r="AG29" s="2180"/>
      <c r="AH29" s="2180"/>
      <c r="AJ29" s="1399"/>
      <c r="AK29" s="1399"/>
      <c r="AL29" s="1399"/>
      <c r="AM29" s="1398"/>
      <c r="AN29" s="1398"/>
    </row>
    <row r="30" spans="1:40" ht="24.6" thickBot="1">
      <c r="A30" s="1495"/>
      <c r="B30" s="1496" t="s">
        <v>992</v>
      </c>
      <c r="C30" s="1050" t="e">
        <f>ROUND(IF(E2="工业",C29*M39,C29*M38),0)</f>
        <v>#DIV/0!</v>
      </c>
      <c r="D30" s="1497"/>
      <c r="E30" s="1834" t="e">
        <f>ROUND(C30*D30/10000,0)</f>
        <v>#DIV/0!</v>
      </c>
      <c r="F30" s="1498" t="s">
        <v>993</v>
      </c>
      <c r="G30" s="1499"/>
      <c r="H30" s="1499"/>
      <c r="I30" s="1499"/>
      <c r="J30" s="1500"/>
      <c r="K30" s="1452"/>
      <c r="L30" s="1452"/>
      <c r="M30" s="1452"/>
      <c r="N30" s="1452"/>
      <c r="O30" s="1452"/>
      <c r="P30" s="1397"/>
      <c r="Q30" s="2174"/>
      <c r="R30" s="2174"/>
      <c r="S30" s="2174"/>
      <c r="T30" s="2174"/>
      <c r="U30" s="2174"/>
      <c r="V30" s="2174"/>
      <c r="W30" s="2175"/>
      <c r="X30" s="2175"/>
      <c r="Y30" s="2175"/>
      <c r="Z30" s="2175"/>
      <c r="AA30" s="2175"/>
      <c r="AB30" s="2174"/>
      <c r="AC30" s="2174"/>
      <c r="AD30" s="2174"/>
      <c r="AE30" s="2174"/>
      <c r="AF30" s="2174"/>
      <c r="AG30" s="2174"/>
      <c r="AH30" s="2174"/>
      <c r="AI30" s="1460"/>
      <c r="AJ30" s="1460"/>
      <c r="AK30" s="1460"/>
      <c r="AL30" s="1460"/>
      <c r="AM30" s="1398"/>
      <c r="AN30" s="1398"/>
    </row>
    <row r="31" spans="1:40">
      <c r="A31" s="1501"/>
      <c r="B31" s="1502" t="s">
        <v>994</v>
      </c>
      <c r="C31" s="1503" t="s">
        <v>995</v>
      </c>
      <c r="D31" s="1438"/>
      <c r="E31" s="1503"/>
      <c r="F31" s="1503"/>
      <c r="G31" s="1436" t="s">
        <v>993</v>
      </c>
      <c r="H31" s="1438"/>
      <c r="I31" s="1504"/>
      <c r="J31" s="1439"/>
      <c r="K31" s="1452"/>
      <c r="L31" s="1452"/>
      <c r="M31" s="1452"/>
      <c r="N31" s="1452"/>
      <c r="O31" s="1452"/>
      <c r="P31" s="1397"/>
      <c r="Q31" s="2174"/>
      <c r="R31" s="2174"/>
      <c r="S31" s="2174"/>
      <c r="T31" s="2174"/>
      <c r="U31" s="2174"/>
      <c r="V31" s="2174"/>
      <c r="W31" s="2175"/>
      <c r="X31" s="2175"/>
      <c r="Y31" s="2175"/>
      <c r="Z31" s="2175"/>
      <c r="AA31" s="2175"/>
      <c r="AB31" s="2174"/>
      <c r="AC31" s="2174"/>
      <c r="AD31" s="2174"/>
      <c r="AE31" s="2174"/>
      <c r="AF31" s="2174"/>
      <c r="AG31" s="2174"/>
      <c r="AH31" s="2174"/>
      <c r="AJ31" s="1399"/>
      <c r="AK31" s="1399"/>
      <c r="AL31" s="1399"/>
      <c r="AM31" s="1398"/>
      <c r="AN31" s="1398"/>
    </row>
    <row r="32" spans="1:40" ht="36">
      <c r="A32" s="1489"/>
      <c r="B32" s="1505"/>
      <c r="C32" s="1506" t="s">
        <v>988</v>
      </c>
      <c r="D32" s="1507" t="s">
        <v>989</v>
      </c>
      <c r="E32" s="1507" t="s">
        <v>990</v>
      </c>
      <c r="F32" s="1508" t="s">
        <v>996</v>
      </c>
      <c r="G32" s="1467" t="s">
        <v>988</v>
      </c>
      <c r="H32" s="1467" t="s">
        <v>989</v>
      </c>
      <c r="I32" s="1467" t="s">
        <v>990</v>
      </c>
      <c r="J32" s="1509"/>
      <c r="K32" s="3149"/>
      <c r="L32" s="3149"/>
      <c r="M32" s="3149"/>
      <c r="N32" s="3149"/>
      <c r="O32" s="3149"/>
      <c r="P32" s="1397"/>
      <c r="Q32" s="2174"/>
      <c r="R32" s="2174"/>
      <c r="S32" s="2174"/>
      <c r="T32" s="2174"/>
      <c r="U32" s="2174"/>
      <c r="V32" s="2174"/>
      <c r="W32" s="2175"/>
      <c r="X32" s="2175"/>
      <c r="Y32" s="2175"/>
      <c r="Z32" s="2175"/>
      <c r="AA32" s="2175"/>
      <c r="AB32" s="2174"/>
      <c r="AC32" s="2174"/>
      <c r="AD32" s="2174"/>
      <c r="AE32" s="2174"/>
      <c r="AF32" s="2174"/>
      <c r="AG32" s="2174"/>
      <c r="AH32" s="2174"/>
      <c r="AI32" s="1398"/>
      <c r="AJ32" s="1398"/>
      <c r="AK32" s="1398"/>
      <c r="AL32" s="1398"/>
      <c r="AM32" s="1398"/>
      <c r="AN32" s="1398"/>
    </row>
    <row r="33" spans="1:44" ht="13.2">
      <c r="A33" s="3441" t="s">
        <v>2956</v>
      </c>
      <c r="B33" s="1511" t="s">
        <v>997</v>
      </c>
      <c r="C33" s="1058" t="e">
        <f>ROUND(D5*C19*C20*C24*F33,0)</f>
        <v>#DIV/0!</v>
      </c>
      <c r="D33" s="1524"/>
      <c r="E33" s="1047" t="e">
        <f>ROUND(C33*D33/10000,0)</f>
        <v>#DIV/0!</v>
      </c>
      <c r="F33" s="1047">
        <f>SUMIF(修正!A45:A56,G2,修正!B45:B56)</f>
        <v>0</v>
      </c>
      <c r="G33" s="1047" t="e">
        <f t="shared" ref="G33" si="6">ROUND(IF(E2="工业",C33*$M$39,C33*$M$38),0)</f>
        <v>#DIV/0!</v>
      </c>
      <c r="H33" s="1047">
        <f>D33</f>
        <v>0</v>
      </c>
      <c r="I33" s="1047" t="e">
        <f>ROUND(G33*H33/10000,0)</f>
        <v>#DIV/0!</v>
      </c>
      <c r="J33" s="1512"/>
      <c r="K33" s="3150"/>
      <c r="L33" s="3150"/>
      <c r="M33" s="3150"/>
      <c r="N33" s="3150"/>
      <c r="O33" s="3150"/>
      <c r="P33" s="1397"/>
      <c r="Q33" s="2174"/>
      <c r="R33" s="2174"/>
      <c r="S33" s="2174"/>
      <c r="T33" s="2174"/>
      <c r="U33" s="2174"/>
      <c r="V33" s="2174"/>
      <c r="W33" s="2175"/>
      <c r="X33" s="2175"/>
      <c r="Y33" s="2175"/>
      <c r="Z33" s="2175"/>
      <c r="AA33" s="2175"/>
      <c r="AB33" s="2174"/>
      <c r="AC33" s="2174"/>
      <c r="AD33" s="2174"/>
      <c r="AE33" s="2174"/>
      <c r="AF33" s="2174"/>
      <c r="AG33" s="2174"/>
      <c r="AH33" s="2175"/>
      <c r="AJ33" s="1399"/>
      <c r="AK33" s="1399"/>
      <c r="AL33" s="1399"/>
      <c r="AM33" s="1399"/>
      <c r="AN33" s="1399"/>
      <c r="AO33" s="1400"/>
      <c r="AP33" s="1400"/>
      <c r="AQ33" s="1400"/>
      <c r="AR33" s="1400"/>
    </row>
    <row r="34" spans="1:44" ht="13.2">
      <c r="A34" s="3442"/>
      <c r="B34" s="1441" t="s">
        <v>998</v>
      </c>
      <c r="C34" s="1058" t="e">
        <f>ROUND(D5*C19*C20*C24*F34,0)</f>
        <v>#DIV/0!</v>
      </c>
      <c r="D34" s="1524"/>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12"/>
      <c r="K34" s="3150"/>
      <c r="L34" s="3150"/>
      <c r="M34" s="3150"/>
      <c r="N34" s="3150"/>
      <c r="O34" s="3150"/>
      <c r="P34" s="1397"/>
      <c r="Q34" s="2174"/>
      <c r="R34" s="2174"/>
      <c r="S34" s="2174"/>
      <c r="T34" s="2174"/>
      <c r="U34" s="2174"/>
      <c r="V34" s="2174"/>
      <c r="W34" s="2175"/>
      <c r="X34" s="2175"/>
      <c r="Y34" s="2175"/>
      <c r="Z34" s="2175"/>
      <c r="AA34" s="2175"/>
      <c r="AB34" s="2174"/>
      <c r="AC34" s="2174"/>
      <c r="AD34" s="2174"/>
      <c r="AE34" s="2174"/>
      <c r="AF34" s="2174"/>
      <c r="AG34" s="2174"/>
      <c r="AH34" s="2175"/>
      <c r="AJ34" s="1399"/>
      <c r="AK34" s="1399"/>
      <c r="AL34" s="1399"/>
      <c r="AM34" s="1399"/>
      <c r="AN34" s="1399"/>
      <c r="AO34" s="1400"/>
      <c r="AP34" s="1400"/>
      <c r="AQ34" s="1400"/>
      <c r="AR34" s="1400"/>
    </row>
    <row r="35" spans="1:44" ht="13.2">
      <c r="A35" s="3442"/>
      <c r="B35" s="1441" t="s">
        <v>999</v>
      </c>
      <c r="C35" s="1058" t="e">
        <f>ROUND(D5*C19*C20*C24*F35,0)</f>
        <v>#DIV/0!</v>
      </c>
      <c r="D35" s="1524"/>
      <c r="E35" s="1047" t="e">
        <f t="shared" si="7"/>
        <v>#DIV/0!</v>
      </c>
      <c r="F35" s="1047">
        <f>SUMIF(修正!A45:A56,G2,修正!D45:D56)</f>
        <v>0</v>
      </c>
      <c r="G35" s="1047" t="e">
        <f>ROUND(IF(E2="工业",C35*$M$39,C35*$M$38),0)</f>
        <v>#DIV/0!</v>
      </c>
      <c r="H35" s="1047">
        <f t="shared" si="8"/>
        <v>0</v>
      </c>
      <c r="I35" s="1047" t="e">
        <f t="shared" si="9"/>
        <v>#DIV/0!</v>
      </c>
      <c r="J35" s="1512"/>
      <c r="K35" s="3150"/>
      <c r="L35" s="3150"/>
      <c r="M35" s="3150"/>
      <c r="N35" s="3150"/>
      <c r="O35" s="3150"/>
      <c r="P35" s="1397"/>
      <c r="Q35" s="2174"/>
      <c r="R35" s="2174"/>
      <c r="S35" s="2174"/>
      <c r="T35" s="2174"/>
      <c r="U35" s="2174"/>
      <c r="V35" s="2174"/>
      <c r="W35" s="2175"/>
      <c r="X35" s="2175"/>
      <c r="Y35" s="2175"/>
      <c r="Z35" s="2175"/>
      <c r="AA35" s="2175"/>
      <c r="AB35" s="2174"/>
      <c r="AC35" s="2174"/>
      <c r="AD35" s="2174"/>
      <c r="AE35" s="2174"/>
      <c r="AF35" s="2174"/>
      <c r="AG35" s="2174"/>
      <c r="AH35" s="2175"/>
      <c r="AJ35" s="1399"/>
      <c r="AK35" s="1399"/>
      <c r="AL35" s="1399"/>
      <c r="AM35" s="1399"/>
      <c r="AN35" s="1399"/>
      <c r="AO35" s="1400"/>
      <c r="AP35" s="1400"/>
      <c r="AQ35" s="1400"/>
      <c r="AR35" s="1400"/>
    </row>
    <row r="36" spans="1:44" ht="13.8" thickBot="1">
      <c r="A36" s="3443"/>
      <c r="B36" s="1441" t="s">
        <v>1000</v>
      </c>
      <c r="C36" s="1058" t="e">
        <f>ROUND(D5*C19*C20*C24*F36,0)</f>
        <v>#DIV/0!</v>
      </c>
      <c r="D36" s="1524"/>
      <c r="E36" s="1047" t="e">
        <f t="shared" si="7"/>
        <v>#DIV/0!</v>
      </c>
      <c r="F36" s="1047">
        <f>SUMIF(修正!A45:A56,G2,修正!E45:E56)</f>
        <v>0</v>
      </c>
      <c r="G36" s="1047" t="e">
        <f>ROUND(IF(E2="工业",C36*$M$39,C36*$M$38),0)</f>
        <v>#DIV/0!</v>
      </c>
      <c r="H36" s="1047">
        <f t="shared" si="8"/>
        <v>0</v>
      </c>
      <c r="I36" s="1047" t="e">
        <f t="shared" si="9"/>
        <v>#DIV/0!</v>
      </c>
      <c r="J36" s="1512"/>
      <c r="K36" s="3150"/>
      <c r="L36" s="3150"/>
      <c r="M36" s="3150"/>
      <c r="N36" s="3150"/>
      <c r="O36" s="3150"/>
      <c r="P36" s="1397"/>
      <c r="Q36" s="2174"/>
      <c r="R36" s="2174"/>
      <c r="S36" s="2174"/>
      <c r="T36" s="2174"/>
      <c r="U36" s="2174"/>
      <c r="V36" s="2174"/>
      <c r="W36" s="2175"/>
      <c r="X36" s="2175"/>
      <c r="Y36" s="2175"/>
      <c r="Z36" s="2175"/>
      <c r="AA36" s="2175"/>
      <c r="AB36" s="2174"/>
      <c r="AC36" s="2174"/>
      <c r="AD36" s="2174"/>
      <c r="AE36" s="2174"/>
      <c r="AF36" s="2174"/>
      <c r="AG36" s="2174"/>
      <c r="AH36" s="2175"/>
      <c r="AJ36" s="1399"/>
      <c r="AK36" s="1399"/>
      <c r="AL36" s="1399"/>
      <c r="AM36" s="1399"/>
      <c r="AN36" s="1399"/>
      <c r="AO36" s="1400"/>
      <c r="AP36" s="1400"/>
      <c r="AQ36" s="1400"/>
      <c r="AR36" s="1400"/>
    </row>
    <row r="37" spans="1:44" ht="13.2">
      <c r="A37" s="1510"/>
      <c r="B37" s="1441" t="s">
        <v>1001</v>
      </c>
      <c r="C37" s="1047" t="e">
        <f>ROUND(D5*C19*C20*C24*F37,0)</f>
        <v>#DIV/0!</v>
      </c>
      <c r="D37" s="1524"/>
      <c r="E37" s="1047" t="e">
        <f t="shared" si="7"/>
        <v>#DIV/0!</v>
      </c>
      <c r="F37" s="1058">
        <f>SUMIF(修正!A45:A56,G2,修正!F45:F56)</f>
        <v>0</v>
      </c>
      <c r="G37" s="1047" t="e">
        <f>ROUND(IF(E2="工业",C37*$M$39,C37*$M$38),0)</f>
        <v>#DIV/0!</v>
      </c>
      <c r="H37" s="1047">
        <f t="shared" si="8"/>
        <v>0</v>
      </c>
      <c r="I37" s="1047" t="e">
        <f t="shared" si="9"/>
        <v>#DIV/0!</v>
      </c>
      <c r="J37" s="1512"/>
      <c r="K37" s="1397"/>
      <c r="L37" s="1530" t="s">
        <v>1701</v>
      </c>
      <c r="M37" s="1531"/>
      <c r="N37" s="2174"/>
      <c r="O37" s="2174"/>
      <c r="P37" s="2174"/>
      <c r="Q37" s="2174"/>
      <c r="R37" s="2175"/>
      <c r="S37" s="2175"/>
      <c r="T37" s="2175"/>
      <c r="U37" s="2175"/>
      <c r="V37" s="2175"/>
      <c r="W37" s="2174"/>
      <c r="X37" s="2174"/>
      <c r="Y37" s="2174"/>
      <c r="Z37" s="2174"/>
      <c r="AA37" s="2174"/>
      <c r="AB37" s="2174"/>
      <c r="AC37" s="2175"/>
    </row>
    <row r="38" spans="1:44" ht="13.2">
      <c r="A38" s="1510"/>
      <c r="B38" s="1441" t="s">
        <v>1002</v>
      </c>
      <c r="C38" s="1047" t="e">
        <f>ROUND(D5*C19*C41*C24*F38,0)</f>
        <v>#DIV/0!</v>
      </c>
      <c r="D38" s="1524"/>
      <c r="E38" s="1047" t="e">
        <f t="shared" si="7"/>
        <v>#DIV/0!</v>
      </c>
      <c r="F38" s="1058">
        <f>SUMIF(修正!A45:A56,G2,修正!G45:G56)</f>
        <v>0</v>
      </c>
      <c r="G38" s="1047" t="e">
        <f>ROUND(IF(E2="工业",C38*$M$39,C38*$M$38),0)</f>
        <v>#DIV/0!</v>
      </c>
      <c r="H38" s="1047">
        <f t="shared" si="8"/>
        <v>0</v>
      </c>
      <c r="I38" s="1047" t="e">
        <f t="shared" si="9"/>
        <v>#DIV/0!</v>
      </c>
      <c r="J38" s="1512"/>
      <c r="K38" s="1397"/>
      <c r="L38" s="1532" t="s">
        <v>1703</v>
      </c>
      <c r="M38" s="1533">
        <v>0.25</v>
      </c>
      <c r="N38" s="2174"/>
      <c r="O38" s="2174"/>
      <c r="P38" s="2174"/>
      <c r="Q38" s="2174"/>
      <c r="R38" s="2175"/>
      <c r="S38" s="2175"/>
      <c r="T38" s="2175"/>
      <c r="U38" s="2175"/>
      <c r="V38" s="2175"/>
      <c r="W38" s="2174"/>
      <c r="X38" s="2174"/>
      <c r="Y38" s="2174"/>
      <c r="Z38" s="2174"/>
      <c r="AA38" s="2174"/>
      <c r="AB38" s="2174"/>
      <c r="AC38" s="2175"/>
    </row>
    <row r="39" spans="1:44" ht="13.8" thickBot="1">
      <c r="A39" s="1495"/>
      <c r="B39" s="1513" t="s">
        <v>1003</v>
      </c>
      <c r="C39" s="1050" t="e">
        <f>ROUND(D5*C19*C41*C24*F39,0)</f>
        <v>#DIV/0!</v>
      </c>
      <c r="D39" s="1525"/>
      <c r="E39" s="1050" t="e">
        <f t="shared" si="7"/>
        <v>#DIV/0!</v>
      </c>
      <c r="F39" s="1060">
        <f>SUMIF(修正!A45:A56,G2,修正!H45:H56)</f>
        <v>0</v>
      </c>
      <c r="G39" s="1050" t="e">
        <f>ROUND(IF(E2="工业",C39*$M$39,C39*$M$38),0)</f>
        <v>#DIV/0!</v>
      </c>
      <c r="H39" s="1050">
        <f t="shared" si="8"/>
        <v>0</v>
      </c>
      <c r="I39" s="1050" t="e">
        <f t="shared" si="9"/>
        <v>#DIV/0!</v>
      </c>
      <c r="J39" s="1514"/>
      <c r="K39" s="1397"/>
      <c r="L39" s="1534" t="s">
        <v>1702</v>
      </c>
      <c r="M39" s="1535">
        <v>0.15</v>
      </c>
      <c r="N39" s="2174"/>
      <c r="O39" s="2174"/>
      <c r="P39" s="2174"/>
      <c r="Q39" s="2174"/>
      <c r="R39" s="2175"/>
      <c r="S39" s="2175"/>
      <c r="T39" s="2175"/>
      <c r="U39" s="2175"/>
      <c r="V39" s="2175"/>
      <c r="W39" s="2174"/>
      <c r="X39" s="2174"/>
      <c r="Y39" s="2174"/>
      <c r="Z39" s="2174"/>
      <c r="AA39" s="2174"/>
      <c r="AB39" s="2174"/>
      <c r="AC39" s="2175"/>
    </row>
    <row r="40" spans="1:44" s="1398"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399"/>
      <c r="AE40" s="1399"/>
      <c r="AF40" s="1399"/>
      <c r="AG40" s="1399"/>
      <c r="AH40" s="1399"/>
      <c r="AI40" s="1399"/>
      <c r="AJ40" s="1399"/>
      <c r="AK40" s="1399"/>
      <c r="AL40" s="1399"/>
      <c r="AM40" s="1399"/>
    </row>
    <row r="41" spans="1:44" s="1398" customFormat="1" ht="24">
      <c r="A41" s="1399"/>
      <c r="B41" s="3141" t="s">
        <v>2980</v>
      </c>
      <c r="C41" s="839" t="e">
        <f>ROUND(POWER(1+E41,H41-G41)*(POWER(1+E41,G41)-1)/(POWER(1+E41,H41)-1),4)</f>
        <v>#DIV/0!</v>
      </c>
      <c r="D41" s="378" t="s">
        <v>2978</v>
      </c>
      <c r="E41" s="3140">
        <f>G20</f>
        <v>0</v>
      </c>
      <c r="F41" s="378" t="s">
        <v>2979</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399"/>
      <c r="AE41" s="1399"/>
      <c r="AF41" s="1399"/>
      <c r="AG41" s="1399"/>
      <c r="AH41" s="1399"/>
      <c r="AI41" s="1399"/>
      <c r="AJ41" s="1399"/>
      <c r="AK41" s="1399"/>
      <c r="AL41" s="1399"/>
      <c r="AM41" s="1399"/>
    </row>
    <row r="42" spans="1:44" s="1398" customFormat="1">
      <c r="A42" s="1399"/>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399"/>
      <c r="AE42" s="1399"/>
      <c r="AF42" s="1399"/>
      <c r="AG42" s="1399"/>
      <c r="AH42" s="1399"/>
      <c r="AI42" s="1399"/>
      <c r="AJ42" s="1399"/>
      <c r="AK42" s="1399"/>
      <c r="AL42" s="1399"/>
      <c r="AM42" s="1399"/>
    </row>
    <row r="43" spans="1:44" s="1398" customFormat="1">
      <c r="A43" s="1399"/>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399"/>
      <c r="AE43" s="1399"/>
      <c r="AF43" s="1399"/>
      <c r="AG43" s="1399"/>
      <c r="AH43" s="1399"/>
      <c r="AI43" s="1399"/>
      <c r="AJ43" s="1399"/>
      <c r="AK43" s="1399"/>
      <c r="AL43" s="1399"/>
      <c r="AM43" s="1399"/>
    </row>
    <row r="44" spans="1:44" s="1398" customFormat="1" ht="15" thickBot="1">
      <c r="A44" s="2383" t="s">
        <v>1004</v>
      </c>
      <c r="B44" s="2384"/>
      <c r="C44" s="2385"/>
      <c r="D44" s="2386"/>
      <c r="E44" s="2386"/>
      <c r="F44" s="2387"/>
      <c r="G44" s="1061"/>
      <c r="H44" s="2387"/>
      <c r="I44" s="1061"/>
      <c r="J44" s="1061"/>
      <c r="K44" s="1061"/>
      <c r="L44" s="1061"/>
      <c r="M44" s="1061"/>
      <c r="O44" s="2181"/>
      <c r="P44" s="2181"/>
      <c r="Q44" s="2181"/>
      <c r="R44" s="2182"/>
      <c r="S44" s="2182"/>
      <c r="T44" s="2182"/>
      <c r="U44" s="2182"/>
      <c r="V44" s="2182"/>
      <c r="W44" s="2181"/>
      <c r="X44" s="2181"/>
      <c r="Y44" s="2181"/>
      <c r="Z44" s="2181"/>
      <c r="AA44" s="2181"/>
      <c r="AB44" s="2181"/>
      <c r="AC44" s="2182"/>
      <c r="AD44" s="1399"/>
      <c r="AE44" s="1399"/>
      <c r="AF44" s="1399"/>
      <c r="AG44" s="1399"/>
      <c r="AH44" s="1399"/>
      <c r="AI44" s="1399"/>
      <c r="AJ44" s="1399"/>
      <c r="AK44" s="1399"/>
      <c r="AL44" s="1399"/>
      <c r="AM44" s="1399"/>
    </row>
    <row r="45" spans="1:44" s="1398" customFormat="1" ht="14.4">
      <c r="A45" s="2388" t="s">
        <v>1005</v>
      </c>
      <c r="B45" s="2389">
        <f>1+E47</f>
        <v>1</v>
      </c>
      <c r="C45" s="2390"/>
      <c r="D45" s="2391"/>
      <c r="E45" s="2392"/>
      <c r="F45" s="2393"/>
      <c r="G45" s="2387"/>
      <c r="H45" s="2387"/>
      <c r="I45" s="1061"/>
      <c r="J45" s="1061"/>
      <c r="K45" s="1061"/>
      <c r="L45" s="1061"/>
      <c r="M45" s="1061"/>
      <c r="O45" s="2181"/>
      <c r="P45" s="2181"/>
      <c r="Q45" s="2181"/>
      <c r="R45" s="2182"/>
      <c r="S45" s="2182"/>
      <c r="T45" s="2182"/>
      <c r="U45" s="2182"/>
      <c r="V45" s="2182"/>
      <c r="W45" s="2181"/>
      <c r="X45" s="2181"/>
      <c r="Y45" s="2181"/>
      <c r="Z45" s="2181"/>
      <c r="AA45" s="2181"/>
      <c r="AB45" s="2181"/>
      <c r="AC45" s="2182"/>
      <c r="AD45" s="1399"/>
      <c r="AE45" s="1399"/>
      <c r="AF45" s="1399"/>
      <c r="AG45" s="1399"/>
      <c r="AH45" s="1399"/>
      <c r="AI45" s="1399"/>
      <c r="AJ45" s="1399"/>
      <c r="AK45" s="1399"/>
      <c r="AL45" s="1399"/>
      <c r="AM45" s="1399"/>
    </row>
    <row r="46" spans="1:44" s="1398" customFormat="1" ht="24">
      <c r="A46" s="1062" t="s">
        <v>1006</v>
      </c>
      <c r="B46" s="2372" t="s">
        <v>1007</v>
      </c>
      <c r="C46" s="2394" t="s">
        <v>1008</v>
      </c>
      <c r="D46" s="2395" t="s">
        <v>1009</v>
      </c>
      <c r="E46" s="2396" t="s">
        <v>1011</v>
      </c>
      <c r="F46" s="2397" t="s">
        <v>2246</v>
      </c>
      <c r="G46" s="2395" t="s">
        <v>1012</v>
      </c>
      <c r="H46" s="2378" t="s">
        <v>2413</v>
      </c>
      <c r="I46" s="2395" t="s">
        <v>1010</v>
      </c>
      <c r="J46" s="2398" t="s">
        <v>1013</v>
      </c>
      <c r="K46" s="2398" t="s">
        <v>1014</v>
      </c>
      <c r="L46" s="2398" t="s">
        <v>1015</v>
      </c>
      <c r="M46" s="2398" t="s">
        <v>1016</v>
      </c>
      <c r="N46" s="2398" t="s">
        <v>1017</v>
      </c>
      <c r="P46" s="2181"/>
      <c r="Q46" s="2181"/>
      <c r="R46" s="2182"/>
      <c r="S46" s="2182"/>
      <c r="T46" s="2182"/>
      <c r="U46" s="2182"/>
      <c r="V46" s="2182"/>
      <c r="W46" s="2181"/>
      <c r="X46" s="2181"/>
      <c r="Y46" s="2181"/>
      <c r="Z46" s="2181"/>
      <c r="AA46" s="2181"/>
      <c r="AB46" s="2181"/>
      <c r="AC46" s="2181"/>
      <c r="AD46" s="2182"/>
      <c r="AE46" s="1399"/>
      <c r="AF46" s="1399"/>
      <c r="AG46" s="1399"/>
      <c r="AH46" s="1399"/>
      <c r="AI46" s="1399"/>
      <c r="AJ46" s="1399"/>
      <c r="AK46" s="1399"/>
      <c r="AL46" s="1399"/>
      <c r="AM46" s="1399"/>
      <c r="AN46" s="1399"/>
    </row>
    <row r="47" spans="1:44" s="1398" customFormat="1" ht="36">
      <c r="A47" s="1062" t="s">
        <v>1018</v>
      </c>
      <c r="B47" s="2375" t="str">
        <f>估价对象房地状况!C16</f>
        <v>估价对象位于XX商圈，周边商业氛围成熟，人流量大，商业繁华度好</v>
      </c>
      <c r="C47" s="1049"/>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399"/>
      <c r="AF47" s="1399"/>
      <c r="AG47" s="1399"/>
      <c r="AH47" s="1399"/>
      <c r="AI47" s="1399"/>
      <c r="AJ47" s="1399"/>
      <c r="AK47" s="1399"/>
      <c r="AL47" s="1399"/>
      <c r="AM47" s="1399"/>
      <c r="AN47" s="1399"/>
    </row>
    <row r="48" spans="1:44" s="1398" customFormat="1" ht="48">
      <c r="A48" s="1062" t="s">
        <v>1019</v>
      </c>
      <c r="B48" s="2372" t="str">
        <f>估价对象房地状况!C18</f>
        <v>估价对象周边道路状况、公共交通通达情况、停车便捷程度，综合评价交通便捷度较好</v>
      </c>
      <c r="C48" s="1049"/>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399"/>
      <c r="AF48" s="1399"/>
      <c r="AG48" s="1399"/>
      <c r="AH48" s="1399"/>
      <c r="AI48" s="1399"/>
      <c r="AJ48" s="1399"/>
      <c r="AK48" s="1399"/>
      <c r="AL48" s="1399"/>
      <c r="AM48" s="1399"/>
      <c r="AN48" s="1399"/>
    </row>
    <row r="49" spans="1:40" s="1398" customFormat="1" ht="24">
      <c r="A49" s="1062" t="s">
        <v>1020</v>
      </c>
      <c r="B49" s="2372">
        <f>估价对象房地状况!C19</f>
        <v>0</v>
      </c>
      <c r="C49" s="1049"/>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399"/>
      <c r="AF49" s="1399"/>
      <c r="AG49" s="1399"/>
      <c r="AH49" s="1399"/>
      <c r="AI49" s="1399"/>
      <c r="AJ49" s="1399"/>
      <c r="AK49" s="1399"/>
      <c r="AL49" s="1399"/>
      <c r="AM49" s="1399"/>
      <c r="AN49" s="1399"/>
    </row>
    <row r="50" spans="1:40" s="1398" customFormat="1" ht="48">
      <c r="A50" s="1062" t="s">
        <v>1021</v>
      </c>
      <c r="B50" s="3043" t="s">
        <v>2933</v>
      </c>
      <c r="C50" s="1049"/>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399"/>
      <c r="AF50" s="1399"/>
      <c r="AG50" s="1399"/>
      <c r="AH50" s="1399"/>
      <c r="AI50" s="1399"/>
      <c r="AJ50" s="1399"/>
      <c r="AK50" s="1399"/>
      <c r="AL50" s="1399"/>
      <c r="AM50" s="1399"/>
      <c r="AN50" s="1399"/>
    </row>
    <row r="51" spans="1:40" s="1398" customFormat="1" ht="24">
      <c r="A51" s="1062" t="s">
        <v>1022</v>
      </c>
      <c r="B51" s="2372">
        <f>估价对象房地状况!C24</f>
        <v>0</v>
      </c>
      <c r="C51" s="1049"/>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399"/>
      <c r="AF51" s="1399"/>
      <c r="AG51" s="1399"/>
      <c r="AH51" s="1399"/>
      <c r="AI51" s="1399"/>
      <c r="AJ51" s="1399"/>
      <c r="AK51" s="1399"/>
      <c r="AL51" s="1399"/>
      <c r="AM51" s="1399"/>
      <c r="AN51" s="1399"/>
    </row>
    <row r="52" spans="1:40" s="1398" customFormat="1" ht="36">
      <c r="A52" s="1062" t="s">
        <v>1023</v>
      </c>
      <c r="B52" s="3042" t="s">
        <v>2932</v>
      </c>
      <c r="C52" s="1049"/>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399"/>
      <c r="AF52" s="1399"/>
      <c r="AG52" s="1399"/>
      <c r="AH52" s="1399"/>
      <c r="AI52" s="1399"/>
      <c r="AJ52" s="1399"/>
      <c r="AK52" s="1399"/>
      <c r="AL52" s="1399"/>
      <c r="AM52" s="1399"/>
      <c r="AN52" s="1399"/>
    </row>
    <row r="53" spans="1:40" s="1398" customFormat="1" ht="24">
      <c r="A53" s="2404" t="s">
        <v>1024</v>
      </c>
      <c r="B53" s="2373" t="str">
        <f>估价对象房地状况!C21</f>
        <v>估价对象所在区域公共配套设施齐备情况</v>
      </c>
      <c r="C53" s="1049"/>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399"/>
      <c r="AF53" s="1399"/>
      <c r="AG53" s="1399"/>
      <c r="AH53" s="1399"/>
      <c r="AI53" s="1399"/>
      <c r="AJ53" s="1399"/>
      <c r="AK53" s="1399"/>
      <c r="AL53" s="1399"/>
      <c r="AM53" s="1399"/>
      <c r="AN53" s="1399"/>
    </row>
    <row r="54" spans="1:40" s="1398" customFormat="1" ht="24">
      <c r="A54" s="2404" t="s">
        <v>1025</v>
      </c>
      <c r="B54" s="2372" t="str">
        <f>估价对象房地状况!C22</f>
        <v>估价对象所在区域基础设施水平</v>
      </c>
      <c r="C54" s="1049"/>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399"/>
      <c r="AF54" s="1399"/>
      <c r="AG54" s="1399"/>
      <c r="AH54" s="1399"/>
      <c r="AI54" s="1399"/>
      <c r="AJ54" s="1399"/>
      <c r="AK54" s="1399"/>
      <c r="AL54" s="1399"/>
      <c r="AM54" s="1399"/>
      <c r="AN54" s="1399"/>
    </row>
    <row r="55" spans="1:40" s="1398" customFormat="1" ht="36.6" thickBot="1">
      <c r="A55" s="2405" t="s">
        <v>1026</v>
      </c>
      <c r="B55" s="2376" t="str">
        <f>估价对象房地状况!C20</f>
        <v>区域自然环境：；人文环境；综合评价环境状况一般</v>
      </c>
      <c r="C55" s="1049"/>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399"/>
      <c r="AF55" s="1399"/>
      <c r="AG55" s="1399"/>
      <c r="AH55" s="1399"/>
      <c r="AI55" s="1399"/>
      <c r="AJ55" s="1399"/>
      <c r="AK55" s="1399"/>
      <c r="AL55" s="1399"/>
      <c r="AM55" s="1399"/>
      <c r="AN55" s="1399"/>
    </row>
    <row r="56" spans="1:40" s="1398" customFormat="1" ht="14.4">
      <c r="A56" s="2388" t="s">
        <v>1027</v>
      </c>
      <c r="B56" s="2389">
        <f>1+E58</f>
        <v>1</v>
      </c>
      <c r="C56" s="2408"/>
      <c r="D56" s="2391"/>
      <c r="E56" s="2392"/>
      <c r="F56" s="2393"/>
      <c r="G56" s="2387"/>
      <c r="H56" s="2387"/>
      <c r="I56" s="2387"/>
      <c r="J56" s="1061"/>
      <c r="K56" s="1061"/>
      <c r="L56" s="1061"/>
      <c r="M56" s="1061"/>
      <c r="N56" s="1061"/>
      <c r="P56" s="2181"/>
      <c r="Q56" s="2181"/>
      <c r="R56" s="2182"/>
      <c r="S56" s="2182"/>
      <c r="T56" s="2182"/>
      <c r="U56" s="2182"/>
      <c r="V56" s="2182"/>
      <c r="W56" s="2181"/>
      <c r="X56" s="2181"/>
      <c r="Y56" s="2181"/>
      <c r="Z56" s="2181"/>
      <c r="AA56" s="2181"/>
      <c r="AB56" s="2181"/>
      <c r="AC56" s="2181"/>
      <c r="AD56" s="2182"/>
      <c r="AE56" s="1399"/>
      <c r="AF56" s="1399"/>
      <c r="AG56" s="1399"/>
      <c r="AH56" s="1399"/>
      <c r="AI56" s="1399"/>
      <c r="AJ56" s="1399"/>
      <c r="AK56" s="1399"/>
      <c r="AL56" s="1399"/>
      <c r="AM56" s="1399"/>
      <c r="AN56" s="1399"/>
    </row>
    <row r="57" spans="1:40" s="1398" customFormat="1" ht="24">
      <c r="A57" s="1062" t="s">
        <v>1006</v>
      </c>
      <c r="B57" s="2372"/>
      <c r="C57" s="2394" t="s">
        <v>1008</v>
      </c>
      <c r="D57" s="2395" t="s">
        <v>1009</v>
      </c>
      <c r="E57" s="2396" t="s">
        <v>1011</v>
      </c>
      <c r="F57" s="2397" t="s">
        <v>2247</v>
      </c>
      <c r="G57" s="2395" t="s">
        <v>1012</v>
      </c>
      <c r="H57" s="2378" t="s">
        <v>2413</v>
      </c>
      <c r="I57" s="2395" t="s">
        <v>1010</v>
      </c>
      <c r="J57" s="2398" t="s">
        <v>1013</v>
      </c>
      <c r="K57" s="2398" t="s">
        <v>1014</v>
      </c>
      <c r="L57" s="2398" t="s">
        <v>1015</v>
      </c>
      <c r="M57" s="2398" t="s">
        <v>1016</v>
      </c>
      <c r="N57" s="2398" t="s">
        <v>1017</v>
      </c>
      <c r="P57" s="2181"/>
      <c r="Q57" s="2181"/>
      <c r="R57" s="2182"/>
      <c r="S57" s="2182"/>
      <c r="T57" s="2182"/>
      <c r="U57" s="2182"/>
      <c r="V57" s="2182"/>
      <c r="W57" s="2181"/>
      <c r="X57" s="2181"/>
      <c r="Y57" s="2181"/>
      <c r="Z57" s="2181"/>
      <c r="AA57" s="2181"/>
      <c r="AB57" s="2181"/>
      <c r="AC57" s="2181"/>
      <c r="AD57" s="2182"/>
      <c r="AE57" s="1399"/>
      <c r="AF57" s="1399"/>
      <c r="AG57" s="1399"/>
      <c r="AH57" s="1399"/>
      <c r="AI57" s="1399"/>
      <c r="AJ57" s="1399"/>
      <c r="AK57" s="1399"/>
      <c r="AL57" s="1399"/>
      <c r="AM57" s="1399"/>
      <c r="AN57" s="1399"/>
    </row>
    <row r="58" spans="1:40" s="1398" customFormat="1" ht="48">
      <c r="A58" s="1062" t="s">
        <v>1028</v>
      </c>
      <c r="B58" s="2375" t="str">
        <f>估价对象房地状况!C17</f>
        <v>估价对象位于XX商圈，周边办公楼项目较多，入驻率高，办公集聚程度较好</v>
      </c>
      <c r="C58" s="1049"/>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399"/>
      <c r="AF58" s="1399"/>
      <c r="AG58" s="1399"/>
      <c r="AH58" s="1399"/>
      <c r="AI58" s="1399"/>
      <c r="AJ58" s="1399"/>
      <c r="AK58" s="1399"/>
      <c r="AL58" s="1399"/>
      <c r="AM58" s="1399"/>
      <c r="AN58" s="1399"/>
    </row>
    <row r="59" spans="1:40" s="1398" customFormat="1" ht="48">
      <c r="A59" s="1062" t="s">
        <v>1019</v>
      </c>
      <c r="B59" s="2372" t="str">
        <f>估价对象房地状况!C18</f>
        <v>估价对象周边道路状况、公共交通通达情况、停车便捷程度，综合评价交通便捷度较好</v>
      </c>
      <c r="C59" s="1049"/>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399"/>
      <c r="AF59" s="1399"/>
      <c r="AG59" s="1399"/>
      <c r="AH59" s="1399"/>
      <c r="AI59" s="1399"/>
      <c r="AJ59" s="1399"/>
      <c r="AK59" s="1399"/>
      <c r="AL59" s="1399"/>
      <c r="AM59" s="1399"/>
      <c r="AN59" s="1399"/>
    </row>
    <row r="60" spans="1:40" s="1398" customFormat="1" ht="24">
      <c r="A60" s="1062" t="s">
        <v>1020</v>
      </c>
      <c r="B60" s="2372">
        <f>估价对象房地状况!C19</f>
        <v>0</v>
      </c>
      <c r="C60" s="1049"/>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399"/>
      <c r="AF60" s="1399"/>
      <c r="AG60" s="1399"/>
      <c r="AH60" s="1399"/>
      <c r="AI60" s="1399"/>
      <c r="AJ60" s="1399"/>
      <c r="AK60" s="1399"/>
      <c r="AL60" s="1399"/>
      <c r="AM60" s="1399"/>
      <c r="AN60" s="1399"/>
    </row>
    <row r="61" spans="1:40" s="1398" customFormat="1" ht="48">
      <c r="A61" s="1062" t="s">
        <v>1021</v>
      </c>
      <c r="B61" s="3043" t="s">
        <v>2934</v>
      </c>
      <c r="C61" s="1049"/>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399"/>
      <c r="AF61" s="1399"/>
      <c r="AG61" s="1399"/>
      <c r="AH61" s="1399"/>
      <c r="AI61" s="1399"/>
      <c r="AJ61" s="1399"/>
      <c r="AK61" s="1399"/>
      <c r="AL61" s="1399"/>
      <c r="AM61" s="1399"/>
      <c r="AN61" s="1399"/>
    </row>
    <row r="62" spans="1:40" s="1398" customFormat="1" ht="24">
      <c r="A62" s="1062" t="s">
        <v>1022</v>
      </c>
      <c r="B62" s="2372">
        <f>估价对象房地状况!C24</f>
        <v>0</v>
      </c>
      <c r="C62" s="1049"/>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399"/>
      <c r="AF62" s="1399"/>
      <c r="AG62" s="1399"/>
      <c r="AH62" s="1399"/>
      <c r="AI62" s="1399"/>
      <c r="AJ62" s="1399"/>
      <c r="AK62" s="1399"/>
      <c r="AL62" s="1399"/>
      <c r="AM62" s="1399"/>
      <c r="AN62" s="1399"/>
    </row>
    <row r="63" spans="1:40" s="1398" customFormat="1" ht="36">
      <c r="A63" s="1062" t="s">
        <v>1023</v>
      </c>
      <c r="B63" s="3042" t="s">
        <v>2932</v>
      </c>
      <c r="C63" s="1049"/>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399"/>
      <c r="AF63" s="1399"/>
      <c r="AG63" s="1399"/>
      <c r="AH63" s="1399"/>
      <c r="AI63" s="1399"/>
      <c r="AJ63" s="1399"/>
      <c r="AK63" s="1399"/>
      <c r="AL63" s="1399"/>
      <c r="AM63" s="1399"/>
      <c r="AN63" s="1399"/>
    </row>
    <row r="64" spans="1:40" s="1398" customFormat="1" ht="24">
      <c r="A64" s="1062" t="s">
        <v>1024</v>
      </c>
      <c r="B64" s="2373" t="str">
        <f>估价对象房地状况!C21</f>
        <v>估价对象所在区域公共配套设施齐备情况</v>
      </c>
      <c r="C64" s="1049"/>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399"/>
      <c r="AF64" s="1399"/>
      <c r="AG64" s="1399"/>
      <c r="AH64" s="1399"/>
      <c r="AI64" s="1399"/>
      <c r="AJ64" s="1399"/>
      <c r="AK64" s="1399"/>
      <c r="AL64" s="1399"/>
      <c r="AM64" s="1399"/>
      <c r="AN64" s="1399"/>
    </row>
    <row r="65" spans="1:40" s="1398" customFormat="1" ht="24">
      <c r="A65" s="1062" t="s">
        <v>1025</v>
      </c>
      <c r="B65" s="2373" t="str">
        <f>估价对象房地状况!C22</f>
        <v>估价对象所在区域基础设施水平</v>
      </c>
      <c r="C65" s="1049"/>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399"/>
      <c r="AF65" s="1399"/>
      <c r="AG65" s="1399"/>
      <c r="AH65" s="1399"/>
      <c r="AI65" s="1399"/>
      <c r="AJ65" s="1399"/>
      <c r="AK65" s="1399"/>
      <c r="AL65" s="1399"/>
      <c r="AM65" s="1399"/>
      <c r="AN65" s="1399"/>
    </row>
    <row r="66" spans="1:40" s="1398" customFormat="1" ht="36.6" thickBot="1">
      <c r="A66" s="2405" t="s">
        <v>1026</v>
      </c>
      <c r="B66" s="2377" t="str">
        <f>估价对象房地状况!C20</f>
        <v>区域自然环境：；人文环境；综合评价环境状况一般</v>
      </c>
      <c r="C66" s="1049"/>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399"/>
      <c r="AF66" s="1399"/>
      <c r="AG66" s="1399"/>
      <c r="AH66" s="1399"/>
      <c r="AI66" s="1399"/>
      <c r="AJ66" s="1399"/>
      <c r="AK66" s="1399"/>
      <c r="AL66" s="1399"/>
      <c r="AM66" s="1399"/>
      <c r="AN66" s="1399"/>
    </row>
    <row r="67" spans="1:40" s="1398" customFormat="1" ht="14.4">
      <c r="A67" s="2388" t="s">
        <v>1029</v>
      </c>
      <c r="B67" s="2389">
        <f>1+E69</f>
        <v>1</v>
      </c>
      <c r="C67" s="2408"/>
      <c r="D67" s="2391"/>
      <c r="E67" s="2392"/>
      <c r="F67" s="2393"/>
      <c r="G67" s="2387"/>
      <c r="H67" s="2387"/>
      <c r="I67" s="2387"/>
      <c r="J67" s="1061"/>
      <c r="K67" s="1061"/>
      <c r="L67" s="1061"/>
      <c r="M67" s="1061"/>
      <c r="N67" s="1061"/>
      <c r="P67" s="2181"/>
      <c r="Q67" s="2181"/>
      <c r="R67" s="2182"/>
      <c r="S67" s="2182"/>
      <c r="T67" s="2182"/>
      <c r="U67" s="2182"/>
      <c r="V67" s="2182"/>
      <c r="W67" s="2181"/>
      <c r="X67" s="2181"/>
      <c r="Y67" s="2181"/>
      <c r="Z67" s="2181"/>
      <c r="AA67" s="2181"/>
      <c r="AB67" s="2181"/>
      <c r="AC67" s="2181"/>
      <c r="AD67" s="2182"/>
      <c r="AE67" s="1399"/>
      <c r="AF67" s="1399"/>
      <c r="AG67" s="1399"/>
      <c r="AH67" s="1399"/>
      <c r="AI67" s="1399"/>
      <c r="AJ67" s="1399"/>
      <c r="AK67" s="1399"/>
      <c r="AL67" s="1399"/>
      <c r="AM67" s="1399"/>
      <c r="AN67" s="1399"/>
    </row>
    <row r="68" spans="1:40" s="1398" customFormat="1" ht="24">
      <c r="A68" s="1062" t="s">
        <v>1006</v>
      </c>
      <c r="B68" s="2372"/>
      <c r="C68" s="2394" t="s">
        <v>1008</v>
      </c>
      <c r="D68" s="2395" t="s">
        <v>1009</v>
      </c>
      <c r="E68" s="2396" t="s">
        <v>1011</v>
      </c>
      <c r="F68" s="2397" t="s">
        <v>2248</v>
      </c>
      <c r="G68" s="2395" t="s">
        <v>1012</v>
      </c>
      <c r="H68" s="2378" t="s">
        <v>2413</v>
      </c>
      <c r="I68" s="2395" t="s">
        <v>1010</v>
      </c>
      <c r="J68" s="2398" t="s">
        <v>1013</v>
      </c>
      <c r="K68" s="2398" t="s">
        <v>1014</v>
      </c>
      <c r="L68" s="2398" t="s">
        <v>1015</v>
      </c>
      <c r="M68" s="2398" t="s">
        <v>1016</v>
      </c>
      <c r="N68" s="2398" t="s">
        <v>1017</v>
      </c>
      <c r="P68" s="2181"/>
      <c r="Q68" s="2181"/>
      <c r="R68" s="2182"/>
      <c r="S68" s="2182"/>
      <c r="T68" s="2182"/>
      <c r="U68" s="2182"/>
      <c r="V68" s="2182"/>
      <c r="W68" s="2181"/>
      <c r="X68" s="2181"/>
      <c r="Y68" s="2181"/>
      <c r="Z68" s="2181"/>
      <c r="AA68" s="2181"/>
      <c r="AB68" s="2181"/>
      <c r="AC68" s="2181"/>
      <c r="AD68" s="2182"/>
      <c r="AE68" s="1399"/>
      <c r="AF68" s="1399"/>
      <c r="AG68" s="1399"/>
      <c r="AH68" s="1399"/>
      <c r="AI68" s="1399"/>
      <c r="AJ68" s="1399"/>
      <c r="AK68" s="1399"/>
      <c r="AL68" s="1399"/>
      <c r="AM68" s="1399"/>
      <c r="AN68" s="1399"/>
    </row>
    <row r="69" spans="1:40" s="1398" customFormat="1" ht="60">
      <c r="A69" s="1062" t="s">
        <v>1030</v>
      </c>
      <c r="B69" s="2375" t="str">
        <f>估价对象房地状况!C15</f>
        <v>估价对象周边居住用地比例、居住小区规模和社区发展完善程度，综合评价居住社区成熟度一般</v>
      </c>
      <c r="C69" s="1154"/>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399"/>
      <c r="AF69" s="1399"/>
      <c r="AG69" s="1399"/>
      <c r="AH69" s="1399"/>
      <c r="AI69" s="1399"/>
      <c r="AJ69" s="1399"/>
      <c r="AK69" s="1399"/>
      <c r="AL69" s="1399"/>
      <c r="AM69" s="1399"/>
      <c r="AN69" s="1399"/>
    </row>
    <row r="70" spans="1:40" s="1398" customFormat="1" ht="48">
      <c r="A70" s="1062" t="s">
        <v>1031</v>
      </c>
      <c r="B70" s="2372" t="str">
        <f>估价对象房地状况!C18</f>
        <v>估价对象周边道路状况、公共交通通达情况、停车便捷程度，综合评价交通便捷度较好</v>
      </c>
      <c r="C70" s="1154"/>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399"/>
      <c r="AF70" s="1399"/>
      <c r="AG70" s="1399"/>
      <c r="AH70" s="1399"/>
      <c r="AI70" s="1399"/>
      <c r="AJ70" s="1399"/>
      <c r="AK70" s="1399"/>
      <c r="AL70" s="1399"/>
      <c r="AM70" s="1399"/>
      <c r="AN70" s="1399"/>
    </row>
    <row r="71" spans="1:40" s="1398" customFormat="1" ht="24">
      <c r="A71" s="1062" t="s">
        <v>1020</v>
      </c>
      <c r="B71" s="2372">
        <f>估价对象房地状况!C19</f>
        <v>0</v>
      </c>
      <c r="C71" s="1154"/>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399"/>
      <c r="AF71" s="1399"/>
      <c r="AG71" s="1399"/>
      <c r="AH71" s="1399"/>
      <c r="AI71" s="1399"/>
      <c r="AJ71" s="1399"/>
      <c r="AK71" s="1399"/>
      <c r="AL71" s="1399"/>
      <c r="AM71" s="1399"/>
      <c r="AN71" s="1399"/>
    </row>
    <row r="72" spans="1:40" s="1398" customFormat="1" ht="13.8">
      <c r="A72" s="1062" t="s">
        <v>1032</v>
      </c>
      <c r="B72" s="2372">
        <f>估价对象房地状况!C24</f>
        <v>0</v>
      </c>
      <c r="C72" s="1154"/>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399"/>
      <c r="AF72" s="1399"/>
      <c r="AG72" s="1399"/>
      <c r="AH72" s="1399"/>
      <c r="AI72" s="1399"/>
      <c r="AJ72" s="1399"/>
      <c r="AK72" s="1399"/>
      <c r="AL72" s="1399"/>
      <c r="AM72" s="1399"/>
      <c r="AN72" s="1399"/>
    </row>
    <row r="73" spans="1:40" s="1398" customFormat="1" ht="24">
      <c r="A73" s="1062" t="s">
        <v>1024</v>
      </c>
      <c r="B73" s="2373" t="str">
        <f>估价对象房地状况!C21</f>
        <v>估价对象所在区域公共配套设施齐备情况</v>
      </c>
      <c r="C73" s="1154"/>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399"/>
      <c r="AF73" s="1399"/>
      <c r="AG73" s="1399"/>
      <c r="AH73" s="1399"/>
      <c r="AI73" s="1399"/>
      <c r="AJ73" s="1399"/>
      <c r="AK73" s="1399"/>
      <c r="AL73" s="1399"/>
      <c r="AM73" s="1399"/>
      <c r="AN73" s="1399"/>
    </row>
    <row r="74" spans="1:40" s="1398" customFormat="1" ht="24">
      <c r="A74" s="1062" t="s">
        <v>1025</v>
      </c>
      <c r="B74" s="2373" t="str">
        <f>估价对象房地状况!C22</f>
        <v>估价对象所在区域基础设施水平</v>
      </c>
      <c r="C74" s="1154"/>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399"/>
      <c r="AF74" s="1399"/>
      <c r="AG74" s="1399"/>
      <c r="AH74" s="1399"/>
      <c r="AI74" s="1399"/>
      <c r="AJ74" s="1399"/>
      <c r="AK74" s="1399"/>
      <c r="AL74" s="1399"/>
      <c r="AM74" s="1399"/>
      <c r="AN74" s="1399"/>
    </row>
    <row r="75" spans="1:40" s="1398" customFormat="1" ht="36">
      <c r="A75" s="1062" t="s">
        <v>1023</v>
      </c>
      <c r="B75" s="3042" t="s">
        <v>2932</v>
      </c>
      <c r="C75" s="1154"/>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399"/>
      <c r="AF75" s="1399"/>
      <c r="AG75" s="1399"/>
      <c r="AH75" s="1399"/>
      <c r="AI75" s="1399"/>
      <c r="AJ75" s="1399"/>
      <c r="AK75" s="1399"/>
      <c r="AL75" s="1399"/>
      <c r="AM75" s="1399"/>
      <c r="AN75" s="1399"/>
    </row>
    <row r="76" spans="1:40" ht="36">
      <c r="A76" s="1062" t="s">
        <v>1026</v>
      </c>
      <c r="B76" s="2375" t="str">
        <f>估价对象房地状况!C20</f>
        <v>区域自然环境：；人文环境；综合评价环境状况一般</v>
      </c>
      <c r="C76" s="1154"/>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399"/>
      <c r="AN76" s="1400"/>
    </row>
    <row r="77" spans="1:40" ht="36.6" thickBot="1">
      <c r="A77" s="2405" t="s">
        <v>1033</v>
      </c>
      <c r="B77" s="1835"/>
      <c r="C77" s="1154"/>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1"/>
      <c r="AD77" s="1400"/>
      <c r="AJ77" s="1399"/>
      <c r="AN77" s="1400"/>
    </row>
    <row r="78" spans="1:40" ht="14.4">
      <c r="A78" s="2388" t="s">
        <v>1034</v>
      </c>
      <c r="B78" s="2389">
        <f>1+E80</f>
        <v>1</v>
      </c>
      <c r="C78" s="2408"/>
      <c r="D78" s="2391"/>
      <c r="E78" s="2392"/>
      <c r="F78" s="2393"/>
      <c r="G78" s="2387"/>
      <c r="H78" s="2387"/>
      <c r="I78" s="2387"/>
      <c r="J78" s="1061"/>
      <c r="K78" s="1061"/>
      <c r="L78" s="1061"/>
      <c r="M78" s="1061"/>
      <c r="N78" s="1061"/>
      <c r="AC78" s="1401"/>
      <c r="AD78" s="1400"/>
      <c r="AJ78" s="1399"/>
      <c r="AN78" s="1400"/>
    </row>
    <row r="79" spans="1:40" ht="24">
      <c r="A79" s="1062" t="s">
        <v>1006</v>
      </c>
      <c r="B79" s="2372"/>
      <c r="C79" s="2394" t="s">
        <v>1008</v>
      </c>
      <c r="D79" s="2395" t="s">
        <v>1009</v>
      </c>
      <c r="E79" s="2396" t="s">
        <v>1011</v>
      </c>
      <c r="F79" s="2397" t="s">
        <v>2249</v>
      </c>
      <c r="G79" s="2395" t="s">
        <v>1012</v>
      </c>
      <c r="H79" s="2378" t="s">
        <v>2413</v>
      </c>
      <c r="I79" s="2395" t="s">
        <v>1010</v>
      </c>
      <c r="J79" s="2398" t="s">
        <v>1013</v>
      </c>
      <c r="K79" s="2398" t="s">
        <v>1014</v>
      </c>
      <c r="L79" s="2398" t="s">
        <v>1015</v>
      </c>
      <c r="M79" s="2398" t="s">
        <v>1016</v>
      </c>
      <c r="N79" s="2398" t="s">
        <v>1017</v>
      </c>
      <c r="AC79" s="1401"/>
      <c r="AD79" s="1400"/>
      <c r="AJ79" s="1399"/>
      <c r="AN79" s="1400"/>
    </row>
    <row r="80" spans="1:40" ht="36">
      <c r="A80" s="1062" t="s">
        <v>1035</v>
      </c>
      <c r="B80" s="2372" t="str">
        <f>估价对象房地状况!G15</f>
        <v>估价对象位于XX开发区，园区建设成熟度XX，产业集聚程度XX</v>
      </c>
      <c r="C80" s="1049"/>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1"/>
      <c r="AD80" s="1400"/>
      <c r="AJ80" s="1399"/>
      <c r="AN80" s="1400"/>
    </row>
    <row r="81" spans="1:40" ht="48">
      <c r="A81" s="1062" t="s">
        <v>1031</v>
      </c>
      <c r="B81" s="2372" t="str">
        <f>估价对象房地状况!G16</f>
        <v>估价对象周边道路状况、公共交通通达情况、停车便捷程度，综合评价交通便捷度较好</v>
      </c>
      <c r="C81" s="1049"/>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1"/>
      <c r="AD81" s="1400"/>
      <c r="AJ81" s="1399"/>
      <c r="AN81" s="1400"/>
    </row>
    <row r="82" spans="1:40" ht="24">
      <c r="A82" s="1062" t="s">
        <v>1020</v>
      </c>
      <c r="B82" s="2372">
        <f>估价对象房地状况!G17</f>
        <v>0</v>
      </c>
      <c r="C82" s="1049"/>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1"/>
      <c r="AD82" s="1400"/>
      <c r="AJ82" s="1399"/>
      <c r="AN82" s="1400"/>
    </row>
    <row r="83" spans="1:40" ht="13.8">
      <c r="A83" s="1062" t="s">
        <v>1032</v>
      </c>
      <c r="B83" s="2372">
        <f>估价对象房地状况!G22</f>
        <v>0</v>
      </c>
      <c r="C83" s="1049"/>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1"/>
      <c r="AD83" s="1400"/>
      <c r="AJ83" s="1399"/>
      <c r="AN83" s="1400"/>
    </row>
    <row r="84" spans="1:40" ht="24">
      <c r="A84" s="1062" t="s">
        <v>1024</v>
      </c>
      <c r="B84" s="2373" t="str">
        <f>估价对象房地状况!G19</f>
        <v>估价对象所在区域公共配套设施齐备情况</v>
      </c>
      <c r="C84" s="1049"/>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1"/>
      <c r="AD84" s="1400"/>
      <c r="AJ84" s="1399"/>
      <c r="AN84" s="1400"/>
    </row>
    <row r="85" spans="1:40" ht="24">
      <c r="A85" s="1062" t="s">
        <v>1025</v>
      </c>
      <c r="B85" s="2373" t="str">
        <f>估价对象房地状况!G20</f>
        <v>估价对象所在区域基础设施水平</v>
      </c>
      <c r="C85" s="1049"/>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1"/>
      <c r="AD85" s="1400"/>
      <c r="AJ85" s="1399"/>
      <c r="AN85" s="1400"/>
    </row>
    <row r="86" spans="1:40" ht="36">
      <c r="A86" s="1062" t="s">
        <v>1023</v>
      </c>
      <c r="B86" s="3042" t="s">
        <v>2932</v>
      </c>
      <c r="C86" s="1049"/>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1"/>
      <c r="AD86" s="1400"/>
      <c r="AJ86" s="1399"/>
      <c r="AN86" s="1400"/>
    </row>
    <row r="87" spans="1:40" ht="48.6" thickBot="1">
      <c r="A87" s="2405" t="s">
        <v>1036</v>
      </c>
      <c r="B87" s="2374" t="str">
        <f>估价对象房地状况!G18</f>
        <v>该园区内是否有污染型企业，绿化情况，卫生条件，整体环境状况判断</v>
      </c>
      <c r="C87" s="1049"/>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1"/>
      <c r="AD87" s="1400"/>
      <c r="AJ87" s="1399"/>
      <c r="AN87" s="1400"/>
    </row>
    <row r="90" spans="1:40">
      <c r="A90" s="3439" t="s">
        <v>1631</v>
      </c>
      <c r="B90" s="3439"/>
      <c r="C90" s="3439"/>
      <c r="D90" s="3439"/>
      <c r="E90" s="3439"/>
      <c r="F90" s="3439"/>
      <c r="G90" s="3439"/>
      <c r="H90" s="3439"/>
      <c r="I90" s="3439"/>
      <c r="J90" s="3439"/>
      <c r="K90" s="2414"/>
      <c r="L90" s="2414"/>
      <c r="M90" s="2414"/>
      <c r="N90" s="2414"/>
    </row>
    <row r="91" spans="1:40">
      <c r="A91" s="3440" t="s">
        <v>1441</v>
      </c>
      <c r="B91" s="3440" t="s">
        <v>1632</v>
      </c>
      <c r="C91" s="1135" t="s">
        <v>1633</v>
      </c>
      <c r="D91" s="1136"/>
      <c r="E91" s="1136"/>
      <c r="F91" s="1136"/>
      <c r="G91" s="1136"/>
      <c r="H91" s="1136"/>
      <c r="I91" s="1136"/>
      <c r="J91" s="1137"/>
      <c r="K91" s="1129"/>
      <c r="L91" s="1129"/>
      <c r="M91" s="1129"/>
      <c r="N91" s="1129"/>
    </row>
    <row r="92" spans="1:40">
      <c r="A92" s="3440"/>
      <c r="B92" s="3440"/>
      <c r="C92" s="2413" t="s">
        <v>905</v>
      </c>
      <c r="D92" s="2413" t="s">
        <v>883</v>
      </c>
      <c r="E92" s="2413" t="s">
        <v>884</v>
      </c>
      <c r="F92" s="2413" t="s">
        <v>908</v>
      </c>
      <c r="G92" s="2413" t="s">
        <v>886</v>
      </c>
      <c r="H92" s="2413" t="s">
        <v>887</v>
      </c>
      <c r="I92" s="2413" t="s">
        <v>888</v>
      </c>
      <c r="J92" s="2413" t="s">
        <v>889</v>
      </c>
      <c r="K92" s="2413" t="s">
        <v>913</v>
      </c>
      <c r="L92" s="2413" t="s">
        <v>891</v>
      </c>
      <c r="M92" s="2413" t="s">
        <v>892</v>
      </c>
      <c r="N92" s="2413" t="s">
        <v>916</v>
      </c>
    </row>
    <row r="93" spans="1:40">
      <c r="A93" s="3426" t="s">
        <v>2758</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27"/>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27"/>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27"/>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27"/>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27"/>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27"/>
      <c r="B99" s="1138" t="s">
        <v>1634</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28"/>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26" t="s">
        <v>1635</v>
      </c>
      <c r="B101" s="1142" t="s">
        <v>904</v>
      </c>
      <c r="C101" s="1143">
        <f>$G$3</f>
        <v>4</v>
      </c>
      <c r="D101" s="1143">
        <f t="shared" ref="D101:N101" si="31">$G$3</f>
        <v>4</v>
      </c>
      <c r="E101" s="1143">
        <f t="shared" si="31"/>
        <v>4</v>
      </c>
      <c r="F101" s="1143">
        <f t="shared" si="31"/>
        <v>4</v>
      </c>
      <c r="G101" s="1143">
        <f t="shared" si="31"/>
        <v>4</v>
      </c>
      <c r="H101" s="1143">
        <f t="shared" si="31"/>
        <v>4</v>
      </c>
      <c r="I101" s="1143">
        <f t="shared" si="31"/>
        <v>4</v>
      </c>
      <c r="J101" s="1143">
        <f t="shared" si="31"/>
        <v>4</v>
      </c>
      <c r="K101" s="1143">
        <f t="shared" si="31"/>
        <v>4</v>
      </c>
      <c r="L101" s="1143">
        <f t="shared" si="31"/>
        <v>4</v>
      </c>
      <c r="M101" s="1143">
        <f t="shared" si="31"/>
        <v>4</v>
      </c>
      <c r="N101" s="1143">
        <f t="shared" si="31"/>
        <v>4</v>
      </c>
    </row>
    <row r="102" spans="1:14">
      <c r="A102" s="3427"/>
      <c r="B102" s="1138">
        <v>1</v>
      </c>
      <c r="C102" s="1139">
        <f>1.9362/C101</f>
        <v>0.48404999999999998</v>
      </c>
      <c r="D102" s="1139">
        <f>1.9362/D101</f>
        <v>0.48404999999999998</v>
      </c>
      <c r="E102" s="1139">
        <f>1.8629/E101</f>
        <v>0.465725</v>
      </c>
      <c r="F102" s="1139">
        <f>1.8629/F101</f>
        <v>0.465725</v>
      </c>
      <c r="G102" s="1139">
        <f>1.8629/G101</f>
        <v>0.465725</v>
      </c>
      <c r="H102" s="1139">
        <f>1.8629/H101</f>
        <v>0.465725</v>
      </c>
      <c r="I102" s="1139">
        <f>1.8629/I101</f>
        <v>0.465725</v>
      </c>
      <c r="J102" s="1139">
        <f>1.942/J101</f>
        <v>0.48549999999999999</v>
      </c>
      <c r="K102" s="1139">
        <f>1.942/K101</f>
        <v>0.48549999999999999</v>
      </c>
      <c r="L102" s="1139">
        <f>1.942/L101</f>
        <v>0.48549999999999999</v>
      </c>
      <c r="M102" s="1139">
        <f>1.942/M101</f>
        <v>0.48549999999999999</v>
      </c>
      <c r="N102" s="1139">
        <f>1.942/N101</f>
        <v>0.48549999999999999</v>
      </c>
    </row>
    <row r="103" spans="1:14">
      <c r="A103" s="3427"/>
      <c r="B103" s="1138">
        <v>2</v>
      </c>
      <c r="C103" s="1139">
        <f>1.4198/C101</f>
        <v>0.35494999999999999</v>
      </c>
      <c r="D103" s="1139">
        <f>1.4198/D101</f>
        <v>0.35494999999999999</v>
      </c>
      <c r="E103" s="1139">
        <f>1.3372/E101</f>
        <v>0.33429999999999999</v>
      </c>
      <c r="F103" s="1139">
        <f>1.3372/F101</f>
        <v>0.33429999999999999</v>
      </c>
      <c r="G103" s="1139">
        <f>1.3372/G101</f>
        <v>0.33429999999999999</v>
      </c>
      <c r="H103" s="1139">
        <f>1.3372/H101</f>
        <v>0.33429999999999999</v>
      </c>
      <c r="I103" s="1139">
        <f>1.3372/I101</f>
        <v>0.33429999999999999</v>
      </c>
      <c r="J103" s="1139">
        <f>1.2799/J101</f>
        <v>0.31997500000000001</v>
      </c>
      <c r="K103" s="1139">
        <f>1.2799/K101</f>
        <v>0.31997500000000001</v>
      </c>
      <c r="L103" s="1139">
        <f>1.2799/L101</f>
        <v>0.31997500000000001</v>
      </c>
      <c r="M103" s="1139">
        <f>1.2799/M101</f>
        <v>0.31997500000000001</v>
      </c>
      <c r="N103" s="1139">
        <f>1.2799/N101</f>
        <v>0.31997500000000001</v>
      </c>
    </row>
    <row r="104" spans="1:14">
      <c r="A104" s="3427"/>
      <c r="B104" s="1138">
        <v>3</v>
      </c>
      <c r="C104" s="1139">
        <f>1.1594/C101</f>
        <v>0.28985</v>
      </c>
      <c r="D104" s="1139">
        <f>1.1594/D101</f>
        <v>0.28985</v>
      </c>
      <c r="E104" s="1139">
        <f>1.0788/E101</f>
        <v>0.2697</v>
      </c>
      <c r="F104" s="1139">
        <f>1.0788/F101</f>
        <v>0.2697</v>
      </c>
      <c r="G104" s="1139">
        <f>1.0788/G101</f>
        <v>0.2697</v>
      </c>
      <c r="H104" s="1139">
        <f>1.0788/H101</f>
        <v>0.2697</v>
      </c>
      <c r="I104" s="1139">
        <f>1.0788/I101</f>
        <v>0.2697</v>
      </c>
      <c r="J104" s="1139">
        <f>1.0072/J101</f>
        <v>0.25180000000000002</v>
      </c>
      <c r="K104" s="1139">
        <f>1.0072/K101</f>
        <v>0.25180000000000002</v>
      </c>
      <c r="L104" s="1139">
        <f>1.0072/L101</f>
        <v>0.25180000000000002</v>
      </c>
      <c r="M104" s="1139">
        <f>1.0072/M101</f>
        <v>0.25180000000000002</v>
      </c>
      <c r="N104" s="1139">
        <f>1.0072/N101</f>
        <v>0.25180000000000002</v>
      </c>
    </row>
    <row r="105" spans="1:14">
      <c r="A105" s="3427"/>
      <c r="B105" s="1138">
        <v>4</v>
      </c>
      <c r="C105" s="1139">
        <f>0.9622/C101</f>
        <v>0.24055000000000001</v>
      </c>
      <c r="D105" s="1139">
        <f>0.9622/D101</f>
        <v>0.24055000000000001</v>
      </c>
      <c r="E105" s="1139">
        <f>0.8656/E101</f>
        <v>0.21640000000000001</v>
      </c>
      <c r="F105" s="1139">
        <f>0.8656/F101</f>
        <v>0.21640000000000001</v>
      </c>
      <c r="G105" s="1139">
        <f>0.8656/G101</f>
        <v>0.21640000000000001</v>
      </c>
      <c r="H105" s="1139">
        <f>0.8656/H101</f>
        <v>0.21640000000000001</v>
      </c>
      <c r="I105" s="1139">
        <f>0.8656/I101</f>
        <v>0.21640000000000001</v>
      </c>
      <c r="J105" s="1139">
        <f>0.7525/J101</f>
        <v>0.18812499999999999</v>
      </c>
      <c r="K105" s="1139">
        <f>0.7525/K101</f>
        <v>0.18812499999999999</v>
      </c>
      <c r="L105" s="1139">
        <f>0.7525/L101</f>
        <v>0.18812499999999999</v>
      </c>
      <c r="M105" s="1139">
        <f>0.7525/M101</f>
        <v>0.18812499999999999</v>
      </c>
      <c r="N105" s="1139">
        <f>0.7525/N101</f>
        <v>0.18812499999999999</v>
      </c>
    </row>
    <row r="106" spans="1:14">
      <c r="A106" s="3427"/>
      <c r="B106" s="1138">
        <v>5</v>
      </c>
      <c r="C106" s="1139">
        <f>0.8417/C101</f>
        <v>0.210425</v>
      </c>
      <c r="D106" s="1139">
        <f>0.8417/D101</f>
        <v>0.210425</v>
      </c>
      <c r="E106" s="1139">
        <f>0.7371/E101</f>
        <v>0.18427499999999999</v>
      </c>
      <c r="F106" s="1139">
        <f>0.7371/F101</f>
        <v>0.18427499999999999</v>
      </c>
      <c r="G106" s="1139">
        <f>0.7371/G101</f>
        <v>0.18427499999999999</v>
      </c>
      <c r="H106" s="1139">
        <f>0.7371/H101</f>
        <v>0.18427499999999999</v>
      </c>
      <c r="I106" s="1139">
        <f>0.7371/I101</f>
        <v>0.18427499999999999</v>
      </c>
      <c r="J106" s="1139">
        <f>0.5659/J101</f>
        <v>0.14147499999999999</v>
      </c>
      <c r="K106" s="1139">
        <f>0.5659/K101</f>
        <v>0.14147499999999999</v>
      </c>
      <c r="L106" s="1139">
        <f>0.5659/L101</f>
        <v>0.14147499999999999</v>
      </c>
      <c r="M106" s="1139">
        <f>0.5659/M101</f>
        <v>0.14147499999999999</v>
      </c>
      <c r="N106" s="1139">
        <f>0.5659/N101</f>
        <v>0.14147499999999999</v>
      </c>
    </row>
    <row r="107" spans="1:14">
      <c r="A107" s="3427"/>
      <c r="B107" s="1138">
        <v>6</v>
      </c>
      <c r="C107" s="1139">
        <f>0.7608/C101</f>
        <v>0.19020000000000001</v>
      </c>
      <c r="D107" s="1139">
        <f>0.7608/D101</f>
        <v>0.19020000000000001</v>
      </c>
      <c r="E107" s="1139">
        <f>0.6482/E101</f>
        <v>0.16205</v>
      </c>
      <c r="F107" s="1139">
        <f>0.6482/F101</f>
        <v>0.16205</v>
      </c>
      <c r="G107" s="1139">
        <f>0.6482/G101</f>
        <v>0.16205</v>
      </c>
      <c r="H107" s="1139">
        <f>0.6482/H101</f>
        <v>0.16205</v>
      </c>
      <c r="I107" s="1139">
        <f>0.6482/I101</f>
        <v>0.16205</v>
      </c>
      <c r="J107" s="1139">
        <f>0.4525/J101</f>
        <v>0.113125</v>
      </c>
      <c r="K107" s="1139">
        <f>0.4525/K101</f>
        <v>0.113125</v>
      </c>
      <c r="L107" s="1139">
        <f>0.4525/L101</f>
        <v>0.113125</v>
      </c>
      <c r="M107" s="1139">
        <f>0.4525/M101</f>
        <v>0.113125</v>
      </c>
      <c r="N107" s="1139">
        <f>0.4525/N101</f>
        <v>0.113125</v>
      </c>
    </row>
    <row r="108" spans="1:14">
      <c r="A108" s="3427"/>
      <c r="B108" s="3429" t="s">
        <v>1636</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28"/>
      <c r="B109" s="3430"/>
      <c r="C109" s="1141">
        <f>(-0.163*(C108^2)-0.59*C108+7617)*(10^(-4))/C101</f>
        <v>0.1900462</v>
      </c>
      <c r="D109" s="1141">
        <f>(-0.163*(D108^2)-0.59*D108+7617)*(10^(-4))/D101</f>
        <v>0.1900462</v>
      </c>
      <c r="E109" s="1141">
        <f>(-0.161*(E108^2)-7.509*E108+6533)*(10^(-4))/E101</f>
        <v>0.1615656</v>
      </c>
      <c r="F109" s="1141">
        <f>(-0.161*(F108^2)-7.509*F108+6533)*(10^(-4))/F101</f>
        <v>0.1615656</v>
      </c>
      <c r="G109" s="1141">
        <f>(-0.161*(G108^2)-7.509*G108+6533)*(10^(-4))/G101</f>
        <v>0.1615656</v>
      </c>
      <c r="H109" s="1141">
        <f>(-0.161*(H108^2)-7.509*H108+6533)*(10^(-4))/H101</f>
        <v>0.1615656</v>
      </c>
      <c r="I109" s="1141">
        <f>(-0.161*(I108^2)-7.509*I108+6533)*(10^(-4))/I101</f>
        <v>0.1615656</v>
      </c>
      <c r="J109" s="1141">
        <f>(-0.214*(J108^2)-21.991*J108+4665)*(10^(-4))/J101</f>
        <v>0.11188440000000001</v>
      </c>
      <c r="K109" s="1141">
        <f>(-0.214*(K108^2)-21.991*K108+4665)*(10^(-4))/K101</f>
        <v>0.11188440000000001</v>
      </c>
      <c r="L109" s="1141">
        <f>(-0.214*(L108^2)-21.991*L108+4665)*(10^(-4))/L101</f>
        <v>0.11188440000000001</v>
      </c>
      <c r="M109" s="1141">
        <f>(-0.214*(M108^2)-21.991*M108+4665)*(10^(-4))/M101</f>
        <v>0.11188440000000001</v>
      </c>
      <c r="N109" s="1141">
        <f>(-0.214*(N108^2)-21.991*N108+4665)*(10^(-4))/N101</f>
        <v>0.11188440000000001</v>
      </c>
    </row>
    <row r="110" spans="1:14">
      <c r="A110" s="3433" t="s">
        <v>1637</v>
      </c>
      <c r="B110" s="3433"/>
      <c r="C110" s="3433"/>
      <c r="D110" s="3433"/>
      <c r="E110" s="3433"/>
      <c r="F110" s="3433"/>
      <c r="G110" s="3433"/>
      <c r="H110" s="3433"/>
      <c r="I110" s="3433"/>
      <c r="J110" s="3433"/>
      <c r="K110" s="2412"/>
      <c r="L110" s="2412"/>
      <c r="M110" s="2412"/>
      <c r="N110" s="2412"/>
    </row>
    <row r="112" spans="1:14" ht="12.6" thickBot="1"/>
    <row r="113" spans="1:13" ht="25.8" thickBot="1">
      <c r="A113" s="1015" t="s">
        <v>894</v>
      </c>
      <c r="B113" s="2415">
        <f>G3</f>
        <v>4</v>
      </c>
      <c r="C113" s="1016" t="s">
        <v>895</v>
      </c>
      <c r="D113" s="1017">
        <f>SUMPRODUCT((A115:A118=F113)*(B114:M114=H113)*B115:M118)</f>
        <v>0</v>
      </c>
      <c r="E113" s="1018" t="s">
        <v>896</v>
      </c>
      <c r="F113" s="1019">
        <f>E2</f>
        <v>0</v>
      </c>
      <c r="G113" s="1018" t="s">
        <v>897</v>
      </c>
      <c r="H113" s="1019">
        <f>G2</f>
        <v>0</v>
      </c>
      <c r="I113" s="1018"/>
      <c r="J113" s="1010"/>
      <c r="K113" s="1010"/>
      <c r="L113" s="1010"/>
      <c r="M113" s="1010"/>
    </row>
    <row r="114" spans="1:13" ht="13.2">
      <c r="A114" s="1022"/>
      <c r="B114" s="1023" t="s">
        <v>882</v>
      </c>
      <c r="C114" s="1023" t="s">
        <v>883</v>
      </c>
      <c r="D114" s="1023" t="s">
        <v>884</v>
      </c>
      <c r="E114" s="1024" t="s">
        <v>885</v>
      </c>
      <c r="F114" s="1024" t="s">
        <v>886</v>
      </c>
      <c r="G114" s="1024" t="s">
        <v>887</v>
      </c>
      <c r="H114" s="1025" t="s">
        <v>888</v>
      </c>
      <c r="I114" s="1025" t="s">
        <v>889</v>
      </c>
      <c r="J114" s="1026" t="s">
        <v>890</v>
      </c>
      <c r="K114" s="1026" t="s">
        <v>891</v>
      </c>
      <c r="L114" s="1026" t="s">
        <v>892</v>
      </c>
      <c r="M114" s="1027" t="s">
        <v>893</v>
      </c>
    </row>
    <row r="115" spans="1:13" ht="13.2">
      <c r="A115" s="1028" t="s">
        <v>898</v>
      </c>
      <c r="B115" s="1029">
        <f>ROUND(0.9335-0.0094*B113,4)</f>
        <v>0.89590000000000003</v>
      </c>
      <c r="C115" s="1029">
        <f>B115</f>
        <v>0.89590000000000003</v>
      </c>
      <c r="D115" s="1029">
        <f>ROUND(0.8331-0.0109*B113,4)</f>
        <v>0.78949999999999998</v>
      </c>
      <c r="E115" s="1029">
        <f>D115</f>
        <v>0.78949999999999998</v>
      </c>
      <c r="F115" s="1029">
        <f>E115</f>
        <v>0.78949999999999998</v>
      </c>
      <c r="G115" s="1029">
        <f>F115</f>
        <v>0.78949999999999998</v>
      </c>
      <c r="H115" s="1029">
        <f>G115</f>
        <v>0.78949999999999998</v>
      </c>
      <c r="I115" s="1029">
        <f>ROUND(0.689-0.0155*B113,4)</f>
        <v>0.627</v>
      </c>
      <c r="J115" s="1029">
        <f t="shared" ref="J115:M118" si="33">I115</f>
        <v>0.627</v>
      </c>
      <c r="K115" s="1029">
        <f t="shared" si="33"/>
        <v>0.627</v>
      </c>
      <c r="L115" s="1029">
        <f t="shared" si="33"/>
        <v>0.627</v>
      </c>
      <c r="M115" s="1030">
        <f t="shared" si="33"/>
        <v>0.627</v>
      </c>
    </row>
    <row r="116" spans="1:13" ht="13.2">
      <c r="A116" s="1028" t="s">
        <v>899</v>
      </c>
      <c r="B116" s="1029">
        <f>ROUND(0.949-0.012*B113,4)</f>
        <v>0.90100000000000002</v>
      </c>
      <c r="C116" s="1029">
        <f>B116</f>
        <v>0.90100000000000002</v>
      </c>
      <c r="D116" s="1029">
        <f>ROUND(0.8567-0.013*B113,4)</f>
        <v>0.80469999999999997</v>
      </c>
      <c r="E116" s="1029">
        <f t="shared" ref="E116:H117" si="34">D116</f>
        <v>0.80469999999999997</v>
      </c>
      <c r="F116" s="1029">
        <f t="shared" si="34"/>
        <v>0.80469999999999997</v>
      </c>
      <c r="G116" s="1029">
        <f t="shared" si="34"/>
        <v>0.80469999999999997</v>
      </c>
      <c r="H116" s="1029">
        <f t="shared" si="34"/>
        <v>0.80469999999999997</v>
      </c>
      <c r="I116" s="1029">
        <f>ROUND(0.7694-0.014*B113,4)</f>
        <v>0.71340000000000003</v>
      </c>
      <c r="J116" s="1029">
        <f t="shared" si="33"/>
        <v>0.71340000000000003</v>
      </c>
      <c r="K116" s="1029">
        <f t="shared" si="33"/>
        <v>0.71340000000000003</v>
      </c>
      <c r="L116" s="1029">
        <f t="shared" si="33"/>
        <v>0.71340000000000003</v>
      </c>
      <c r="M116" s="1030">
        <f t="shared" si="33"/>
        <v>0.71340000000000003</v>
      </c>
    </row>
    <row r="117" spans="1:13" ht="13.2">
      <c r="A117" s="1031" t="s">
        <v>900</v>
      </c>
      <c r="B117" s="1029">
        <f>ROUND(0.8808-0.006*B113,4)</f>
        <v>0.85680000000000001</v>
      </c>
      <c r="C117" s="1029">
        <f>B117</f>
        <v>0.85680000000000001</v>
      </c>
      <c r="D117" s="1029">
        <f>ROUND(0.8748-0.008*B113,4)</f>
        <v>0.84279999999999999</v>
      </c>
      <c r="E117" s="1029">
        <f t="shared" si="34"/>
        <v>0.84279999999999999</v>
      </c>
      <c r="F117" s="1029">
        <f t="shared" si="34"/>
        <v>0.84279999999999999</v>
      </c>
      <c r="G117" s="1029">
        <f t="shared" si="34"/>
        <v>0.84279999999999999</v>
      </c>
      <c r="H117" s="1029">
        <f t="shared" si="34"/>
        <v>0.84279999999999999</v>
      </c>
      <c r="I117" s="1029">
        <f>ROUND(0.7412-0.0095*B113,4)</f>
        <v>0.70320000000000005</v>
      </c>
      <c r="J117" s="1029">
        <f t="shared" si="33"/>
        <v>0.70320000000000005</v>
      </c>
      <c r="K117" s="1029">
        <f t="shared" si="33"/>
        <v>0.70320000000000005</v>
      </c>
      <c r="L117" s="1029">
        <f t="shared" si="33"/>
        <v>0.70320000000000005</v>
      </c>
      <c r="M117" s="1030">
        <f t="shared" si="33"/>
        <v>0.70320000000000005</v>
      </c>
    </row>
    <row r="118" spans="1:13" ht="13.8" thickBot="1">
      <c r="A118" s="1032" t="s">
        <v>901</v>
      </c>
      <c r="B118" s="1033">
        <f>ROUND(0.7275-0.01*B113,4)</f>
        <v>0.6875</v>
      </c>
      <c r="C118" s="1033">
        <f>B118</f>
        <v>0.6875</v>
      </c>
      <c r="D118" s="1033">
        <f>ROUND(0.7043-0.012*B113,4)</f>
        <v>0.65629999999999999</v>
      </c>
      <c r="E118" s="1033">
        <f>D118</f>
        <v>0.65629999999999999</v>
      </c>
      <c r="F118" s="1033">
        <f>E118</f>
        <v>0.65629999999999999</v>
      </c>
      <c r="G118" s="1033">
        <f>ROUND(0.6299-0.0122*B113,4)</f>
        <v>0.58109999999999995</v>
      </c>
      <c r="H118" s="1033">
        <f>G118</f>
        <v>0.58109999999999995</v>
      </c>
      <c r="I118" s="1033">
        <f>ROUND(0.5667-0.0136*B113,4)</f>
        <v>0.51229999999999998</v>
      </c>
      <c r="J118" s="1033">
        <f t="shared" si="33"/>
        <v>0.51229999999999998</v>
      </c>
      <c r="K118" s="1033">
        <f t="shared" si="33"/>
        <v>0.51229999999999998</v>
      </c>
      <c r="L118" s="1033">
        <f t="shared" si="33"/>
        <v>0.51229999999999998</v>
      </c>
      <c r="M118" s="1034">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61" customWidth="1"/>
    <col min="2" max="9" width="8.21875" style="1100" customWidth="1"/>
    <col min="10" max="13" width="8.21875" style="1061"/>
    <col min="14" max="14" width="10" style="1061" customWidth="1"/>
    <col min="15" max="16" width="8.21875" style="1061"/>
    <col min="17" max="17" width="34.109375" style="1061" customWidth="1"/>
    <col min="18" max="18" width="8.21875" style="1061" customWidth="1"/>
    <col min="19" max="19" width="8.21875" style="1061"/>
    <col min="20" max="20" width="11.6640625" style="1061" customWidth="1"/>
    <col min="21" max="16384" width="8.21875" style="1061"/>
  </cols>
  <sheetData>
    <row r="1" spans="1:13" ht="19.5" customHeight="1" thickBot="1">
      <c r="A1" s="1101" t="s">
        <v>1429</v>
      </c>
      <c r="B1" s="1067" t="s">
        <v>905</v>
      </c>
      <c r="C1" s="1067" t="s">
        <v>906</v>
      </c>
      <c r="D1" s="1067" t="s">
        <v>907</v>
      </c>
      <c r="E1" s="1067" t="s">
        <v>908</v>
      </c>
      <c r="F1" s="1067" t="s">
        <v>909</v>
      </c>
      <c r="G1" s="1067" t="s">
        <v>910</v>
      </c>
      <c r="H1" s="1067" t="s">
        <v>911</v>
      </c>
      <c r="I1" s="1067" t="s">
        <v>912</v>
      </c>
      <c r="J1" s="1067" t="s">
        <v>913</v>
      </c>
      <c r="K1" s="1067" t="s">
        <v>914</v>
      </c>
      <c r="L1" s="1067" t="s">
        <v>915</v>
      </c>
      <c r="M1" s="1068" t="s">
        <v>916</v>
      </c>
    </row>
    <row r="2" spans="1:13" ht="19.5" customHeight="1">
      <c r="A2" s="1102" t="s">
        <v>1005</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1027</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1029</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1430</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1431</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1432</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1433</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1434</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1435</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1436</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1437</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1438</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1439</v>
      </c>
      <c r="B14" s="1120">
        <v>0</v>
      </c>
      <c r="C14" s="1120">
        <v>0</v>
      </c>
      <c r="D14" s="1120">
        <v>0</v>
      </c>
      <c r="E14" s="1120">
        <v>0</v>
      </c>
      <c r="F14" s="1120">
        <v>0</v>
      </c>
      <c r="G14" s="1120">
        <v>0</v>
      </c>
      <c r="H14" s="1120">
        <v>0</v>
      </c>
      <c r="I14" s="1120">
        <v>0</v>
      </c>
      <c r="J14" s="1120">
        <v>0</v>
      </c>
      <c r="K14" s="1120">
        <v>0</v>
      </c>
      <c r="L14" s="1120">
        <v>0</v>
      </c>
      <c r="M14" s="1120">
        <v>0</v>
      </c>
    </row>
    <row r="15" spans="1:13" ht="19.5" customHeight="1">
      <c r="A15" s="3160" t="s">
        <v>2983</v>
      </c>
      <c r="B15" s="3057">
        <f>SUM(B6:B13)</f>
        <v>375</v>
      </c>
      <c r="C15" s="3057">
        <f t="shared" ref="C15:H15" si="0">SUM(C6:C13)</f>
        <v>375</v>
      </c>
      <c r="D15" s="3057">
        <f t="shared" si="0"/>
        <v>300</v>
      </c>
      <c r="E15" s="3057">
        <f t="shared" si="0"/>
        <v>300</v>
      </c>
      <c r="F15" s="3057">
        <f t="shared" si="0"/>
        <v>300</v>
      </c>
      <c r="G15" s="3057">
        <f t="shared" si="0"/>
        <v>300</v>
      </c>
      <c r="H15" s="3057">
        <f t="shared" si="0"/>
        <v>300</v>
      </c>
      <c r="I15" s="3057">
        <f>SUM(I6:I10,I13)</f>
        <v>155</v>
      </c>
      <c r="J15" s="3057">
        <f t="shared" ref="J15:M15" si="1">SUM(J6:J10,J13)</f>
        <v>155</v>
      </c>
      <c r="K15" s="3057">
        <f t="shared" si="1"/>
        <v>155</v>
      </c>
      <c r="L15" s="3057">
        <f t="shared" si="1"/>
        <v>155</v>
      </c>
      <c r="M15" s="3057">
        <f t="shared" si="1"/>
        <v>155</v>
      </c>
    </row>
    <row r="16" spans="1:13" ht="19.5" customHeight="1">
      <c r="A16" s="1121" t="s">
        <v>1440</v>
      </c>
      <c r="B16" s="1121"/>
      <c r="C16" s="1122"/>
      <c r="D16" s="1122"/>
      <c r="E16" s="1121"/>
      <c r="F16" s="1122"/>
      <c r="G16" s="1122"/>
    </row>
    <row r="17" spans="1:9" ht="19.5" customHeight="1">
      <c r="A17" s="1063" t="s">
        <v>1441</v>
      </c>
      <c r="B17" s="1123" t="s">
        <v>1442</v>
      </c>
      <c r="C17" s="1123" t="s">
        <v>1641</v>
      </c>
      <c r="D17" s="1124"/>
      <c r="E17" s="1063" t="s">
        <v>1443</v>
      </c>
      <c r="F17" s="1125"/>
      <c r="G17" s="1125"/>
    </row>
    <row r="18" spans="1:9" s="1584" customFormat="1" ht="19.5" customHeight="1">
      <c r="A18" s="3440" t="s">
        <v>1005</v>
      </c>
      <c r="B18" s="1149" t="s">
        <v>1444</v>
      </c>
      <c r="C18" s="1126" t="s">
        <v>1445</v>
      </c>
      <c r="D18" s="1127"/>
      <c r="E18" s="1149">
        <v>1</v>
      </c>
      <c r="F18" s="1128" t="s">
        <v>1446</v>
      </c>
      <c r="G18" s="1129"/>
      <c r="H18" s="1100"/>
      <c r="I18" s="1100"/>
    </row>
    <row r="19" spans="1:9" s="1584" customFormat="1" ht="19.5" customHeight="1">
      <c r="A19" s="3440"/>
      <c r="B19" s="3440" t="s">
        <v>1447</v>
      </c>
      <c r="C19" s="1126" t="s">
        <v>1448</v>
      </c>
      <c r="D19" s="1127"/>
      <c r="E19" s="1149">
        <v>0.9</v>
      </c>
      <c r="F19" s="1128" t="s">
        <v>1449</v>
      </c>
      <c r="G19" s="1129"/>
      <c r="H19" s="1100"/>
      <c r="I19" s="1100"/>
    </row>
    <row r="20" spans="1:9" s="1584" customFormat="1" ht="19.5" customHeight="1">
      <c r="A20" s="3440"/>
      <c r="B20" s="3440"/>
      <c r="C20" s="1126" t="s">
        <v>1450</v>
      </c>
      <c r="D20" s="1127"/>
      <c r="E20" s="1149">
        <v>1.1000000000000001</v>
      </c>
      <c r="F20" s="1128" t="s">
        <v>1451</v>
      </c>
      <c r="G20" s="1129"/>
      <c r="H20" s="1100"/>
      <c r="I20" s="1100"/>
    </row>
    <row r="21" spans="1:9" s="1584" customFormat="1" ht="19.5" customHeight="1">
      <c r="A21" s="3440"/>
      <c r="B21" s="3440"/>
      <c r="C21" s="1126" t="s">
        <v>1452</v>
      </c>
      <c r="D21" s="1127"/>
      <c r="E21" s="1149">
        <v>0.8</v>
      </c>
      <c r="F21" s="1128" t="s">
        <v>1453</v>
      </c>
      <c r="G21" s="1129"/>
      <c r="H21" s="1100"/>
      <c r="I21" s="1100"/>
    </row>
    <row r="22" spans="1:9" s="1584" customFormat="1" ht="19.5" customHeight="1">
      <c r="A22" s="3440"/>
      <c r="B22" s="3440"/>
      <c r="C22" s="1126" t="s">
        <v>1454</v>
      </c>
      <c r="D22" s="1127"/>
      <c r="E22" s="1149">
        <v>0.5</v>
      </c>
      <c r="F22" s="1128"/>
      <c r="G22" s="1129"/>
      <c r="H22" s="1100"/>
      <c r="I22" s="1100"/>
    </row>
    <row r="23" spans="1:9" s="1584" customFormat="1" ht="19.5" customHeight="1">
      <c r="A23" s="3440" t="s">
        <v>1027</v>
      </c>
      <c r="B23" s="1149" t="s">
        <v>1444</v>
      </c>
      <c r="C23" s="1126" t="s">
        <v>1455</v>
      </c>
      <c r="D23" s="1127"/>
      <c r="E23" s="1149">
        <v>1</v>
      </c>
      <c r="F23" s="1128" t="s">
        <v>1456</v>
      </c>
      <c r="G23" s="1129"/>
      <c r="H23" s="1100"/>
      <c r="I23" s="1100"/>
    </row>
    <row r="24" spans="1:9" s="1584" customFormat="1" ht="19.5" customHeight="1">
      <c r="A24" s="3440"/>
      <c r="B24" s="3440" t="s">
        <v>1447</v>
      </c>
      <c r="C24" s="1126" t="s">
        <v>1457</v>
      </c>
      <c r="D24" s="1127"/>
      <c r="E24" s="1149">
        <v>0.5</v>
      </c>
      <c r="F24" s="1128"/>
      <c r="G24" s="1129"/>
      <c r="H24" s="1100"/>
      <c r="I24" s="1100"/>
    </row>
    <row r="25" spans="1:9" s="1584" customFormat="1" ht="19.5" customHeight="1">
      <c r="A25" s="3440"/>
      <c r="B25" s="3440"/>
      <c r="C25" s="1126" t="s">
        <v>1458</v>
      </c>
      <c r="D25" s="1127"/>
      <c r="E25" s="1149">
        <v>1.1000000000000001</v>
      </c>
      <c r="F25" s="1128"/>
      <c r="G25" s="1129"/>
      <c r="H25" s="1100"/>
      <c r="I25" s="1100"/>
    </row>
    <row r="26" spans="1:9" s="1584" customFormat="1" ht="19.5" customHeight="1">
      <c r="A26" s="3440"/>
      <c r="B26" s="3440"/>
      <c r="C26" s="1126" t="s">
        <v>1459</v>
      </c>
      <c r="D26" s="1127"/>
      <c r="E26" s="1149">
        <v>1.1000000000000001</v>
      </c>
      <c r="F26" s="1128"/>
      <c r="G26" s="1129"/>
      <c r="H26" s="1100"/>
      <c r="I26" s="1100"/>
    </row>
    <row r="27" spans="1:9" s="1584" customFormat="1" ht="19.5" customHeight="1">
      <c r="A27" s="3440"/>
      <c r="B27" s="3440"/>
      <c r="C27" s="1126" t="s">
        <v>1460</v>
      </c>
      <c r="D27" s="1127"/>
      <c r="E27" s="1149">
        <v>0.9</v>
      </c>
      <c r="F27" s="1128" t="s">
        <v>1461</v>
      </c>
      <c r="G27" s="1129"/>
      <c r="H27" s="1100"/>
      <c r="I27" s="1100"/>
    </row>
    <row r="28" spans="1:9" s="1584" customFormat="1" ht="19.5" customHeight="1">
      <c r="A28" s="3440"/>
      <c r="B28" s="3440"/>
      <c r="C28" s="1126" t="s">
        <v>1462</v>
      </c>
      <c r="D28" s="1127"/>
      <c r="E28" s="1149">
        <v>0.9</v>
      </c>
      <c r="F28" s="1128" t="s">
        <v>1463</v>
      </c>
      <c r="G28" s="1129"/>
      <c r="H28" s="1100"/>
      <c r="I28" s="1100"/>
    </row>
    <row r="29" spans="1:9" s="1584" customFormat="1" ht="19.5" customHeight="1">
      <c r="A29" s="3440"/>
      <c r="B29" s="3440"/>
      <c r="C29" s="1126" t="s">
        <v>1464</v>
      </c>
      <c r="D29" s="1127"/>
      <c r="E29" s="1149">
        <v>0.9</v>
      </c>
      <c r="F29" s="1128" t="s">
        <v>1465</v>
      </c>
      <c r="G29" s="1129"/>
      <c r="H29" s="1100"/>
      <c r="I29" s="1100"/>
    </row>
    <row r="30" spans="1:9" s="1584" customFormat="1" ht="19.5" customHeight="1">
      <c r="A30" s="3440"/>
      <c r="B30" s="3440"/>
      <c r="C30" s="1126" t="s">
        <v>1466</v>
      </c>
      <c r="D30" s="1127"/>
      <c r="E30" s="1149">
        <v>0.9</v>
      </c>
      <c r="F30" s="1128" t="s">
        <v>1467</v>
      </c>
      <c r="G30" s="1129"/>
      <c r="H30" s="1100"/>
      <c r="I30" s="1100"/>
    </row>
    <row r="31" spans="1:9" s="1584" customFormat="1" ht="19.5" customHeight="1">
      <c r="A31" s="3440"/>
      <c r="B31" s="3440"/>
      <c r="C31" s="1126" t="s">
        <v>1468</v>
      </c>
      <c r="D31" s="1127"/>
      <c r="E31" s="1149">
        <v>0.8</v>
      </c>
      <c r="F31" s="1128" t="s">
        <v>1469</v>
      </c>
      <c r="G31" s="1129"/>
      <c r="H31" s="1100"/>
      <c r="I31" s="1100"/>
    </row>
    <row r="32" spans="1:9" s="1584" customFormat="1" ht="19.5" customHeight="1">
      <c r="A32" s="3440"/>
      <c r="B32" s="3440"/>
      <c r="C32" s="1126" t="s">
        <v>1470</v>
      </c>
      <c r="D32" s="1127"/>
      <c r="E32" s="1149">
        <v>0.8</v>
      </c>
      <c r="F32" s="1128" t="s">
        <v>1471</v>
      </c>
      <c r="G32" s="1129"/>
      <c r="H32" s="1100"/>
      <c r="I32" s="1100"/>
    </row>
    <row r="33" spans="1:9" s="1584" customFormat="1" ht="19.5" customHeight="1">
      <c r="A33" s="3440" t="s">
        <v>1472</v>
      </c>
      <c r="B33" s="1149" t="s">
        <v>1444</v>
      </c>
      <c r="C33" s="1126" t="s">
        <v>1473</v>
      </c>
      <c r="D33" s="1127"/>
      <c r="E33" s="1149">
        <v>1</v>
      </c>
      <c r="F33" s="1128" t="s">
        <v>1474</v>
      </c>
      <c r="G33" s="1129"/>
      <c r="H33" s="1100"/>
      <c r="I33" s="1100"/>
    </row>
    <row r="34" spans="1:9" s="1584" customFormat="1" ht="19.5" customHeight="1">
      <c r="A34" s="3440"/>
      <c r="B34" s="1149" t="s">
        <v>1447</v>
      </c>
      <c r="C34" s="1126" t="s">
        <v>1475</v>
      </c>
      <c r="D34" s="1127"/>
      <c r="E34" s="1149">
        <v>1.5</v>
      </c>
      <c r="F34" s="1128" t="s">
        <v>1476</v>
      </c>
      <c r="G34" s="1129"/>
      <c r="H34" s="1100"/>
      <c r="I34" s="1100"/>
    </row>
    <row r="35" spans="1:9" s="1584" customFormat="1" ht="19.5" customHeight="1">
      <c r="A35" s="3440" t="s">
        <v>1430</v>
      </c>
      <c r="B35" s="1149" t="s">
        <v>1444</v>
      </c>
      <c r="C35" s="1126" t="s">
        <v>1477</v>
      </c>
      <c r="D35" s="1127"/>
      <c r="E35" s="1149">
        <v>1</v>
      </c>
      <c r="F35" s="1128" t="s">
        <v>1478</v>
      </c>
      <c r="G35" s="1129"/>
      <c r="H35" s="1100"/>
      <c r="I35" s="1100"/>
    </row>
    <row r="36" spans="1:9" s="1584" customFormat="1" ht="19.5" customHeight="1">
      <c r="A36" s="3440"/>
      <c r="B36" s="3440" t="s">
        <v>1447</v>
      </c>
      <c r="C36" s="1126" t="s">
        <v>1479</v>
      </c>
      <c r="D36" s="1127"/>
      <c r="E36" s="1149">
        <v>1</v>
      </c>
      <c r="F36" s="1128" t="s">
        <v>1480</v>
      </c>
      <c r="G36" s="1129"/>
      <c r="H36" s="1100"/>
      <c r="I36" s="1100"/>
    </row>
    <row r="37" spans="1:9" s="1584" customFormat="1" ht="19.5" customHeight="1">
      <c r="A37" s="3440"/>
      <c r="B37" s="3440"/>
      <c r="C37" s="1126" t="s">
        <v>1481</v>
      </c>
      <c r="D37" s="1127"/>
      <c r="E37" s="1149">
        <v>1.5</v>
      </c>
      <c r="F37" s="1128" t="s">
        <v>1482</v>
      </c>
      <c r="G37" s="1129"/>
      <c r="H37" s="1100"/>
      <c r="I37" s="1100"/>
    </row>
    <row r="38" spans="1:9" s="1584" customFormat="1" ht="19.5" customHeight="1">
      <c r="A38" s="3440"/>
      <c r="B38" s="3440"/>
      <c r="C38" s="1126" t="s">
        <v>1483</v>
      </c>
      <c r="D38" s="1127"/>
      <c r="E38" s="1149">
        <v>1</v>
      </c>
      <c r="F38" s="1128" t="s">
        <v>1484</v>
      </c>
      <c r="G38" s="1129"/>
      <c r="H38" s="1100"/>
      <c r="I38" s="1100"/>
    </row>
    <row r="39" spans="1:9" s="1584" customFormat="1" ht="19.5" customHeight="1">
      <c r="A39" s="3440"/>
      <c r="B39" s="3440"/>
      <c r="C39" s="1126" t="s">
        <v>1485</v>
      </c>
      <c r="D39" s="1127"/>
      <c r="E39" s="1149">
        <v>1</v>
      </c>
      <c r="F39" s="1128" t="s">
        <v>1486</v>
      </c>
      <c r="G39" s="1129"/>
      <c r="H39" s="1100"/>
      <c r="I39" s="1100"/>
    </row>
    <row r="40" spans="1:9" s="1584" customFormat="1" ht="19.5" customHeight="1">
      <c r="A40" s="1585" t="s">
        <v>1487</v>
      </c>
      <c r="B40" s="1585"/>
      <c r="C40" s="1585"/>
      <c r="D40" s="1585"/>
      <c r="E40" s="1585"/>
      <c r="F40" s="1128"/>
      <c r="G40" s="1128"/>
      <c r="H40" s="1100"/>
      <c r="I40" s="1100"/>
    </row>
    <row r="42" spans="1:9" ht="19.5" customHeight="1">
      <c r="A42" s="1130"/>
      <c r="B42" s="1063" t="s">
        <v>1488</v>
      </c>
      <c r="C42" s="1063" t="s">
        <v>1488</v>
      </c>
      <c r="D42" s="1063" t="s">
        <v>1488</v>
      </c>
      <c r="E42" s="1148" t="s">
        <v>1488</v>
      </c>
      <c r="F42" s="1148" t="s">
        <v>1488</v>
      </c>
      <c r="G42" s="1148" t="s">
        <v>1489</v>
      </c>
      <c r="H42" s="1148" t="s">
        <v>1488</v>
      </c>
    </row>
    <row r="43" spans="1:9" ht="19.5" customHeight="1">
      <c r="A43" s="1131"/>
      <c r="B43" s="1148" t="s">
        <v>1005</v>
      </c>
      <c r="C43" s="1148" t="s">
        <v>1005</v>
      </c>
      <c r="D43" s="1148" t="s">
        <v>1005</v>
      </c>
      <c r="E43" s="1148" t="s">
        <v>1005</v>
      </c>
      <c r="F43" s="1063" t="s">
        <v>1027</v>
      </c>
      <c r="G43" s="1063" t="s">
        <v>1430</v>
      </c>
      <c r="H43" s="1063" t="s">
        <v>1490</v>
      </c>
    </row>
    <row r="44" spans="1:9" ht="19.5" customHeight="1">
      <c r="A44" s="1132"/>
      <c r="B44" s="1063">
        <v>1</v>
      </c>
      <c r="C44" s="1063">
        <v>2</v>
      </c>
      <c r="D44" s="1063">
        <v>3</v>
      </c>
      <c r="E44" s="1148">
        <v>4</v>
      </c>
      <c r="F44" s="1124" t="s">
        <v>1491</v>
      </c>
      <c r="G44" s="1124" t="s">
        <v>1491</v>
      </c>
      <c r="H44" s="1124" t="s">
        <v>1491</v>
      </c>
    </row>
    <row r="45" spans="1:9" ht="19.5" customHeight="1">
      <c r="A45" s="1147" t="s">
        <v>905</v>
      </c>
      <c r="B45" s="1063">
        <v>0.8</v>
      </c>
      <c r="C45" s="1063">
        <v>0.5</v>
      </c>
      <c r="D45" s="1063">
        <v>0.36</v>
      </c>
      <c r="E45" s="1063">
        <v>0.3</v>
      </c>
      <c r="F45" s="1124">
        <v>0.3</v>
      </c>
      <c r="G45" s="1063">
        <v>0.3</v>
      </c>
      <c r="H45" s="1063">
        <v>0.25</v>
      </c>
    </row>
    <row r="46" spans="1:9" ht="19.5" customHeight="1">
      <c r="A46" s="1147" t="s">
        <v>906</v>
      </c>
      <c r="B46" s="1063">
        <v>0.8</v>
      </c>
      <c r="C46" s="1063">
        <v>0.5</v>
      </c>
      <c r="D46" s="1063">
        <v>0.36</v>
      </c>
      <c r="E46" s="1063">
        <v>0.3</v>
      </c>
      <c r="F46" s="1063">
        <v>0.3</v>
      </c>
      <c r="G46" s="1063">
        <v>0.3</v>
      </c>
      <c r="H46" s="1063">
        <v>0.25</v>
      </c>
    </row>
    <row r="47" spans="1:9" ht="19.5" customHeight="1">
      <c r="A47" s="1147" t="s">
        <v>907</v>
      </c>
      <c r="B47" s="1063">
        <v>0.7</v>
      </c>
      <c r="C47" s="1063">
        <v>0.4</v>
      </c>
      <c r="D47" s="1063">
        <v>0.28000000000000003</v>
      </c>
      <c r="E47" s="1063">
        <v>0.25</v>
      </c>
      <c r="F47" s="1063">
        <v>0.25</v>
      </c>
      <c r="G47" s="1063">
        <v>0.25</v>
      </c>
      <c r="H47" s="1063">
        <v>0.2</v>
      </c>
    </row>
    <row r="48" spans="1:9" ht="19.5" customHeight="1">
      <c r="A48" s="1147" t="s">
        <v>908</v>
      </c>
      <c r="B48" s="1063">
        <v>0.7</v>
      </c>
      <c r="C48" s="1063">
        <v>0.4</v>
      </c>
      <c r="D48" s="1063">
        <v>0.28000000000000003</v>
      </c>
      <c r="E48" s="1063">
        <v>0.25</v>
      </c>
      <c r="F48" s="1063">
        <v>0.25</v>
      </c>
      <c r="G48" s="1063">
        <v>0.25</v>
      </c>
      <c r="H48" s="1063">
        <v>0.2</v>
      </c>
    </row>
    <row r="49" spans="1:8" s="1100" customFormat="1" ht="19.5" customHeight="1">
      <c r="A49" s="1147" t="s">
        <v>909</v>
      </c>
      <c r="B49" s="1063">
        <v>0.7</v>
      </c>
      <c r="C49" s="1063">
        <v>0.4</v>
      </c>
      <c r="D49" s="1063">
        <v>0.28000000000000003</v>
      </c>
      <c r="E49" s="1063">
        <v>0.25</v>
      </c>
      <c r="F49" s="1063">
        <v>0.25</v>
      </c>
      <c r="G49" s="1063">
        <v>0.25</v>
      </c>
      <c r="H49" s="1063">
        <v>0.2</v>
      </c>
    </row>
    <row r="50" spans="1:8" s="1100" customFormat="1" ht="19.5" customHeight="1">
      <c r="A50" s="1147" t="s">
        <v>910</v>
      </c>
      <c r="B50" s="1063">
        <v>0.7</v>
      </c>
      <c r="C50" s="1063">
        <v>0.4</v>
      </c>
      <c r="D50" s="1063">
        <v>0.28000000000000003</v>
      </c>
      <c r="E50" s="1063">
        <v>0.25</v>
      </c>
      <c r="F50" s="1063">
        <v>0.25</v>
      </c>
      <c r="G50" s="1063">
        <v>0.25</v>
      </c>
      <c r="H50" s="1063">
        <v>0.2</v>
      </c>
    </row>
    <row r="51" spans="1:8" s="1100" customFormat="1" ht="19.5" customHeight="1">
      <c r="A51" s="1147" t="s">
        <v>911</v>
      </c>
      <c r="B51" s="1063">
        <v>0.7</v>
      </c>
      <c r="C51" s="1063">
        <v>0.4</v>
      </c>
      <c r="D51" s="1063">
        <v>0.28000000000000003</v>
      </c>
      <c r="E51" s="1063">
        <v>0.25</v>
      </c>
      <c r="F51" s="1063">
        <v>0.25</v>
      </c>
      <c r="G51" s="1063">
        <v>0.25</v>
      </c>
      <c r="H51" s="1063">
        <v>0.2</v>
      </c>
    </row>
    <row r="52" spans="1:8" s="1100" customFormat="1" ht="19.5" customHeight="1">
      <c r="A52" s="1147" t="s">
        <v>912</v>
      </c>
      <c r="B52" s="1063">
        <v>0.6</v>
      </c>
      <c r="C52" s="1063">
        <v>0.3</v>
      </c>
      <c r="D52" s="1063">
        <v>0.2</v>
      </c>
      <c r="E52" s="1063">
        <v>0.2</v>
      </c>
      <c r="F52" s="1063">
        <v>0.2</v>
      </c>
      <c r="G52" s="1063">
        <v>0.2</v>
      </c>
      <c r="H52" s="1063">
        <v>0.15</v>
      </c>
    </row>
    <row r="53" spans="1:8" s="1100" customFormat="1" ht="19.5" customHeight="1">
      <c r="A53" s="1147" t="s">
        <v>913</v>
      </c>
      <c r="B53" s="1063">
        <v>0.6</v>
      </c>
      <c r="C53" s="1063">
        <v>0.3</v>
      </c>
      <c r="D53" s="1063">
        <v>0.2</v>
      </c>
      <c r="E53" s="1063">
        <v>0.2</v>
      </c>
      <c r="F53" s="1063">
        <v>0.2</v>
      </c>
      <c r="G53" s="1063">
        <v>0.2</v>
      </c>
      <c r="H53" s="1063">
        <v>0.15</v>
      </c>
    </row>
    <row r="54" spans="1:8" s="1100" customFormat="1" ht="19.5" customHeight="1">
      <c r="A54" s="1147" t="s">
        <v>914</v>
      </c>
      <c r="B54" s="1063">
        <v>0.6</v>
      </c>
      <c r="C54" s="1063">
        <v>0.3</v>
      </c>
      <c r="D54" s="1063">
        <v>0.2</v>
      </c>
      <c r="E54" s="1063">
        <v>0.2</v>
      </c>
      <c r="F54" s="1063">
        <v>0.2</v>
      </c>
      <c r="G54" s="1063">
        <v>0.2</v>
      </c>
      <c r="H54" s="1063">
        <v>0.15</v>
      </c>
    </row>
    <row r="55" spans="1:8" s="1100" customFormat="1" ht="19.5" customHeight="1">
      <c r="A55" s="1147" t="s">
        <v>915</v>
      </c>
      <c r="B55" s="1063">
        <v>0.6</v>
      </c>
      <c r="C55" s="1063">
        <v>0.3</v>
      </c>
      <c r="D55" s="1063">
        <v>0.2</v>
      </c>
      <c r="E55" s="1063">
        <v>0.2</v>
      </c>
      <c r="F55" s="1063">
        <v>0.2</v>
      </c>
      <c r="G55" s="1063">
        <v>0.2</v>
      </c>
      <c r="H55" s="1063">
        <v>0.15</v>
      </c>
    </row>
    <row r="56" spans="1:8" s="1100" customFormat="1" ht="19.5" customHeight="1">
      <c r="A56" s="1147" t="s">
        <v>916</v>
      </c>
      <c r="B56" s="1063">
        <v>0.6</v>
      </c>
      <c r="C56" s="1063">
        <v>0.3</v>
      </c>
      <c r="D56" s="1063">
        <v>0.2</v>
      </c>
      <c r="E56" s="1063">
        <v>0.2</v>
      </c>
      <c r="F56" s="1063">
        <v>0.2</v>
      </c>
      <c r="G56" s="1063">
        <v>0.2</v>
      </c>
      <c r="H56" s="1063">
        <v>0.15</v>
      </c>
    </row>
    <row r="58" spans="1:8" s="1100" customFormat="1" ht="19.5" customHeight="1">
      <c r="A58" s="1133"/>
      <c r="B58" s="1121"/>
      <c r="C58" s="1121"/>
      <c r="D58" s="1121" t="s">
        <v>1492</v>
      </c>
      <c r="E58" s="1121"/>
      <c r="F58" s="1121"/>
    </row>
    <row r="59" spans="1:8" s="1100" customFormat="1" ht="19.5" customHeight="1">
      <c r="A59" s="1149" t="s">
        <v>1493</v>
      </c>
      <c r="B59" s="1149" t="s">
        <v>1494</v>
      </c>
      <c r="C59" s="1149" t="s">
        <v>1495</v>
      </c>
      <c r="D59" s="1149" t="s">
        <v>1496</v>
      </c>
      <c r="E59" s="1149" t="s">
        <v>1497</v>
      </c>
      <c r="F59" s="1149" t="s">
        <v>1498</v>
      </c>
    </row>
    <row r="60" spans="1:8" s="1100" customFormat="1" ht="19.5" customHeight="1">
      <c r="A60" s="1149"/>
      <c r="B60" s="1149"/>
      <c r="C60" s="1149" t="s">
        <v>1630</v>
      </c>
      <c r="D60" s="1149"/>
      <c r="E60" s="1134" t="s">
        <v>1439</v>
      </c>
      <c r="F60" s="1149" t="s">
        <v>1439</v>
      </c>
    </row>
    <row r="61" spans="1:8" s="1100" customFormat="1" ht="36">
      <c r="A61" s="1149">
        <v>1</v>
      </c>
      <c r="B61" s="3440" t="s">
        <v>1499</v>
      </c>
      <c r="C61" s="1063" t="s">
        <v>1500</v>
      </c>
      <c r="D61" s="1063" t="s">
        <v>1501</v>
      </c>
      <c r="E61" s="1134">
        <v>0.5</v>
      </c>
      <c r="F61" s="1149">
        <v>80</v>
      </c>
      <c r="H61" s="1100">
        <f>SUMIF(C59:C119,基准地价!C8,E59:E119)</f>
        <v>0</v>
      </c>
    </row>
    <row r="62" spans="1:8" s="1100" customFormat="1" ht="36">
      <c r="A62" s="1149">
        <v>2</v>
      </c>
      <c r="B62" s="3440"/>
      <c r="C62" s="1063" t="s">
        <v>1502</v>
      </c>
      <c r="D62" s="1063" t="s">
        <v>1503</v>
      </c>
      <c r="E62" s="1134">
        <v>0.5</v>
      </c>
      <c r="F62" s="1149">
        <v>80</v>
      </c>
    </row>
    <row r="63" spans="1:8" s="1100" customFormat="1" ht="48">
      <c r="A63" s="1149">
        <v>3</v>
      </c>
      <c r="B63" s="3440"/>
      <c r="C63" s="1063" t="s">
        <v>1504</v>
      </c>
      <c r="D63" s="1063" t="s">
        <v>1505</v>
      </c>
      <c r="E63" s="1134">
        <v>0.5</v>
      </c>
      <c r="F63" s="1149">
        <v>80</v>
      </c>
    </row>
    <row r="64" spans="1:8" s="1100" customFormat="1" ht="48">
      <c r="A64" s="1149">
        <v>4</v>
      </c>
      <c r="B64" s="3440"/>
      <c r="C64" s="1063" t="s">
        <v>1506</v>
      </c>
      <c r="D64" s="1063" t="s">
        <v>1507</v>
      </c>
      <c r="E64" s="1134">
        <v>0.4</v>
      </c>
      <c r="F64" s="1149">
        <v>60</v>
      </c>
    </row>
    <row r="65" spans="1:6" s="1100" customFormat="1" ht="48">
      <c r="A65" s="1149">
        <v>5</v>
      </c>
      <c r="B65" s="3440"/>
      <c r="C65" s="1063" t="s">
        <v>1508</v>
      </c>
      <c r="D65" s="1063" t="s">
        <v>1509</v>
      </c>
      <c r="E65" s="1134">
        <v>0.2</v>
      </c>
      <c r="F65" s="1149">
        <v>30</v>
      </c>
    </row>
    <row r="66" spans="1:6" s="1100" customFormat="1" ht="48">
      <c r="A66" s="1149">
        <v>6</v>
      </c>
      <c r="B66" s="3440"/>
      <c r="C66" s="1063" t="s">
        <v>1510</v>
      </c>
      <c r="D66" s="1063" t="s">
        <v>1511</v>
      </c>
      <c r="E66" s="1134">
        <v>0.3</v>
      </c>
      <c r="F66" s="1149">
        <v>50</v>
      </c>
    </row>
    <row r="67" spans="1:6" s="1100" customFormat="1" ht="48">
      <c r="A67" s="1149">
        <v>7</v>
      </c>
      <c r="B67" s="3440"/>
      <c r="C67" s="1063" t="s">
        <v>1512</v>
      </c>
      <c r="D67" s="1063" t="s">
        <v>1513</v>
      </c>
      <c r="E67" s="1134">
        <v>0.2</v>
      </c>
      <c r="F67" s="1149">
        <v>30</v>
      </c>
    </row>
    <row r="68" spans="1:6" s="1100" customFormat="1" ht="48">
      <c r="A68" s="1149">
        <v>8</v>
      </c>
      <c r="B68" s="3440"/>
      <c r="C68" s="1063" t="s">
        <v>1514</v>
      </c>
      <c r="D68" s="1063" t="s">
        <v>1515</v>
      </c>
      <c r="E68" s="1134">
        <v>0.2</v>
      </c>
      <c r="F68" s="1149">
        <v>30</v>
      </c>
    </row>
    <row r="69" spans="1:6" s="1100" customFormat="1" ht="48">
      <c r="A69" s="1149">
        <v>9</v>
      </c>
      <c r="B69" s="3440"/>
      <c r="C69" s="1063" t="s">
        <v>1516</v>
      </c>
      <c r="D69" s="1063" t="s">
        <v>1517</v>
      </c>
      <c r="E69" s="1134">
        <v>0.2</v>
      </c>
      <c r="F69" s="1149">
        <v>30</v>
      </c>
    </row>
    <row r="70" spans="1:6" s="1100" customFormat="1" ht="60">
      <c r="A70" s="1149">
        <v>10</v>
      </c>
      <c r="B70" s="3440"/>
      <c r="C70" s="1063" t="s">
        <v>1518</v>
      </c>
      <c r="D70" s="1063" t="s">
        <v>1519</v>
      </c>
      <c r="E70" s="1134">
        <v>0.2</v>
      </c>
      <c r="F70" s="1149">
        <v>30</v>
      </c>
    </row>
    <row r="71" spans="1:6" s="1100" customFormat="1" ht="60">
      <c r="A71" s="1149">
        <v>11</v>
      </c>
      <c r="B71" s="3440"/>
      <c r="C71" s="1063" t="s">
        <v>1520</v>
      </c>
      <c r="D71" s="1063" t="s">
        <v>1521</v>
      </c>
      <c r="E71" s="1134">
        <v>0.2</v>
      </c>
      <c r="F71" s="1149">
        <v>30</v>
      </c>
    </row>
    <row r="72" spans="1:6" s="1100" customFormat="1" ht="36">
      <c r="A72" s="1149">
        <v>12</v>
      </c>
      <c r="B72" s="3440"/>
      <c r="C72" s="1063" t="s">
        <v>1522</v>
      </c>
      <c r="D72" s="1063" t="s">
        <v>1523</v>
      </c>
      <c r="E72" s="1134">
        <v>0.5</v>
      </c>
      <c r="F72" s="1149">
        <v>80</v>
      </c>
    </row>
    <row r="73" spans="1:6" s="1100" customFormat="1" ht="36">
      <c r="A73" s="1149">
        <v>13</v>
      </c>
      <c r="B73" s="3440"/>
      <c r="C73" s="1063" t="s">
        <v>1524</v>
      </c>
      <c r="D73" s="1063" t="s">
        <v>1525</v>
      </c>
      <c r="E73" s="1134">
        <v>0.4</v>
      </c>
      <c r="F73" s="1149">
        <v>60</v>
      </c>
    </row>
    <row r="74" spans="1:6" s="1100" customFormat="1" ht="36">
      <c r="A74" s="1149">
        <v>14</v>
      </c>
      <c r="B74" s="3440"/>
      <c r="C74" s="1063" t="s">
        <v>1526</v>
      </c>
      <c r="D74" s="1063" t="s">
        <v>1527</v>
      </c>
      <c r="E74" s="1134">
        <v>0.2</v>
      </c>
      <c r="F74" s="1149">
        <v>30</v>
      </c>
    </row>
    <row r="75" spans="1:6" s="1100" customFormat="1" ht="36">
      <c r="A75" s="1149">
        <v>15</v>
      </c>
      <c r="B75" s="3440"/>
      <c r="C75" s="1063" t="s">
        <v>1528</v>
      </c>
      <c r="D75" s="1063" t="s">
        <v>1529</v>
      </c>
      <c r="E75" s="1134">
        <v>0.2</v>
      </c>
      <c r="F75" s="1149">
        <v>30</v>
      </c>
    </row>
    <row r="76" spans="1:6" s="1100" customFormat="1" ht="36">
      <c r="A76" s="1149">
        <v>16</v>
      </c>
      <c r="B76" s="3440" t="s">
        <v>1530</v>
      </c>
      <c r="C76" s="1063" t="s">
        <v>1531</v>
      </c>
      <c r="D76" s="1063" t="s">
        <v>1532</v>
      </c>
      <c r="E76" s="1134">
        <v>0.5</v>
      </c>
      <c r="F76" s="1149">
        <v>80</v>
      </c>
    </row>
    <row r="77" spans="1:6" s="1100" customFormat="1" ht="36">
      <c r="A77" s="1149">
        <v>17</v>
      </c>
      <c r="B77" s="3440"/>
      <c r="C77" s="1063" t="s">
        <v>1533</v>
      </c>
      <c r="D77" s="1063" t="s">
        <v>1534</v>
      </c>
      <c r="E77" s="1134">
        <v>0.5</v>
      </c>
      <c r="F77" s="1149">
        <v>80</v>
      </c>
    </row>
    <row r="78" spans="1:6" s="1100" customFormat="1" ht="36">
      <c r="A78" s="1149">
        <v>18</v>
      </c>
      <c r="B78" s="3440"/>
      <c r="C78" s="1063" t="s">
        <v>1535</v>
      </c>
      <c r="D78" s="1063" t="s">
        <v>1536</v>
      </c>
      <c r="E78" s="1134">
        <v>0.2</v>
      </c>
      <c r="F78" s="1149">
        <v>30</v>
      </c>
    </row>
    <row r="79" spans="1:6" s="1100" customFormat="1" ht="36">
      <c r="A79" s="1149">
        <v>19</v>
      </c>
      <c r="B79" s="3440"/>
      <c r="C79" s="1063" t="s">
        <v>1537</v>
      </c>
      <c r="D79" s="1063" t="s">
        <v>1538</v>
      </c>
      <c r="E79" s="1134">
        <v>0.5</v>
      </c>
      <c r="F79" s="1149">
        <v>80</v>
      </c>
    </row>
    <row r="80" spans="1:6" s="1100" customFormat="1" ht="36">
      <c r="A80" s="1149">
        <v>20</v>
      </c>
      <c r="B80" s="3440"/>
      <c r="C80" s="1063" t="s">
        <v>1539</v>
      </c>
      <c r="D80" s="1063" t="s">
        <v>1540</v>
      </c>
      <c r="E80" s="1134">
        <v>0.2</v>
      </c>
      <c r="F80" s="1149">
        <v>30</v>
      </c>
    </row>
    <row r="81" spans="1:6" s="1100" customFormat="1" ht="36">
      <c r="A81" s="1149">
        <v>21</v>
      </c>
      <c r="B81" s="3440"/>
      <c r="C81" s="1063" t="s">
        <v>1541</v>
      </c>
      <c r="D81" s="1063" t="s">
        <v>1542</v>
      </c>
      <c r="E81" s="1134">
        <v>0.2</v>
      </c>
      <c r="F81" s="1149">
        <v>30</v>
      </c>
    </row>
    <row r="82" spans="1:6" s="1100" customFormat="1" ht="60">
      <c r="A82" s="1149">
        <v>22</v>
      </c>
      <c r="B82" s="3440"/>
      <c r="C82" s="1063" t="s">
        <v>1543</v>
      </c>
      <c r="D82" s="1063" t="s">
        <v>1544</v>
      </c>
      <c r="E82" s="1134">
        <v>0.2</v>
      </c>
      <c r="F82" s="1149">
        <v>30</v>
      </c>
    </row>
    <row r="83" spans="1:6" s="1100" customFormat="1" ht="60">
      <c r="A83" s="1149">
        <v>23</v>
      </c>
      <c r="B83" s="3440"/>
      <c r="C83" s="1063" t="s">
        <v>1545</v>
      </c>
      <c r="D83" s="1063" t="s">
        <v>1546</v>
      </c>
      <c r="E83" s="1134">
        <v>0.2</v>
      </c>
      <c r="F83" s="1149">
        <v>30</v>
      </c>
    </row>
    <row r="84" spans="1:6" s="1100" customFormat="1" ht="48">
      <c r="A84" s="1149">
        <v>24</v>
      </c>
      <c r="B84" s="3440"/>
      <c r="C84" s="1063" t="s">
        <v>1547</v>
      </c>
      <c r="D84" s="1063" t="s">
        <v>1548</v>
      </c>
      <c r="E84" s="1134">
        <v>0.2</v>
      </c>
      <c r="F84" s="1149">
        <v>30</v>
      </c>
    </row>
    <row r="85" spans="1:6" s="1100" customFormat="1" ht="36">
      <c r="A85" s="1149">
        <v>25</v>
      </c>
      <c r="B85" s="3440"/>
      <c r="C85" s="1063" t="s">
        <v>1549</v>
      </c>
      <c r="D85" s="1063" t="s">
        <v>1550</v>
      </c>
      <c r="E85" s="1134">
        <v>0.5</v>
      </c>
      <c r="F85" s="1149">
        <v>80</v>
      </c>
    </row>
    <row r="86" spans="1:6" s="1100" customFormat="1" ht="36">
      <c r="A86" s="1149">
        <v>26</v>
      </c>
      <c r="B86" s="3440"/>
      <c r="C86" s="1063" t="s">
        <v>1551</v>
      </c>
      <c r="D86" s="1063" t="s">
        <v>1552</v>
      </c>
      <c r="E86" s="1134">
        <v>0.2</v>
      </c>
      <c r="F86" s="1149">
        <v>30</v>
      </c>
    </row>
    <row r="87" spans="1:6" s="1100" customFormat="1" ht="36">
      <c r="A87" s="1149">
        <v>27</v>
      </c>
      <c r="B87" s="3440"/>
      <c r="C87" s="1063" t="s">
        <v>1553</v>
      </c>
      <c r="D87" s="1063" t="s">
        <v>1554</v>
      </c>
      <c r="E87" s="1134">
        <v>0.2</v>
      </c>
      <c r="F87" s="1149">
        <v>30</v>
      </c>
    </row>
    <row r="88" spans="1:6" s="1100" customFormat="1" ht="36">
      <c r="A88" s="1149">
        <v>28</v>
      </c>
      <c r="B88" s="3440"/>
      <c r="C88" s="1063" t="s">
        <v>1555</v>
      </c>
      <c r="D88" s="1063" t="s">
        <v>1556</v>
      </c>
      <c r="E88" s="1134">
        <v>0.2</v>
      </c>
      <c r="F88" s="1149">
        <v>30</v>
      </c>
    </row>
    <row r="89" spans="1:6" s="1100" customFormat="1" ht="36">
      <c r="A89" s="1149">
        <v>29</v>
      </c>
      <c r="B89" s="3440"/>
      <c r="C89" s="1063" t="s">
        <v>1557</v>
      </c>
      <c r="D89" s="1063" t="s">
        <v>1558</v>
      </c>
      <c r="E89" s="1134">
        <v>0.2</v>
      </c>
      <c r="F89" s="1149">
        <v>30</v>
      </c>
    </row>
    <row r="90" spans="1:6" s="1100" customFormat="1" ht="36">
      <c r="A90" s="1149">
        <v>30</v>
      </c>
      <c r="B90" s="3440"/>
      <c r="C90" s="1063" t="s">
        <v>1559</v>
      </c>
      <c r="D90" s="1063" t="s">
        <v>1560</v>
      </c>
      <c r="E90" s="1134">
        <v>0.2</v>
      </c>
      <c r="F90" s="1149">
        <v>30</v>
      </c>
    </row>
    <row r="91" spans="1:6" s="1100" customFormat="1" ht="48">
      <c r="A91" s="1149">
        <v>31</v>
      </c>
      <c r="B91" s="3440"/>
      <c r="C91" s="1063" t="s">
        <v>1561</v>
      </c>
      <c r="D91" s="1063" t="s">
        <v>1562</v>
      </c>
      <c r="E91" s="1134">
        <v>0.2</v>
      </c>
      <c r="F91" s="1149">
        <v>30</v>
      </c>
    </row>
    <row r="92" spans="1:6" s="1100" customFormat="1" ht="36">
      <c r="A92" s="1149">
        <v>32</v>
      </c>
      <c r="B92" s="3440" t="s">
        <v>1563</v>
      </c>
      <c r="C92" s="1149" t="s">
        <v>1564</v>
      </c>
      <c r="D92" s="1063" t="s">
        <v>1565</v>
      </c>
      <c r="E92" s="1134">
        <v>0.2</v>
      </c>
      <c r="F92" s="1149">
        <v>30</v>
      </c>
    </row>
    <row r="93" spans="1:6" s="1100" customFormat="1" ht="36">
      <c r="A93" s="1149">
        <v>33</v>
      </c>
      <c r="B93" s="3440"/>
      <c r="C93" s="1149" t="s">
        <v>1566</v>
      </c>
      <c r="D93" s="1063" t="s">
        <v>1567</v>
      </c>
      <c r="E93" s="1134">
        <v>0.2</v>
      </c>
      <c r="F93" s="1149">
        <v>30</v>
      </c>
    </row>
    <row r="94" spans="1:6" s="1100" customFormat="1" ht="60">
      <c r="A94" s="1149">
        <v>34</v>
      </c>
      <c r="B94" s="3440"/>
      <c r="C94" s="1149" t="s">
        <v>1568</v>
      </c>
      <c r="D94" s="1063" t="s">
        <v>1569</v>
      </c>
      <c r="E94" s="1134">
        <v>0.2</v>
      </c>
      <c r="F94" s="1149">
        <v>30</v>
      </c>
    </row>
    <row r="95" spans="1:6" s="1100" customFormat="1" ht="48">
      <c r="A95" s="1149">
        <v>35</v>
      </c>
      <c r="B95" s="3440"/>
      <c r="C95" s="1149" t="s">
        <v>1570</v>
      </c>
      <c r="D95" s="1063" t="s">
        <v>1571</v>
      </c>
      <c r="E95" s="1134">
        <v>0.2</v>
      </c>
      <c r="F95" s="1149">
        <v>30</v>
      </c>
    </row>
    <row r="96" spans="1:6" s="1100" customFormat="1" ht="72">
      <c r="A96" s="1149">
        <v>36</v>
      </c>
      <c r="B96" s="3440"/>
      <c r="C96" s="1063" t="s">
        <v>1572</v>
      </c>
      <c r="D96" s="1063" t="s">
        <v>1573</v>
      </c>
      <c r="E96" s="1134">
        <v>0.2</v>
      </c>
      <c r="F96" s="1149">
        <v>30</v>
      </c>
    </row>
    <row r="97" spans="1:6" s="1100" customFormat="1" ht="36">
      <c r="A97" s="1149">
        <v>37</v>
      </c>
      <c r="B97" s="3440"/>
      <c r="C97" s="1149" t="s">
        <v>1574</v>
      </c>
      <c r="D97" s="1063" t="s">
        <v>1575</v>
      </c>
      <c r="E97" s="1134">
        <v>0.2</v>
      </c>
      <c r="F97" s="1149">
        <v>30</v>
      </c>
    </row>
    <row r="98" spans="1:6" s="1100" customFormat="1" ht="36">
      <c r="A98" s="1149">
        <v>38</v>
      </c>
      <c r="B98" s="3440"/>
      <c r="C98" s="1149" t="s">
        <v>1576</v>
      </c>
      <c r="D98" s="1063" t="s">
        <v>1577</v>
      </c>
      <c r="E98" s="1134">
        <v>0.2</v>
      </c>
      <c r="F98" s="1149">
        <v>30</v>
      </c>
    </row>
    <row r="99" spans="1:6" s="1100" customFormat="1" ht="36">
      <c r="A99" s="1149">
        <v>39</v>
      </c>
      <c r="B99" s="3440" t="s">
        <v>1578</v>
      </c>
      <c r="C99" s="1149" t="s">
        <v>1579</v>
      </c>
      <c r="D99" s="1063" t="s">
        <v>1580</v>
      </c>
      <c r="E99" s="1134">
        <v>0.3</v>
      </c>
      <c r="F99" s="1149">
        <v>50</v>
      </c>
    </row>
    <row r="100" spans="1:6" s="1100" customFormat="1" ht="36">
      <c r="A100" s="1149">
        <v>40</v>
      </c>
      <c r="B100" s="3440"/>
      <c r="C100" s="1149" t="s">
        <v>1581</v>
      </c>
      <c r="D100" s="1063" t="s">
        <v>1582</v>
      </c>
      <c r="E100" s="1134">
        <v>0.2</v>
      </c>
      <c r="F100" s="1149">
        <v>30</v>
      </c>
    </row>
    <row r="101" spans="1:6" s="1100" customFormat="1" ht="36">
      <c r="A101" s="1149">
        <v>41</v>
      </c>
      <c r="B101" s="3440"/>
      <c r="C101" s="1149" t="s">
        <v>1583</v>
      </c>
      <c r="D101" s="1063" t="s">
        <v>1580</v>
      </c>
      <c r="E101" s="1134">
        <v>0.2</v>
      </c>
      <c r="F101" s="1149">
        <v>30</v>
      </c>
    </row>
    <row r="102" spans="1:6" s="1100" customFormat="1" ht="72">
      <c r="A102" s="1149">
        <v>42</v>
      </c>
      <c r="B102" s="1149" t="s">
        <v>1584</v>
      </c>
      <c r="C102" s="1063" t="s">
        <v>1585</v>
      </c>
      <c r="D102" s="1063" t="s">
        <v>1586</v>
      </c>
      <c r="E102" s="1134">
        <v>0.2</v>
      </c>
      <c r="F102" s="1149">
        <v>30</v>
      </c>
    </row>
    <row r="103" spans="1:6" s="1100" customFormat="1" ht="36">
      <c r="A103" s="1149">
        <v>43</v>
      </c>
      <c r="B103" s="1149" t="s">
        <v>1587</v>
      </c>
      <c r="C103" s="1149" t="s">
        <v>1588</v>
      </c>
      <c r="D103" s="1063" t="s">
        <v>1589</v>
      </c>
      <c r="E103" s="1134">
        <v>0.2</v>
      </c>
      <c r="F103" s="1149">
        <v>30</v>
      </c>
    </row>
    <row r="104" spans="1:6" s="1100" customFormat="1" ht="36">
      <c r="A104" s="1149">
        <v>44</v>
      </c>
      <c r="B104" s="1149" t="s">
        <v>1590</v>
      </c>
      <c r="C104" s="1149" t="s">
        <v>1591</v>
      </c>
      <c r="D104" s="1063" t="s">
        <v>1592</v>
      </c>
      <c r="E104" s="1134">
        <v>0.2</v>
      </c>
      <c r="F104" s="1149">
        <v>30</v>
      </c>
    </row>
    <row r="105" spans="1:6" s="1100" customFormat="1" ht="48">
      <c r="A105" s="1149">
        <v>45</v>
      </c>
      <c r="B105" s="3440" t="s">
        <v>1593</v>
      </c>
      <c r="C105" s="1149" t="s">
        <v>1594</v>
      </c>
      <c r="D105" s="1063" t="s">
        <v>1595</v>
      </c>
      <c r="E105" s="1134">
        <v>0.2</v>
      </c>
      <c r="F105" s="1149">
        <v>30</v>
      </c>
    </row>
    <row r="106" spans="1:6" s="1100" customFormat="1" ht="48">
      <c r="A106" s="1149">
        <v>46</v>
      </c>
      <c r="B106" s="3440"/>
      <c r="C106" s="1149" t="s">
        <v>1596</v>
      </c>
      <c r="D106" s="1063" t="s">
        <v>1597</v>
      </c>
      <c r="E106" s="1134">
        <v>0.2</v>
      </c>
      <c r="F106" s="1149">
        <v>30</v>
      </c>
    </row>
    <row r="107" spans="1:6" s="1100" customFormat="1" ht="36">
      <c r="A107" s="1149">
        <v>47</v>
      </c>
      <c r="B107" s="3440" t="s">
        <v>1598</v>
      </c>
      <c r="C107" s="1149" t="s">
        <v>1599</v>
      </c>
      <c r="D107" s="1063" t="s">
        <v>1600</v>
      </c>
      <c r="E107" s="1134">
        <v>0.3</v>
      </c>
      <c r="F107" s="1149">
        <v>50</v>
      </c>
    </row>
    <row r="108" spans="1:6" s="1100" customFormat="1" ht="48">
      <c r="A108" s="1149">
        <v>48</v>
      </c>
      <c r="B108" s="3440"/>
      <c r="C108" s="1149" t="s">
        <v>1601</v>
      </c>
      <c r="D108" s="1063" t="s">
        <v>1602</v>
      </c>
      <c r="E108" s="1134">
        <v>0.2</v>
      </c>
      <c r="F108" s="1149">
        <v>30</v>
      </c>
    </row>
    <row r="109" spans="1:6" s="1100" customFormat="1" ht="36">
      <c r="A109" s="1149">
        <v>49</v>
      </c>
      <c r="B109" s="1149" t="s">
        <v>1603</v>
      </c>
      <c r="C109" s="1149" t="s">
        <v>1604</v>
      </c>
      <c r="D109" s="1063" t="s">
        <v>1605</v>
      </c>
      <c r="E109" s="1134">
        <v>0.2</v>
      </c>
      <c r="F109" s="1149">
        <v>30</v>
      </c>
    </row>
    <row r="110" spans="1:6" s="1100" customFormat="1" ht="48">
      <c r="A110" s="1149">
        <v>50</v>
      </c>
      <c r="B110" s="1149" t="s">
        <v>1606</v>
      </c>
      <c r="C110" s="1149" t="s">
        <v>1607</v>
      </c>
      <c r="D110" s="1063" t="s">
        <v>1608</v>
      </c>
      <c r="E110" s="1134">
        <v>0.2</v>
      </c>
      <c r="F110" s="1149">
        <v>30</v>
      </c>
    </row>
    <row r="111" spans="1:6" s="1100" customFormat="1" ht="48">
      <c r="A111" s="1149">
        <v>51</v>
      </c>
      <c r="B111" s="3440" t="s">
        <v>1609</v>
      </c>
      <c r="C111" s="1149" t="s">
        <v>1610</v>
      </c>
      <c r="D111" s="1063" t="s">
        <v>1611</v>
      </c>
      <c r="E111" s="1134">
        <v>0.2</v>
      </c>
      <c r="F111" s="1149">
        <v>30</v>
      </c>
    </row>
    <row r="112" spans="1:6" s="1100" customFormat="1" ht="36">
      <c r="A112" s="1149">
        <v>52</v>
      </c>
      <c r="B112" s="3440"/>
      <c r="C112" s="1149" t="s">
        <v>1612</v>
      </c>
      <c r="D112" s="1063" t="s">
        <v>1613</v>
      </c>
      <c r="E112" s="1134">
        <v>0.2</v>
      </c>
      <c r="F112" s="1149">
        <v>30</v>
      </c>
    </row>
    <row r="113" spans="1:14" s="1100" customFormat="1" ht="36">
      <c r="A113" s="1149">
        <v>53</v>
      </c>
      <c r="B113" s="3440"/>
      <c r="C113" s="1149" t="s">
        <v>1614</v>
      </c>
      <c r="D113" s="1063" t="s">
        <v>1615</v>
      </c>
      <c r="E113" s="1134">
        <v>0.2</v>
      </c>
      <c r="F113" s="1149">
        <v>30</v>
      </c>
    </row>
    <row r="114" spans="1:14" ht="48">
      <c r="A114" s="1149">
        <v>54</v>
      </c>
      <c r="B114" s="1149" t="s">
        <v>1616</v>
      </c>
      <c r="C114" s="1149" t="s">
        <v>1617</v>
      </c>
      <c r="D114" s="1063" t="s">
        <v>1618</v>
      </c>
      <c r="E114" s="1134">
        <v>0.2</v>
      </c>
      <c r="F114" s="1149">
        <v>30</v>
      </c>
    </row>
    <row r="115" spans="1:14" ht="36">
      <c r="A115" s="1149">
        <v>55</v>
      </c>
      <c r="B115" s="1149" t="s">
        <v>1619</v>
      </c>
      <c r="C115" s="1149" t="s">
        <v>1620</v>
      </c>
      <c r="D115" s="1063" t="s">
        <v>1621</v>
      </c>
      <c r="E115" s="1134">
        <v>0.2</v>
      </c>
      <c r="F115" s="1149">
        <v>30</v>
      </c>
    </row>
    <row r="116" spans="1:14" ht="36">
      <c r="A116" s="1149">
        <v>56</v>
      </c>
      <c r="B116" s="3440" t="s">
        <v>1622</v>
      </c>
      <c r="C116" s="1149" t="s">
        <v>1623</v>
      </c>
      <c r="D116" s="1063" t="s">
        <v>1624</v>
      </c>
      <c r="E116" s="1134">
        <v>0.2</v>
      </c>
      <c r="F116" s="1149">
        <v>30</v>
      </c>
    </row>
    <row r="117" spans="1:14" ht="36">
      <c r="A117" s="1149">
        <v>57</v>
      </c>
      <c r="B117" s="3440"/>
      <c r="C117" s="1149" t="s">
        <v>1625</v>
      </c>
      <c r="D117" s="1063" t="s">
        <v>1626</v>
      </c>
      <c r="E117" s="1134">
        <v>0.2</v>
      </c>
      <c r="F117" s="1149">
        <v>30</v>
      </c>
    </row>
    <row r="118" spans="1:14" ht="36">
      <c r="A118" s="1149">
        <v>58</v>
      </c>
      <c r="B118" s="1149" t="s">
        <v>1627</v>
      </c>
      <c r="C118" s="1149" t="s">
        <v>1628</v>
      </c>
      <c r="D118" s="1063" t="s">
        <v>1629</v>
      </c>
      <c r="E118" s="1134">
        <v>0.2</v>
      </c>
      <c r="F118" s="1149">
        <v>30</v>
      </c>
    </row>
    <row r="119" spans="1:14" ht="14.4">
      <c r="A119" s="1149"/>
      <c r="B119" s="1149"/>
      <c r="C119" s="1149"/>
      <c r="D119" s="1149"/>
      <c r="E119" s="1134"/>
      <c r="F119" s="1149"/>
    </row>
    <row r="121" spans="1:14" ht="19.5" customHeight="1">
      <c r="A121" s="3439" t="s">
        <v>1631</v>
      </c>
      <c r="B121" s="3439"/>
      <c r="C121" s="3439"/>
      <c r="D121" s="3439"/>
      <c r="E121" s="3439"/>
      <c r="F121" s="3439"/>
      <c r="G121" s="3439"/>
      <c r="H121" s="3439"/>
      <c r="I121" s="3439"/>
      <c r="J121" s="3439"/>
      <c r="K121" s="1150"/>
      <c r="L121" s="1150"/>
      <c r="M121" s="1150"/>
      <c r="N121" s="115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0" customWidth="1"/>
    <col min="2" max="5" width="10.21875" style="1061" customWidth="1"/>
    <col min="6" max="6" width="9" style="1061"/>
    <col min="7" max="7" width="9" style="1064"/>
    <col min="8" max="8" width="9" style="1061"/>
    <col min="9" max="9" width="9" style="1064"/>
    <col min="10" max="16384" width="9" style="1061"/>
  </cols>
  <sheetData>
    <row r="1" spans="1:20">
      <c r="A1" s="3444" t="s">
        <v>1037</v>
      </c>
      <c r="B1" s="3444"/>
      <c r="C1" s="3444"/>
      <c r="D1" s="3444"/>
      <c r="E1" s="3444"/>
      <c r="F1" s="3444"/>
      <c r="H1" s="1065"/>
      <c r="I1" s="1066" t="s">
        <v>1038</v>
      </c>
      <c r="J1" s="1067" t="s">
        <v>1039</v>
      </c>
      <c r="K1" s="1067" t="s">
        <v>1040</v>
      </c>
      <c r="L1" s="1067" t="s">
        <v>1041</v>
      </c>
      <c r="M1" s="1067" t="s">
        <v>1042</v>
      </c>
      <c r="N1" s="1067" t="s">
        <v>1043</v>
      </c>
      <c r="O1" s="1067" t="s">
        <v>1044</v>
      </c>
      <c r="P1" s="1067" t="s">
        <v>1045</v>
      </c>
      <c r="Q1" s="1067" t="s">
        <v>1046</v>
      </c>
      <c r="R1" s="1067" t="s">
        <v>1047</v>
      </c>
      <c r="S1" s="1067" t="s">
        <v>1048</v>
      </c>
      <c r="T1" s="1068" t="s">
        <v>1049</v>
      </c>
    </row>
    <row r="2" spans="1:20" ht="15" thickBot="1">
      <c r="A2" s="3445" t="s">
        <v>1050</v>
      </c>
      <c r="B2" s="3445"/>
      <c r="C2" s="3445"/>
      <c r="D2" s="3445"/>
      <c r="E2" s="3445"/>
      <c r="F2" s="3445"/>
      <c r="I2" s="1069" t="s">
        <v>1051</v>
      </c>
      <c r="J2" s="1070" t="s">
        <v>1052</v>
      </c>
      <c r="K2" s="1070" t="s">
        <v>1053</v>
      </c>
      <c r="L2" s="1070" t="s">
        <v>1054</v>
      </c>
      <c r="M2" s="1070" t="s">
        <v>1055</v>
      </c>
      <c r="N2" s="1070" t="s">
        <v>1056</v>
      </c>
      <c r="O2" s="1070" t="s">
        <v>1057</v>
      </c>
      <c r="P2" s="1070" t="s">
        <v>1058</v>
      </c>
      <c r="Q2" s="1070" t="s">
        <v>1059</v>
      </c>
      <c r="R2" s="1070" t="s">
        <v>1060</v>
      </c>
      <c r="S2" s="1070" t="s">
        <v>1061</v>
      </c>
      <c r="T2" s="1070" t="s">
        <v>1062</v>
      </c>
    </row>
    <row r="3" spans="1:20" s="1065" customFormat="1" ht="19.5" customHeight="1">
      <c r="A3" s="3446" t="s">
        <v>1063</v>
      </c>
      <c r="B3" s="1071"/>
      <c r="C3" s="1072" t="s">
        <v>1064</v>
      </c>
      <c r="D3" s="1072" t="s">
        <v>1065</v>
      </c>
      <c r="E3" s="1072" t="s">
        <v>1066</v>
      </c>
      <c r="F3" s="1072" t="s">
        <v>1067</v>
      </c>
      <c r="G3" s="1073"/>
      <c r="I3" s="1069" t="s">
        <v>1068</v>
      </c>
      <c r="J3" s="1070" t="s">
        <v>1069</v>
      </c>
      <c r="K3" s="1070" t="s">
        <v>1070</v>
      </c>
      <c r="L3" s="1070" t="s">
        <v>1071</v>
      </c>
      <c r="M3" s="1070" t="s">
        <v>1072</v>
      </c>
      <c r="N3" s="1070" t="s">
        <v>1073</v>
      </c>
      <c r="O3" s="1070" t="s">
        <v>1074</v>
      </c>
      <c r="P3" s="1070" t="s">
        <v>1075</v>
      </c>
      <c r="Q3" s="1070" t="s">
        <v>1076</v>
      </c>
      <c r="R3" s="1070" t="s">
        <v>1077</v>
      </c>
      <c r="S3" s="1070" t="s">
        <v>1078</v>
      </c>
      <c r="T3" s="1070" t="s">
        <v>1079</v>
      </c>
    </row>
    <row r="4" spans="1:20" s="1065" customFormat="1" ht="19.5" customHeight="1" thickBot="1">
      <c r="A4" s="3447"/>
      <c r="B4" s="1074" t="s">
        <v>1080</v>
      </c>
      <c r="C4" s="1074" t="s">
        <v>1081</v>
      </c>
      <c r="D4" s="1074" t="s">
        <v>1081</v>
      </c>
      <c r="E4" s="1074" t="s">
        <v>1081</v>
      </c>
      <c r="F4" s="1075" t="s">
        <v>1081</v>
      </c>
      <c r="G4" s="1073"/>
      <c r="I4" s="1069" t="s">
        <v>1082</v>
      </c>
      <c r="J4" s="1070" t="s">
        <v>1083</v>
      </c>
      <c r="K4" s="1070" t="s">
        <v>1084</v>
      </c>
      <c r="L4" s="1070" t="s">
        <v>1085</v>
      </c>
      <c r="M4" s="1070" t="s">
        <v>1086</v>
      </c>
      <c r="N4" s="1070" t="s">
        <v>1087</v>
      </c>
      <c r="O4" s="1070" t="s">
        <v>1088</v>
      </c>
      <c r="P4" s="1070" t="s">
        <v>1089</v>
      </c>
      <c r="Q4" s="1070" t="s">
        <v>1090</v>
      </c>
      <c r="R4" s="1070" t="s">
        <v>1091</v>
      </c>
      <c r="S4" s="1070" t="s">
        <v>1092</v>
      </c>
      <c r="T4" s="1070" t="s">
        <v>1093</v>
      </c>
    </row>
    <row r="5" spans="1:20" ht="14.25" customHeight="1" thickBot="1">
      <c r="A5" s="1076" t="s">
        <v>1094</v>
      </c>
      <c r="B5" s="1077" t="s">
        <v>1051</v>
      </c>
      <c r="C5" s="1077">
        <v>29530</v>
      </c>
      <c r="D5" s="1077">
        <v>28130</v>
      </c>
      <c r="E5" s="1077">
        <v>27930</v>
      </c>
      <c r="F5" s="1078">
        <v>11300</v>
      </c>
      <c r="G5" s="1079" t="s">
        <v>1038</v>
      </c>
      <c r="H5" s="1080">
        <f>SUMPRODUCT((B5:B9=基准地价!I2)*(C3:F3=基准地价!E2)*(C5:F9))</f>
        <v>0</v>
      </c>
      <c r="I5" s="1069" t="s">
        <v>1095</v>
      </c>
      <c r="J5" s="1070" t="s">
        <v>1096</v>
      </c>
      <c r="K5" s="1070" t="s">
        <v>1097</v>
      </c>
      <c r="L5" s="1070" t="s">
        <v>1098</v>
      </c>
      <c r="M5" s="1070" t="s">
        <v>1099</v>
      </c>
      <c r="N5" s="1070" t="s">
        <v>1100</v>
      </c>
      <c r="O5" s="1070" t="s">
        <v>1101</v>
      </c>
      <c r="P5" s="1070" t="s">
        <v>1102</v>
      </c>
      <c r="Q5" s="1070" t="s">
        <v>1103</v>
      </c>
      <c r="R5" s="1070" t="s">
        <v>1104</v>
      </c>
      <c r="S5" s="1070" t="s">
        <v>1105</v>
      </c>
      <c r="T5" s="1070" t="s">
        <v>1106</v>
      </c>
    </row>
    <row r="6" spans="1:20" ht="14.25" customHeight="1" thickBot="1">
      <c r="A6" s="1076" t="s">
        <v>1094</v>
      </c>
      <c r="B6" s="1070" t="s">
        <v>1107</v>
      </c>
      <c r="C6" s="1070">
        <v>30290</v>
      </c>
      <c r="D6" s="1070">
        <v>29210</v>
      </c>
      <c r="E6" s="1070">
        <v>28860</v>
      </c>
      <c r="F6" s="1081">
        <v>12600</v>
      </c>
      <c r="G6" s="1082" t="s">
        <v>1108</v>
      </c>
      <c r="H6" s="1083">
        <f>SUMPRODUCT((B10:B28=基准地价!I2)*(C3:F3=基准地价!E2)*(C10:F28))</f>
        <v>0</v>
      </c>
      <c r="I6" s="1069" t="s">
        <v>1109</v>
      </c>
      <c r="J6" s="1070" t="s">
        <v>1110</v>
      </c>
      <c r="K6" s="1070" t="s">
        <v>1111</v>
      </c>
      <c r="L6" s="1070" t="s">
        <v>1112</v>
      </c>
      <c r="M6" s="1070" t="s">
        <v>1113</v>
      </c>
      <c r="N6" s="1070" t="s">
        <v>1114</v>
      </c>
      <c r="O6" s="1070" t="s">
        <v>1115</v>
      </c>
      <c r="P6" s="1070" t="s">
        <v>1116</v>
      </c>
      <c r="Q6" s="1070" t="s">
        <v>1117</v>
      </c>
      <c r="R6" s="1070" t="s">
        <v>1118</v>
      </c>
      <c r="S6" s="1070" t="s">
        <v>1119</v>
      </c>
      <c r="T6" s="1070" t="s">
        <v>1120</v>
      </c>
    </row>
    <row r="7" spans="1:20" ht="14.25" customHeight="1" thickBot="1">
      <c r="A7" s="1076" t="s">
        <v>1094</v>
      </c>
      <c r="B7" s="1084" t="s">
        <v>1082</v>
      </c>
      <c r="C7" s="1070">
        <v>29350</v>
      </c>
      <c r="D7" s="1070">
        <v>28410</v>
      </c>
      <c r="E7" s="1070">
        <v>27990</v>
      </c>
      <c r="F7" s="1081">
        <v>12300</v>
      </c>
      <c r="G7" s="1082" t="s">
        <v>907</v>
      </c>
      <c r="H7" s="1083">
        <f>SUMPRODUCT((B29:B48=基准地价!I2)*(C3:F3=基准地价!E2)*(C29:F48))</f>
        <v>0</v>
      </c>
      <c r="J7" s="1070" t="s">
        <v>1121</v>
      </c>
      <c r="K7" s="1070" t="s">
        <v>1122</v>
      </c>
      <c r="L7" s="1070" t="s">
        <v>1123</v>
      </c>
      <c r="M7" s="1070" t="s">
        <v>1124</v>
      </c>
      <c r="N7" s="1070" t="s">
        <v>1125</v>
      </c>
      <c r="O7" s="1070" t="s">
        <v>1126</v>
      </c>
      <c r="P7" s="1070" t="s">
        <v>1127</v>
      </c>
      <c r="Q7" s="1070" t="s">
        <v>1128</v>
      </c>
      <c r="R7" s="1070" t="s">
        <v>1129</v>
      </c>
      <c r="S7" s="1070" t="s">
        <v>1130</v>
      </c>
      <c r="T7" s="1084" t="s">
        <v>1131</v>
      </c>
    </row>
    <row r="8" spans="1:20" ht="14.25" customHeight="1" thickBot="1">
      <c r="A8" s="1076" t="s">
        <v>1094</v>
      </c>
      <c r="B8" s="1070" t="s">
        <v>1095</v>
      </c>
      <c r="C8" s="1070">
        <v>30890</v>
      </c>
      <c r="D8" s="1070">
        <v>29780</v>
      </c>
      <c r="E8" s="1070">
        <v>29270</v>
      </c>
      <c r="F8" s="1081">
        <v>11600</v>
      </c>
      <c r="G8" s="1082" t="s">
        <v>908</v>
      </c>
      <c r="H8" s="1083">
        <f>SUMPRODUCT((B49:B75=基准地价!I2)*(C3:F3=基准地价!E2)*(C49:F75))</f>
        <v>0</v>
      </c>
      <c r="J8" s="1070" t="s">
        <v>1132</v>
      </c>
      <c r="K8" s="1070" t="s">
        <v>1133</v>
      </c>
      <c r="L8" s="1070" t="s">
        <v>1134</v>
      </c>
      <c r="M8" s="1070" t="s">
        <v>1135</v>
      </c>
      <c r="N8" s="1070" t="s">
        <v>1136</v>
      </c>
      <c r="O8" s="1070" t="s">
        <v>1137</v>
      </c>
      <c r="P8" s="1070" t="s">
        <v>1138</v>
      </c>
      <c r="Q8" s="1070" t="s">
        <v>1139</v>
      </c>
      <c r="R8" s="1070" t="s">
        <v>1140</v>
      </c>
      <c r="S8" s="1070" t="s">
        <v>1141</v>
      </c>
      <c r="T8" s="1070" t="s">
        <v>1142</v>
      </c>
    </row>
    <row r="9" spans="1:20" ht="14.25" customHeight="1" thickBot="1">
      <c r="A9" s="1076" t="s">
        <v>1094</v>
      </c>
      <c r="B9" s="1085" t="s">
        <v>1109</v>
      </c>
      <c r="C9" s="1086">
        <v>28140</v>
      </c>
      <c r="D9" s="1086"/>
      <c r="E9" s="1086"/>
      <c r="F9" s="1087"/>
      <c r="G9" s="1082" t="s">
        <v>909</v>
      </c>
      <c r="H9" s="1083">
        <f>SUMPRODUCT((B76:B109=基准地价!I2)*(C3:F3=基准地价!E2)*(C76:F109))</f>
        <v>0</v>
      </c>
      <c r="J9" s="1070" t="s">
        <v>1143</v>
      </c>
      <c r="K9" s="1070" t="s">
        <v>1144</v>
      </c>
      <c r="L9" s="1070" t="s">
        <v>1145</v>
      </c>
      <c r="M9" s="1070" t="s">
        <v>1146</v>
      </c>
      <c r="N9" s="1070" t="s">
        <v>1147</v>
      </c>
      <c r="O9" s="1070" t="s">
        <v>1148</v>
      </c>
      <c r="P9" s="1070" t="s">
        <v>1149</v>
      </c>
      <c r="Q9" s="1070" t="s">
        <v>1150</v>
      </c>
      <c r="R9" s="1070" t="s">
        <v>1151</v>
      </c>
      <c r="S9" s="1070" t="s">
        <v>1152</v>
      </c>
    </row>
    <row r="10" spans="1:20" ht="14.25" customHeight="1" thickBot="1">
      <c r="A10" s="1076" t="s">
        <v>1153</v>
      </c>
      <c r="B10" s="1077" t="s">
        <v>1154</v>
      </c>
      <c r="C10" s="1077">
        <v>27450</v>
      </c>
      <c r="D10" s="1077">
        <v>26180</v>
      </c>
      <c r="E10" s="1077">
        <v>25980</v>
      </c>
      <c r="F10" s="1078">
        <v>8910</v>
      </c>
      <c r="G10" s="1082" t="s">
        <v>910</v>
      </c>
      <c r="H10" s="1083">
        <f>SUMPRODUCT((B110:B157=基准地价!I2)*(C3:F3=基准地价!E2)*(C110:F157))</f>
        <v>0</v>
      </c>
      <c r="J10" s="1070" t="s">
        <v>1155</v>
      </c>
      <c r="K10" s="1070" t="s">
        <v>1156</v>
      </c>
      <c r="L10" s="1070" t="s">
        <v>1157</v>
      </c>
      <c r="M10" s="1070" t="s">
        <v>1158</v>
      </c>
      <c r="N10" s="1070" t="s">
        <v>1159</v>
      </c>
      <c r="O10" s="1070" t="s">
        <v>1160</v>
      </c>
      <c r="P10" s="1070" t="s">
        <v>1161</v>
      </c>
      <c r="Q10" s="1070" t="s">
        <v>1162</v>
      </c>
      <c r="R10" s="1070" t="s">
        <v>1163</v>
      </c>
      <c r="S10" s="1070" t="s">
        <v>1164</v>
      </c>
    </row>
    <row r="11" spans="1:20" ht="14.25" customHeight="1" thickBot="1">
      <c r="A11" s="1076" t="s">
        <v>1153</v>
      </c>
      <c r="B11" s="1084" t="s">
        <v>1069</v>
      </c>
      <c r="C11" s="1070">
        <v>22950</v>
      </c>
      <c r="D11" s="1070">
        <v>22630</v>
      </c>
      <c r="E11" s="1070">
        <v>22030</v>
      </c>
      <c r="F11" s="1088">
        <v>8330</v>
      </c>
      <c r="G11" s="1082" t="s">
        <v>911</v>
      </c>
      <c r="H11" s="1083">
        <f>SUMPRODUCT((B158:B205=基准地价!I2)*(C3:F3=基准地价!E2)*(C158:F205))</f>
        <v>0</v>
      </c>
      <c r="J11" s="1070" t="s">
        <v>1165</v>
      </c>
      <c r="K11" s="1070" t="s">
        <v>1166</v>
      </c>
      <c r="L11" s="1070" t="s">
        <v>1167</v>
      </c>
      <c r="M11" s="1070" t="s">
        <v>1168</v>
      </c>
      <c r="N11" s="1070" t="s">
        <v>1169</v>
      </c>
      <c r="O11" s="1070" t="s">
        <v>1170</v>
      </c>
      <c r="P11" s="1070" t="s">
        <v>1171</v>
      </c>
      <c r="Q11" s="1070" t="s">
        <v>1172</v>
      </c>
      <c r="R11" s="1070" t="s">
        <v>1173</v>
      </c>
      <c r="S11" s="1070" t="s">
        <v>1174</v>
      </c>
    </row>
    <row r="12" spans="1:20" ht="14.25" customHeight="1" thickBot="1">
      <c r="A12" s="1076" t="s">
        <v>1153</v>
      </c>
      <c r="B12" s="1084" t="s">
        <v>1083</v>
      </c>
      <c r="C12" s="1070">
        <v>24940</v>
      </c>
      <c r="D12" s="1070">
        <v>23180</v>
      </c>
      <c r="E12" s="1070">
        <v>22910</v>
      </c>
      <c r="F12" s="1088">
        <v>7180</v>
      </c>
      <c r="G12" s="1082" t="s">
        <v>912</v>
      </c>
      <c r="H12" s="1083">
        <f>SUMPRODUCT((B206:B244=基准地价!I2)*(C3:F3=基准地价!E2)*(C206:F244))</f>
        <v>0</v>
      </c>
      <c r="J12" s="1070" t="s">
        <v>1175</v>
      </c>
      <c r="K12" s="1070" t="s">
        <v>1176</v>
      </c>
      <c r="L12" s="1070" t="s">
        <v>1177</v>
      </c>
      <c r="M12" s="1070" t="s">
        <v>1178</v>
      </c>
      <c r="N12" s="1070" t="s">
        <v>1179</v>
      </c>
      <c r="O12" s="1070" t="s">
        <v>1180</v>
      </c>
      <c r="P12" s="1070" t="s">
        <v>1181</v>
      </c>
      <c r="Q12" s="1070" t="s">
        <v>1182</v>
      </c>
      <c r="R12" s="1070" t="s">
        <v>1183</v>
      </c>
      <c r="S12" s="1070" t="s">
        <v>1184</v>
      </c>
    </row>
    <row r="13" spans="1:20" ht="14.25" customHeight="1" thickBot="1">
      <c r="A13" s="1076" t="s">
        <v>1153</v>
      </c>
      <c r="B13" s="1084" t="s">
        <v>1096</v>
      </c>
      <c r="C13" s="1070">
        <v>24140</v>
      </c>
      <c r="D13" s="1070">
        <v>22270</v>
      </c>
      <c r="E13" s="1070">
        <v>21950</v>
      </c>
      <c r="F13" s="1088">
        <v>7600</v>
      </c>
      <c r="G13" s="1082" t="s">
        <v>913</v>
      </c>
      <c r="H13" s="1083">
        <f>SUMPRODUCT((B245:B289=基准地价!I2)*(C3:F3=基准地价!E2)*(C245:F289))</f>
        <v>0</v>
      </c>
      <c r="J13" s="1070" t="s">
        <v>1185</v>
      </c>
      <c r="K13" s="1070" t="s">
        <v>1186</v>
      </c>
      <c r="L13" s="1070" t="s">
        <v>1187</v>
      </c>
      <c r="M13" s="1070" t="s">
        <v>1188</v>
      </c>
      <c r="N13" s="1070" t="s">
        <v>1189</v>
      </c>
      <c r="O13" s="1070" t="s">
        <v>1190</v>
      </c>
      <c r="P13" s="1070" t="s">
        <v>1191</v>
      </c>
      <c r="Q13" s="1070" t="s">
        <v>1192</v>
      </c>
      <c r="R13" s="1070" t="s">
        <v>1193</v>
      </c>
      <c r="S13" s="1070" t="s">
        <v>1194</v>
      </c>
    </row>
    <row r="14" spans="1:20" ht="14.25" customHeight="1" thickBot="1">
      <c r="A14" s="1076" t="s">
        <v>1153</v>
      </c>
      <c r="B14" s="1084" t="s">
        <v>1110</v>
      </c>
      <c r="C14" s="1070">
        <v>25600</v>
      </c>
      <c r="D14" s="1070">
        <v>22260</v>
      </c>
      <c r="E14" s="1070">
        <v>22110</v>
      </c>
      <c r="F14" s="1088">
        <v>7630</v>
      </c>
      <c r="G14" s="1082" t="s">
        <v>914</v>
      </c>
      <c r="H14" s="1083">
        <f>SUMPRODUCT((B290:B316=基准地价!I2)*(C3:F3=基准地价!E2)*(C290:F316))</f>
        <v>0</v>
      </c>
      <c r="J14" s="1070" t="s">
        <v>1195</v>
      </c>
      <c r="K14" s="1070" t="s">
        <v>1196</v>
      </c>
      <c r="L14" s="1070" t="s">
        <v>1197</v>
      </c>
      <c r="M14" s="1070" t="s">
        <v>1198</v>
      </c>
      <c r="N14" s="1070" t="s">
        <v>1199</v>
      </c>
      <c r="O14" s="1070" t="s">
        <v>1200</v>
      </c>
      <c r="P14" s="1070" t="s">
        <v>1201</v>
      </c>
      <c r="Q14" s="1070" t="s">
        <v>1202</v>
      </c>
      <c r="R14" s="1070" t="s">
        <v>1203</v>
      </c>
      <c r="S14" s="1070" t="s">
        <v>1204</v>
      </c>
    </row>
    <row r="15" spans="1:20" ht="14.25" customHeight="1" thickBot="1">
      <c r="A15" s="1076" t="s">
        <v>1153</v>
      </c>
      <c r="B15" s="1084" t="s">
        <v>1121</v>
      </c>
      <c r="C15" s="1070">
        <v>24760</v>
      </c>
      <c r="D15" s="1070">
        <v>24440</v>
      </c>
      <c r="E15" s="1070">
        <v>24130</v>
      </c>
      <c r="F15" s="1088">
        <v>9480</v>
      </c>
      <c r="G15" s="1082" t="s">
        <v>915</v>
      </c>
      <c r="H15" s="1083">
        <f>SUMPRODUCT((B317:B337=基准地价!I2)*(C3:F3=基准地价!E2)*(C317:F337))</f>
        <v>0</v>
      </c>
      <c r="J15" s="1070" t="s">
        <v>1205</v>
      </c>
      <c r="K15" s="1070" t="s">
        <v>1206</v>
      </c>
      <c r="L15" s="1070" t="s">
        <v>1207</v>
      </c>
      <c r="M15" s="1070" t="s">
        <v>1208</v>
      </c>
      <c r="N15" s="1070" t="s">
        <v>1209</v>
      </c>
      <c r="O15" s="1070" t="s">
        <v>1210</v>
      </c>
      <c r="P15" s="1070" t="s">
        <v>1211</v>
      </c>
      <c r="Q15" s="1070" t="s">
        <v>1212</v>
      </c>
      <c r="R15" s="1070" t="s">
        <v>1213</v>
      </c>
      <c r="S15" s="1070" t="s">
        <v>1214</v>
      </c>
    </row>
    <row r="16" spans="1:20" ht="14.25" customHeight="1" thickBot="1">
      <c r="A16" s="1076" t="s">
        <v>1153</v>
      </c>
      <c r="B16" s="1084" t="s">
        <v>1132</v>
      </c>
      <c r="C16" s="1070">
        <v>22220</v>
      </c>
      <c r="D16" s="1070">
        <v>22310</v>
      </c>
      <c r="E16" s="1070">
        <v>22000</v>
      </c>
      <c r="F16" s="1088">
        <v>8900</v>
      </c>
      <c r="G16" s="1089" t="s">
        <v>916</v>
      </c>
      <c r="H16" s="1090">
        <f>SUMPRODUCT((B338:B344=基准地价!I2)*(C3:F3=基准地价!E2)*(C338:F344))</f>
        <v>0</v>
      </c>
      <c r="J16" s="1070" t="s">
        <v>1215</v>
      </c>
      <c r="K16" s="1070" t="s">
        <v>1216</v>
      </c>
      <c r="L16" s="1070" t="s">
        <v>1217</v>
      </c>
      <c r="M16" s="1070" t="s">
        <v>1218</v>
      </c>
      <c r="N16" s="1070" t="s">
        <v>1219</v>
      </c>
      <c r="O16" s="1070" t="s">
        <v>1220</v>
      </c>
      <c r="P16" s="1070" t="s">
        <v>1221</v>
      </c>
      <c r="Q16" s="1070" t="s">
        <v>1222</v>
      </c>
      <c r="R16" s="1070" t="s">
        <v>1223</v>
      </c>
      <c r="S16" s="1070" t="s">
        <v>1224</v>
      </c>
    </row>
    <row r="17" spans="1:19" ht="14.25" customHeight="1" thickBot="1">
      <c r="A17" s="1076" t="s">
        <v>1153</v>
      </c>
      <c r="B17" s="1084" t="s">
        <v>1143</v>
      </c>
      <c r="C17" s="1070">
        <v>24700</v>
      </c>
      <c r="D17" s="1070">
        <v>25150</v>
      </c>
      <c r="E17" s="1070">
        <v>24700</v>
      </c>
      <c r="F17" s="1091"/>
      <c r="H17" s="1092"/>
      <c r="J17" s="1070" t="s">
        <v>1225</v>
      </c>
      <c r="K17" s="1070" t="s">
        <v>1226</v>
      </c>
      <c r="L17" s="1070" t="s">
        <v>1227</v>
      </c>
      <c r="M17" s="1070" t="s">
        <v>1228</v>
      </c>
      <c r="N17" s="1070" t="s">
        <v>1229</v>
      </c>
      <c r="O17" s="1070" t="s">
        <v>1230</v>
      </c>
      <c r="P17" s="1070" t="s">
        <v>1231</v>
      </c>
      <c r="Q17" s="1070" t="s">
        <v>1232</v>
      </c>
      <c r="R17" s="1070" t="s">
        <v>1233</v>
      </c>
      <c r="S17" s="1070" t="s">
        <v>1234</v>
      </c>
    </row>
    <row r="18" spans="1:19" ht="14.25" customHeight="1" thickBot="1">
      <c r="A18" s="1076" t="s">
        <v>1153</v>
      </c>
      <c r="B18" s="1084" t="s">
        <v>1155</v>
      </c>
      <c r="C18" s="1070">
        <v>22350</v>
      </c>
      <c r="D18" s="1070">
        <v>24340</v>
      </c>
      <c r="E18" s="1070">
        <v>24100</v>
      </c>
      <c r="F18" s="1091"/>
      <c r="H18" s="1092"/>
      <c r="J18" s="1070" t="s">
        <v>1235</v>
      </c>
      <c r="K18" s="1070" t="s">
        <v>1236</v>
      </c>
      <c r="L18" s="1070" t="s">
        <v>1237</v>
      </c>
      <c r="M18" s="1070" t="s">
        <v>1238</v>
      </c>
      <c r="N18" s="1070" t="s">
        <v>1239</v>
      </c>
      <c r="O18" s="1070" t="s">
        <v>1240</v>
      </c>
      <c r="P18" s="1070" t="s">
        <v>1241</v>
      </c>
      <c r="Q18" s="1070" t="s">
        <v>1242</v>
      </c>
      <c r="R18" s="1070" t="s">
        <v>1243</v>
      </c>
      <c r="S18" s="1070" t="s">
        <v>1244</v>
      </c>
    </row>
    <row r="19" spans="1:19" ht="14.25" customHeight="1" thickBot="1">
      <c r="A19" s="1076" t="s">
        <v>1153</v>
      </c>
      <c r="B19" s="1084" t="s">
        <v>1165</v>
      </c>
      <c r="C19" s="1070">
        <v>23430</v>
      </c>
      <c r="D19" s="1070">
        <v>21580</v>
      </c>
      <c r="E19" s="1070">
        <v>21350</v>
      </c>
      <c r="F19" s="1091"/>
      <c r="H19" s="1092"/>
      <c r="J19" s="1070" t="s">
        <v>1245</v>
      </c>
      <c r="K19" s="1070" t="s">
        <v>1246</v>
      </c>
      <c r="L19" s="1070" t="s">
        <v>1247</v>
      </c>
      <c r="M19" s="1070" t="s">
        <v>1248</v>
      </c>
      <c r="N19" s="1070" t="s">
        <v>1249</v>
      </c>
      <c r="O19" s="1070" t="s">
        <v>1250</v>
      </c>
      <c r="P19" s="1070" t="s">
        <v>1251</v>
      </c>
      <c r="Q19" s="1070" t="s">
        <v>1252</v>
      </c>
      <c r="R19" s="1070" t="s">
        <v>1253</v>
      </c>
      <c r="S19" s="1070" t="s">
        <v>1254</v>
      </c>
    </row>
    <row r="20" spans="1:19" ht="14.25" customHeight="1" thickBot="1">
      <c r="A20" s="1076" t="s">
        <v>1153</v>
      </c>
      <c r="B20" s="1084" t="s">
        <v>1175</v>
      </c>
      <c r="C20" s="1070">
        <v>27660</v>
      </c>
      <c r="D20" s="1070">
        <v>24240</v>
      </c>
      <c r="E20" s="1070">
        <v>24020</v>
      </c>
      <c r="F20" s="1091"/>
      <c r="J20" s="1070" t="s">
        <v>1255</v>
      </c>
      <c r="K20" s="1070" t="s">
        <v>1256</v>
      </c>
      <c r="L20" s="1070" t="s">
        <v>1257</v>
      </c>
      <c r="M20" s="1070" t="s">
        <v>1258</v>
      </c>
      <c r="N20" s="1070" t="s">
        <v>1259</v>
      </c>
      <c r="O20" s="1070" t="s">
        <v>1260</v>
      </c>
      <c r="P20" s="1070" t="s">
        <v>1261</v>
      </c>
      <c r="Q20" s="1070" t="s">
        <v>1262</v>
      </c>
      <c r="R20" s="1070" t="s">
        <v>1263</v>
      </c>
      <c r="S20" s="1070" t="s">
        <v>1264</v>
      </c>
    </row>
    <row r="21" spans="1:19" ht="14.25" customHeight="1" thickBot="1">
      <c r="A21" s="1076" t="s">
        <v>1153</v>
      </c>
      <c r="B21" s="1084" t="s">
        <v>1185</v>
      </c>
      <c r="C21" s="1070">
        <v>24720</v>
      </c>
      <c r="D21" s="1070">
        <v>21670</v>
      </c>
      <c r="E21" s="1070">
        <v>21510</v>
      </c>
      <c r="F21" s="1091"/>
      <c r="K21" s="1070" t="s">
        <v>1265</v>
      </c>
      <c r="L21" s="1070" t="s">
        <v>1266</v>
      </c>
      <c r="M21" s="1070" t="s">
        <v>1267</v>
      </c>
      <c r="N21" s="1070" t="s">
        <v>1268</v>
      </c>
      <c r="O21" s="1070" t="s">
        <v>1269</v>
      </c>
      <c r="P21" s="1070" t="s">
        <v>1270</v>
      </c>
      <c r="Q21" s="1070" t="s">
        <v>1271</v>
      </c>
      <c r="R21" s="1070" t="s">
        <v>1272</v>
      </c>
      <c r="S21" s="1070" t="s">
        <v>1273</v>
      </c>
    </row>
    <row r="22" spans="1:19" ht="14.25" customHeight="1" thickBot="1">
      <c r="A22" s="1076" t="s">
        <v>1153</v>
      </c>
      <c r="B22" s="1084" t="s">
        <v>1274</v>
      </c>
      <c r="C22" s="1070">
        <v>26530</v>
      </c>
      <c r="D22" s="1070">
        <v>22980</v>
      </c>
      <c r="E22" s="1070">
        <v>22650</v>
      </c>
      <c r="F22" s="1091"/>
      <c r="L22" s="1070" t="s">
        <v>1275</v>
      </c>
      <c r="M22" s="1070" t="s">
        <v>1276</v>
      </c>
      <c r="N22" s="1070" t="s">
        <v>1277</v>
      </c>
      <c r="O22" s="1070" t="s">
        <v>1278</v>
      </c>
      <c r="P22" s="1070" t="s">
        <v>1279</v>
      </c>
      <c r="Q22" s="1070" t="s">
        <v>1280</v>
      </c>
      <c r="R22" s="1070" t="s">
        <v>1281</v>
      </c>
      <c r="S22" s="1084" t="s">
        <v>1282</v>
      </c>
    </row>
    <row r="23" spans="1:19" ht="14.25" customHeight="1" thickBot="1">
      <c r="A23" s="1076" t="s">
        <v>1153</v>
      </c>
      <c r="B23" s="1084" t="s">
        <v>1205</v>
      </c>
      <c r="C23" s="1070">
        <v>24700</v>
      </c>
      <c r="D23" s="1070">
        <v>27290</v>
      </c>
      <c r="E23" s="1070">
        <v>26710</v>
      </c>
      <c r="F23" s="1091"/>
      <c r="L23" s="1070" t="s">
        <v>1283</v>
      </c>
      <c r="M23" s="1070" t="s">
        <v>1284</v>
      </c>
      <c r="N23" s="1070" t="s">
        <v>1285</v>
      </c>
      <c r="O23" s="1070" t="s">
        <v>1286</v>
      </c>
      <c r="P23" s="1070" t="s">
        <v>1287</v>
      </c>
      <c r="Q23" s="1070" t="s">
        <v>1288</v>
      </c>
      <c r="R23" s="1070" t="s">
        <v>1289</v>
      </c>
    </row>
    <row r="24" spans="1:19" ht="14.25" customHeight="1" thickBot="1">
      <c r="A24" s="1076" t="s">
        <v>1153</v>
      </c>
      <c r="B24" s="1084" t="s">
        <v>1215</v>
      </c>
      <c r="C24" s="1070">
        <v>23070</v>
      </c>
      <c r="D24" s="1070">
        <v>24130</v>
      </c>
      <c r="E24" s="1070">
        <v>23860</v>
      </c>
      <c r="F24" s="1091"/>
      <c r="L24" s="1070" t="s">
        <v>1290</v>
      </c>
      <c r="M24" s="1070" t="s">
        <v>1291</v>
      </c>
      <c r="N24" s="1070" t="s">
        <v>1292</v>
      </c>
      <c r="O24" s="1070" t="s">
        <v>1293</v>
      </c>
      <c r="P24" s="1070" t="s">
        <v>1294</v>
      </c>
      <c r="Q24" s="1070" t="s">
        <v>1295</v>
      </c>
      <c r="R24" s="1070" t="s">
        <v>1296</v>
      </c>
    </row>
    <row r="25" spans="1:19" ht="14.25" customHeight="1" thickBot="1">
      <c r="A25" s="1076" t="s">
        <v>1153</v>
      </c>
      <c r="B25" s="1084" t="s">
        <v>1225</v>
      </c>
      <c r="C25" s="1070">
        <v>27550</v>
      </c>
      <c r="D25" s="1070">
        <v>25850</v>
      </c>
      <c r="E25" s="1070">
        <v>25340</v>
      </c>
      <c r="F25" s="1091"/>
      <c r="L25" s="1070" t="s">
        <v>1297</v>
      </c>
      <c r="M25" s="1070" t="s">
        <v>1298</v>
      </c>
      <c r="N25" s="1070" t="s">
        <v>1299</v>
      </c>
      <c r="O25" s="1070" t="s">
        <v>1300</v>
      </c>
      <c r="P25" s="1070" t="s">
        <v>1301</v>
      </c>
      <c r="Q25" s="1070" t="s">
        <v>1302</v>
      </c>
      <c r="R25" s="1070" t="s">
        <v>1303</v>
      </c>
    </row>
    <row r="26" spans="1:19" ht="14.25" customHeight="1" thickBot="1">
      <c r="A26" s="1076" t="s">
        <v>1153</v>
      </c>
      <c r="B26" s="1084" t="s">
        <v>1235</v>
      </c>
      <c r="C26" s="1070"/>
      <c r="D26" s="1070">
        <v>23900</v>
      </c>
      <c r="E26" s="1070">
        <v>23590</v>
      </c>
      <c r="F26" s="1091"/>
      <c r="L26" s="1070" t="s">
        <v>1304</v>
      </c>
      <c r="M26" s="1070" t="s">
        <v>1305</v>
      </c>
      <c r="N26" s="1070" t="s">
        <v>1306</v>
      </c>
      <c r="O26" s="1070" t="s">
        <v>1307</v>
      </c>
      <c r="P26" s="1070" t="s">
        <v>1308</v>
      </c>
      <c r="Q26" s="1070" t="s">
        <v>1309</v>
      </c>
      <c r="R26" s="1070" t="s">
        <v>1310</v>
      </c>
    </row>
    <row r="27" spans="1:19" ht="14.25" customHeight="1" thickBot="1">
      <c r="A27" s="1076" t="s">
        <v>1153</v>
      </c>
      <c r="B27" s="1084" t="s">
        <v>1245</v>
      </c>
      <c r="C27" s="1070"/>
      <c r="D27" s="1070">
        <v>22850</v>
      </c>
      <c r="E27" s="1070">
        <v>21920</v>
      </c>
      <c r="F27" s="1091"/>
      <c r="L27" s="1070" t="s">
        <v>1311</v>
      </c>
      <c r="M27" s="1070" t="s">
        <v>1312</v>
      </c>
      <c r="N27" s="1070" t="s">
        <v>1313</v>
      </c>
      <c r="O27" s="1070" t="s">
        <v>1314</v>
      </c>
      <c r="P27" s="1070" t="s">
        <v>1315</v>
      </c>
      <c r="Q27" s="1070" t="s">
        <v>1316</v>
      </c>
      <c r="R27" s="1070" t="s">
        <v>1317</v>
      </c>
    </row>
    <row r="28" spans="1:19" ht="14.25" customHeight="1" thickBot="1">
      <c r="A28" s="1093" t="s">
        <v>1153</v>
      </c>
      <c r="B28" s="1085" t="s">
        <v>1255</v>
      </c>
      <c r="C28" s="1086"/>
      <c r="D28" s="1086">
        <v>26610</v>
      </c>
      <c r="E28" s="1086">
        <v>26370</v>
      </c>
      <c r="F28" s="1087"/>
      <c r="L28" s="1070" t="s">
        <v>1318</v>
      </c>
      <c r="M28" s="1070" t="s">
        <v>1319</v>
      </c>
      <c r="N28" s="1070" t="s">
        <v>1320</v>
      </c>
      <c r="O28" s="1070" t="s">
        <v>1321</v>
      </c>
      <c r="P28" s="1070" t="s">
        <v>1322</v>
      </c>
      <c r="Q28" s="1070" t="s">
        <v>1323</v>
      </c>
    </row>
    <row r="29" spans="1:19" ht="14.25" customHeight="1" thickBot="1">
      <c r="A29" s="1076" t="s">
        <v>1324</v>
      </c>
      <c r="B29" s="1077" t="s">
        <v>1325</v>
      </c>
      <c r="C29" s="1077">
        <v>22090</v>
      </c>
      <c r="D29" s="1077">
        <v>21860</v>
      </c>
      <c r="E29" s="1077">
        <v>19380</v>
      </c>
      <c r="F29" s="1078">
        <v>6610</v>
      </c>
      <c r="M29" s="1070" t="s">
        <v>1326</v>
      </c>
      <c r="N29" s="1070" t="s">
        <v>1327</v>
      </c>
      <c r="O29" s="1070" t="s">
        <v>1328</v>
      </c>
      <c r="P29" s="1070" t="s">
        <v>1329</v>
      </c>
      <c r="Q29" s="1070" t="s">
        <v>1330</v>
      </c>
    </row>
    <row r="30" spans="1:19" ht="14.25" customHeight="1" thickBot="1">
      <c r="A30" s="1076" t="s">
        <v>1324</v>
      </c>
      <c r="B30" s="1084" t="s">
        <v>1070</v>
      </c>
      <c r="C30" s="1070">
        <v>21380</v>
      </c>
      <c r="D30" s="1070">
        <v>19930</v>
      </c>
      <c r="E30" s="1070">
        <v>19860</v>
      </c>
      <c r="F30" s="1088">
        <v>6010</v>
      </c>
      <c r="H30" s="1092"/>
      <c r="M30" s="1070" t="s">
        <v>1331</v>
      </c>
      <c r="N30" s="1070" t="s">
        <v>1332</v>
      </c>
      <c r="O30" s="1070" t="s">
        <v>1333</v>
      </c>
      <c r="P30" s="1070" t="s">
        <v>2417</v>
      </c>
      <c r="Q30" s="1070" t="s">
        <v>1334</v>
      </c>
    </row>
    <row r="31" spans="1:19" ht="14.25" customHeight="1" thickBot="1">
      <c r="A31" s="1076" t="s">
        <v>1324</v>
      </c>
      <c r="B31" s="1084" t="s">
        <v>1084</v>
      </c>
      <c r="C31" s="1070">
        <v>21670</v>
      </c>
      <c r="D31" s="1070">
        <v>20660</v>
      </c>
      <c r="E31" s="1070">
        <v>20290</v>
      </c>
      <c r="F31" s="1088">
        <v>5840</v>
      </c>
      <c r="H31" s="1092"/>
      <c r="M31" s="1070" t="s">
        <v>1335</v>
      </c>
      <c r="N31" s="1070" t="s">
        <v>1336</v>
      </c>
      <c r="O31" s="1070" t="s">
        <v>1337</v>
      </c>
      <c r="P31" s="1070" t="s">
        <v>1338</v>
      </c>
      <c r="Q31" s="1070" t="s">
        <v>1339</v>
      </c>
    </row>
    <row r="32" spans="1:19" ht="14.25" customHeight="1" thickBot="1">
      <c r="A32" s="1076" t="s">
        <v>1324</v>
      </c>
      <c r="B32" s="1084" t="s">
        <v>1097</v>
      </c>
      <c r="C32" s="1070">
        <v>22280</v>
      </c>
      <c r="D32" s="1070">
        <v>21800</v>
      </c>
      <c r="E32" s="1070">
        <v>17650</v>
      </c>
      <c r="F32" s="1088">
        <v>4690</v>
      </c>
      <c r="H32" s="1092"/>
      <c r="M32" s="1070" t="s">
        <v>1340</v>
      </c>
      <c r="N32" s="1070" t="s">
        <v>1341</v>
      </c>
      <c r="O32" s="1070" t="s">
        <v>1342</v>
      </c>
      <c r="P32" s="1070" t="s">
        <v>1343</v>
      </c>
      <c r="Q32" s="1070" t="s">
        <v>1344</v>
      </c>
    </row>
    <row r="33" spans="1:17" ht="14.25" customHeight="1" thickBot="1">
      <c r="A33" s="1076" t="s">
        <v>1324</v>
      </c>
      <c r="B33" s="1084" t="s">
        <v>1111</v>
      </c>
      <c r="C33" s="1070">
        <v>22130</v>
      </c>
      <c r="D33" s="1070">
        <v>20460</v>
      </c>
      <c r="E33" s="1070">
        <v>18500</v>
      </c>
      <c r="F33" s="1088">
        <v>5340</v>
      </c>
      <c r="H33" s="1092"/>
      <c r="M33" s="1070" t="s">
        <v>1345</v>
      </c>
      <c r="N33" s="1070" t="s">
        <v>1346</v>
      </c>
      <c r="O33" s="1070" t="s">
        <v>1347</v>
      </c>
      <c r="P33" s="1070" t="s">
        <v>1348</v>
      </c>
      <c r="Q33" s="1070" t="s">
        <v>1349</v>
      </c>
    </row>
    <row r="34" spans="1:17" ht="14.25" customHeight="1" thickBot="1">
      <c r="A34" s="1076" t="s">
        <v>1324</v>
      </c>
      <c r="B34" s="1084" t="s">
        <v>1122</v>
      </c>
      <c r="C34" s="1070">
        <v>22070</v>
      </c>
      <c r="D34" s="1070">
        <v>20110</v>
      </c>
      <c r="E34" s="1070">
        <v>18830</v>
      </c>
      <c r="F34" s="1088">
        <v>5190</v>
      </c>
      <c r="H34" s="1092"/>
      <c r="M34" s="1070" t="s">
        <v>1350</v>
      </c>
      <c r="N34" s="1070" t="s">
        <v>1351</v>
      </c>
      <c r="O34" s="1070" t="s">
        <v>1352</v>
      </c>
      <c r="P34" s="1070" t="s">
        <v>1353</v>
      </c>
      <c r="Q34" s="1070" t="s">
        <v>1354</v>
      </c>
    </row>
    <row r="35" spans="1:17" ht="14.25" customHeight="1" thickBot="1">
      <c r="A35" s="1076" t="s">
        <v>1324</v>
      </c>
      <c r="B35" s="1084" t="s">
        <v>1133</v>
      </c>
      <c r="C35" s="1070">
        <v>22240</v>
      </c>
      <c r="D35" s="1070">
        <v>19550</v>
      </c>
      <c r="E35" s="1070">
        <v>19220</v>
      </c>
      <c r="F35" s="1088">
        <v>5800</v>
      </c>
      <c r="H35" s="1092"/>
      <c r="M35" s="1070" t="s">
        <v>1355</v>
      </c>
      <c r="N35" s="1070" t="s">
        <v>1356</v>
      </c>
      <c r="O35" s="1070" t="s">
        <v>1357</v>
      </c>
      <c r="P35" s="1070" t="s">
        <v>1358</v>
      </c>
      <c r="Q35" s="1070" t="s">
        <v>1359</v>
      </c>
    </row>
    <row r="36" spans="1:17" ht="14.25" customHeight="1" thickBot="1">
      <c r="A36" s="1076" t="s">
        <v>1324</v>
      </c>
      <c r="B36" s="1084" t="s">
        <v>1144</v>
      </c>
      <c r="C36" s="1070">
        <v>19750</v>
      </c>
      <c r="D36" s="1070">
        <v>19790</v>
      </c>
      <c r="E36" s="1070">
        <v>18510</v>
      </c>
      <c r="F36" s="1088">
        <v>6520</v>
      </c>
      <c r="H36" s="1092"/>
      <c r="N36" s="1070" t="s">
        <v>1360</v>
      </c>
      <c r="O36" s="1070" t="s">
        <v>1361</v>
      </c>
      <c r="P36" s="1070" t="s">
        <v>1362</v>
      </c>
      <c r="Q36" s="1070" t="s">
        <v>1363</v>
      </c>
    </row>
    <row r="37" spans="1:17" ht="14.25" customHeight="1" thickBot="1">
      <c r="A37" s="1076" t="s">
        <v>1324</v>
      </c>
      <c r="B37" s="1084" t="s">
        <v>1156</v>
      </c>
      <c r="C37" s="1070">
        <v>22380</v>
      </c>
      <c r="D37" s="1070">
        <v>18530</v>
      </c>
      <c r="E37" s="1070">
        <v>17930</v>
      </c>
      <c r="F37" s="1088">
        <v>6270</v>
      </c>
      <c r="H37" s="1094"/>
      <c r="N37" s="1070" t="s">
        <v>1364</v>
      </c>
      <c r="O37" s="1070" t="s">
        <v>1365</v>
      </c>
      <c r="P37" s="1070" t="s">
        <v>1366</v>
      </c>
      <c r="Q37" s="1070" t="s">
        <v>1367</v>
      </c>
    </row>
    <row r="38" spans="1:17" ht="14.25" customHeight="1" thickBot="1">
      <c r="A38" s="1076" t="s">
        <v>1324</v>
      </c>
      <c r="B38" s="1084" t="s">
        <v>1166</v>
      </c>
      <c r="C38" s="1070">
        <v>20200</v>
      </c>
      <c r="D38" s="1070">
        <v>20070</v>
      </c>
      <c r="E38" s="1070">
        <v>19950</v>
      </c>
      <c r="F38" s="1088"/>
      <c r="H38" s="1095"/>
      <c r="N38" s="1070" t="s">
        <v>1368</v>
      </c>
      <c r="O38" s="1070" t="s">
        <v>1369</v>
      </c>
      <c r="P38" s="1070" t="s">
        <v>1370</v>
      </c>
      <c r="Q38" s="1070" t="s">
        <v>1371</v>
      </c>
    </row>
    <row r="39" spans="1:17" ht="14.25" customHeight="1" thickBot="1">
      <c r="A39" s="1076" t="s">
        <v>1324</v>
      </c>
      <c r="B39" s="1084" t="s">
        <v>1176</v>
      </c>
      <c r="C39" s="1070">
        <v>19300</v>
      </c>
      <c r="D39" s="1070">
        <v>20360</v>
      </c>
      <c r="E39" s="1070">
        <v>20230</v>
      </c>
      <c r="F39" s="1088"/>
      <c r="H39" s="1095"/>
      <c r="N39" s="1070" t="s">
        <v>1372</v>
      </c>
      <c r="O39" s="1070" t="s">
        <v>1373</v>
      </c>
      <c r="P39" s="1070" t="s">
        <v>1374</v>
      </c>
      <c r="Q39" s="1070" t="s">
        <v>1375</v>
      </c>
    </row>
    <row r="40" spans="1:17" ht="14.25" customHeight="1" thickBot="1">
      <c r="A40" s="1076" t="s">
        <v>1324</v>
      </c>
      <c r="B40" s="1084" t="s">
        <v>1186</v>
      </c>
      <c r="C40" s="1070">
        <v>20210</v>
      </c>
      <c r="D40" s="1070">
        <v>19060</v>
      </c>
      <c r="E40" s="1070">
        <v>18890</v>
      </c>
      <c r="F40" s="1088"/>
      <c r="H40" s="1095"/>
      <c r="N40" s="1070" t="s">
        <v>1376</v>
      </c>
      <c r="O40" s="1070" t="s">
        <v>1377</v>
      </c>
      <c r="P40" s="1070" t="s">
        <v>1378</v>
      </c>
      <c r="Q40" s="1070" t="s">
        <v>1379</v>
      </c>
    </row>
    <row r="41" spans="1:17" ht="14.25" customHeight="1" thickBot="1">
      <c r="A41" s="1076" t="s">
        <v>1324</v>
      </c>
      <c r="B41" s="1084" t="s">
        <v>1196</v>
      </c>
      <c r="C41" s="1070">
        <v>20560</v>
      </c>
      <c r="D41" s="1070">
        <v>21040</v>
      </c>
      <c r="E41" s="1070">
        <v>20740</v>
      </c>
      <c r="F41" s="1088"/>
      <c r="H41" s="1095"/>
      <c r="N41" s="1084" t="s">
        <v>1380</v>
      </c>
      <c r="O41" s="1084" t="s">
        <v>1381</v>
      </c>
      <c r="Q41" s="1084" t="s">
        <v>1382</v>
      </c>
    </row>
    <row r="42" spans="1:17" ht="14.25" customHeight="1" thickBot="1">
      <c r="A42" s="1076" t="s">
        <v>1324</v>
      </c>
      <c r="B42" s="1084" t="s">
        <v>1206</v>
      </c>
      <c r="C42" s="1070">
        <v>19280</v>
      </c>
      <c r="D42" s="1070">
        <v>22940</v>
      </c>
      <c r="E42" s="1070">
        <v>22500</v>
      </c>
      <c r="F42" s="1088"/>
      <c r="H42" s="1095"/>
      <c r="N42" s="1070" t="s">
        <v>1383</v>
      </c>
      <c r="O42" s="1070" t="s">
        <v>1384</v>
      </c>
      <c r="Q42" s="1070" t="s">
        <v>1385</v>
      </c>
    </row>
    <row r="43" spans="1:17" ht="14.25" customHeight="1" thickBot="1">
      <c r="A43" s="1076" t="s">
        <v>1324</v>
      </c>
      <c r="B43" s="1084" t="s">
        <v>1216</v>
      </c>
      <c r="C43" s="1070">
        <v>21520</v>
      </c>
      <c r="D43" s="1070">
        <v>19230</v>
      </c>
      <c r="E43" s="1070">
        <v>18540</v>
      </c>
      <c r="F43" s="1088"/>
      <c r="H43" s="1095"/>
      <c r="N43" s="1070" t="s">
        <v>1386</v>
      </c>
      <c r="O43" s="1070" t="s">
        <v>1387</v>
      </c>
      <c r="Q43" s="1070" t="s">
        <v>1388</v>
      </c>
    </row>
    <row r="44" spans="1:17" ht="14.25" customHeight="1" thickBot="1">
      <c r="A44" s="1076" t="s">
        <v>1324</v>
      </c>
      <c r="B44" s="1084" t="s">
        <v>1226</v>
      </c>
      <c r="C44" s="1070">
        <v>23260</v>
      </c>
      <c r="D44" s="1070">
        <v>21180</v>
      </c>
      <c r="E44" s="1070">
        <v>20730</v>
      </c>
      <c r="F44" s="1088"/>
      <c r="H44" s="1095"/>
      <c r="N44" s="1070" t="s">
        <v>1389</v>
      </c>
      <c r="O44" s="1070" t="s">
        <v>1390</v>
      </c>
      <c r="Q44" s="1070" t="s">
        <v>1391</v>
      </c>
    </row>
    <row r="45" spans="1:17" ht="14.25" customHeight="1" thickBot="1">
      <c r="A45" s="1076" t="s">
        <v>1324</v>
      </c>
      <c r="B45" s="1084" t="s">
        <v>1236</v>
      </c>
      <c r="C45" s="1070">
        <v>19610</v>
      </c>
      <c r="D45" s="1070">
        <v>18090</v>
      </c>
      <c r="E45" s="1070">
        <v>17970</v>
      </c>
      <c r="F45" s="1088"/>
      <c r="H45" s="1092"/>
      <c r="N45" s="1070" t="s">
        <v>1392</v>
      </c>
      <c r="O45" s="1070" t="s">
        <v>1393</v>
      </c>
      <c r="Q45" s="1070" t="s">
        <v>1394</v>
      </c>
    </row>
    <row r="46" spans="1:17" ht="14.25" customHeight="1" thickBot="1">
      <c r="A46" s="1076" t="s">
        <v>1324</v>
      </c>
      <c r="B46" s="1084" t="s">
        <v>1246</v>
      </c>
      <c r="C46" s="1070">
        <v>21660</v>
      </c>
      <c r="D46" s="1070">
        <v>19190</v>
      </c>
      <c r="E46" s="1070">
        <v>19790</v>
      </c>
      <c r="F46" s="1088"/>
      <c r="H46" s="1095"/>
      <c r="N46" s="1070" t="s">
        <v>1395</v>
      </c>
      <c r="O46" s="1070" t="s">
        <v>1396</v>
      </c>
      <c r="Q46" s="1070" t="s">
        <v>1397</v>
      </c>
    </row>
    <row r="47" spans="1:17" ht="14.25" customHeight="1" thickBot="1">
      <c r="A47" s="1076" t="s">
        <v>1324</v>
      </c>
      <c r="B47" s="1084" t="s">
        <v>1256</v>
      </c>
      <c r="C47" s="1070">
        <v>18220</v>
      </c>
      <c r="D47" s="1070"/>
      <c r="E47" s="1070">
        <v>17220</v>
      </c>
      <c r="F47" s="1088"/>
      <c r="H47" s="1095"/>
      <c r="N47" s="1070" t="s">
        <v>1398</v>
      </c>
      <c r="O47" s="1070" t="s">
        <v>1399</v>
      </c>
    </row>
    <row r="48" spans="1:17" ht="14.25" customHeight="1" thickBot="1">
      <c r="A48" s="1076" t="s">
        <v>1324</v>
      </c>
      <c r="B48" s="1085" t="s">
        <v>1265</v>
      </c>
      <c r="C48" s="1086">
        <v>19430</v>
      </c>
      <c r="D48" s="1086"/>
      <c r="E48" s="1086">
        <v>17830</v>
      </c>
      <c r="F48" s="1096"/>
      <c r="H48" s="1092"/>
      <c r="N48" s="1070" t="s">
        <v>1400</v>
      </c>
      <c r="O48" s="1070" t="s">
        <v>1401</v>
      </c>
    </row>
    <row r="49" spans="1:15" ht="14.25" customHeight="1" thickBot="1">
      <c r="A49" s="1076" t="s">
        <v>923</v>
      </c>
      <c r="B49" s="1077" t="s">
        <v>1402</v>
      </c>
      <c r="C49" s="1077">
        <v>17090</v>
      </c>
      <c r="D49" s="1077">
        <v>16950</v>
      </c>
      <c r="E49" s="1077">
        <v>16310</v>
      </c>
      <c r="F49" s="1078">
        <v>4540</v>
      </c>
      <c r="H49" s="1095"/>
      <c r="N49" s="1070" t="s">
        <v>1403</v>
      </c>
      <c r="O49" s="1070" t="s">
        <v>1404</v>
      </c>
    </row>
    <row r="50" spans="1:15" ht="14.25" customHeight="1" thickBot="1">
      <c r="A50" s="1076" t="s">
        <v>923</v>
      </c>
      <c r="B50" s="1070" t="s">
        <v>1071</v>
      </c>
      <c r="C50" s="1070">
        <v>19040</v>
      </c>
      <c r="D50" s="1070">
        <v>16960</v>
      </c>
      <c r="E50" s="1070">
        <v>14800</v>
      </c>
      <c r="F50" s="1088">
        <v>3940</v>
      </c>
      <c r="H50" s="1095"/>
    </row>
    <row r="51" spans="1:15" ht="14.25" customHeight="1" thickBot="1">
      <c r="A51" s="1076" t="s">
        <v>923</v>
      </c>
      <c r="B51" s="1070" t="s">
        <v>1085</v>
      </c>
      <c r="C51" s="1070">
        <v>17040</v>
      </c>
      <c r="D51" s="1070">
        <v>16930</v>
      </c>
      <c r="E51" s="1070">
        <v>15030</v>
      </c>
      <c r="F51" s="1088">
        <v>4120</v>
      </c>
      <c r="H51" s="1095"/>
    </row>
    <row r="52" spans="1:15" ht="14.25" customHeight="1" thickBot="1">
      <c r="A52" s="1076" t="s">
        <v>923</v>
      </c>
      <c r="B52" s="1070" t="s">
        <v>1098</v>
      </c>
      <c r="C52" s="1070">
        <v>17110</v>
      </c>
      <c r="D52" s="1070">
        <v>17750</v>
      </c>
      <c r="E52" s="1070">
        <v>17310</v>
      </c>
      <c r="F52" s="1088">
        <v>3220</v>
      </c>
      <c r="H52" s="1095"/>
    </row>
    <row r="53" spans="1:15" ht="14.25" customHeight="1" thickBot="1">
      <c r="A53" s="1076" t="s">
        <v>923</v>
      </c>
      <c r="B53" s="1070" t="s">
        <v>1112</v>
      </c>
      <c r="C53" s="1070">
        <v>17810</v>
      </c>
      <c r="D53" s="1070">
        <v>17260</v>
      </c>
      <c r="E53" s="1070">
        <v>17090</v>
      </c>
      <c r="F53" s="1088">
        <v>3520</v>
      </c>
      <c r="H53" s="1095"/>
    </row>
    <row r="54" spans="1:15" ht="14.25" customHeight="1" thickBot="1">
      <c r="A54" s="1076" t="s">
        <v>923</v>
      </c>
      <c r="B54" s="1070" t="s">
        <v>1123</v>
      </c>
      <c r="C54" s="1070">
        <v>17410</v>
      </c>
      <c r="D54" s="1070">
        <v>16780</v>
      </c>
      <c r="E54" s="1070">
        <v>16370</v>
      </c>
      <c r="F54" s="1088">
        <v>3410</v>
      </c>
      <c r="H54" s="1095"/>
    </row>
    <row r="55" spans="1:15" ht="14.25" customHeight="1" thickBot="1">
      <c r="A55" s="1076" t="s">
        <v>923</v>
      </c>
      <c r="B55" s="1070" t="s">
        <v>1134</v>
      </c>
      <c r="C55" s="1070">
        <v>16930</v>
      </c>
      <c r="D55" s="1070">
        <v>14720</v>
      </c>
      <c r="E55" s="1070">
        <v>15000</v>
      </c>
      <c r="F55" s="1088">
        <v>3710</v>
      </c>
      <c r="H55" s="1095"/>
    </row>
    <row r="56" spans="1:15" ht="14.25" customHeight="1" thickBot="1">
      <c r="A56" s="1076" t="s">
        <v>923</v>
      </c>
      <c r="B56" s="1070" t="s">
        <v>1145</v>
      </c>
      <c r="C56" s="1070">
        <v>14930</v>
      </c>
      <c r="D56" s="1070">
        <v>15850</v>
      </c>
      <c r="E56" s="1070">
        <v>14320</v>
      </c>
      <c r="F56" s="1088">
        <v>3960</v>
      </c>
      <c r="H56" s="1095"/>
    </row>
    <row r="57" spans="1:15" ht="14.25" customHeight="1" thickBot="1">
      <c r="A57" s="1076" t="s">
        <v>923</v>
      </c>
      <c r="B57" s="1070" t="s">
        <v>1157</v>
      </c>
      <c r="C57" s="1070">
        <v>16160</v>
      </c>
      <c r="D57" s="1070">
        <v>16190</v>
      </c>
      <c r="E57" s="1070">
        <v>15650</v>
      </c>
      <c r="F57" s="1088">
        <v>4200</v>
      </c>
      <c r="H57" s="1095"/>
    </row>
    <row r="58" spans="1:15" ht="14.25" customHeight="1" thickBot="1">
      <c r="A58" s="1076" t="s">
        <v>923</v>
      </c>
      <c r="B58" s="1070" t="s">
        <v>1167</v>
      </c>
      <c r="C58" s="1070">
        <v>16360</v>
      </c>
      <c r="D58" s="1070">
        <v>14050</v>
      </c>
      <c r="E58" s="1070">
        <v>16070</v>
      </c>
      <c r="F58" s="1088">
        <v>3990</v>
      </c>
      <c r="H58" s="1095"/>
    </row>
    <row r="59" spans="1:15" ht="14.25" customHeight="1" thickBot="1">
      <c r="A59" s="1076" t="s">
        <v>923</v>
      </c>
      <c r="B59" s="1070" t="s">
        <v>1177</v>
      </c>
      <c r="C59" s="1070">
        <v>14160</v>
      </c>
      <c r="D59" s="1070">
        <v>16620</v>
      </c>
      <c r="E59" s="1070">
        <v>13940</v>
      </c>
      <c r="F59" s="1088">
        <v>4260</v>
      </c>
      <c r="H59" s="1095"/>
    </row>
    <row r="60" spans="1:15" ht="14.25" customHeight="1" thickBot="1">
      <c r="A60" s="1076" t="s">
        <v>923</v>
      </c>
      <c r="B60" s="1070" t="s">
        <v>1187</v>
      </c>
      <c r="C60" s="1070">
        <v>16750</v>
      </c>
      <c r="D60" s="1070">
        <v>13910</v>
      </c>
      <c r="E60" s="1070">
        <v>16550</v>
      </c>
      <c r="F60" s="1088">
        <v>4550</v>
      </c>
      <c r="H60" s="1095"/>
    </row>
    <row r="61" spans="1:15" ht="14.25" customHeight="1" thickBot="1">
      <c r="A61" s="1076" t="s">
        <v>923</v>
      </c>
      <c r="B61" s="1070" t="s">
        <v>1197</v>
      </c>
      <c r="C61" s="1070">
        <v>14000</v>
      </c>
      <c r="D61" s="1070">
        <v>14550</v>
      </c>
      <c r="E61" s="1070">
        <v>13860</v>
      </c>
      <c r="F61" s="1097"/>
      <c r="H61" s="1095"/>
    </row>
    <row r="62" spans="1:15" ht="14.25" customHeight="1" thickBot="1">
      <c r="A62" s="1076" t="s">
        <v>923</v>
      </c>
      <c r="B62" s="1070" t="s">
        <v>1207</v>
      </c>
      <c r="C62" s="1070">
        <v>14660</v>
      </c>
      <c r="D62" s="1070">
        <v>17450</v>
      </c>
      <c r="E62" s="1070">
        <v>14470</v>
      </c>
      <c r="F62" s="1097"/>
      <c r="H62" s="1095"/>
    </row>
    <row r="63" spans="1:15" ht="14.25" customHeight="1" thickBot="1">
      <c r="A63" s="1076" t="s">
        <v>923</v>
      </c>
      <c r="B63" s="1070" t="s">
        <v>1217</v>
      </c>
      <c r="C63" s="1070">
        <v>17610</v>
      </c>
      <c r="D63" s="1070">
        <v>16500</v>
      </c>
      <c r="E63" s="1070">
        <v>17330</v>
      </c>
      <c r="F63" s="1097"/>
      <c r="H63" s="1095"/>
    </row>
    <row r="64" spans="1:15" ht="14.25" customHeight="1" thickBot="1">
      <c r="A64" s="1076" t="s">
        <v>923</v>
      </c>
      <c r="B64" s="1070" t="s">
        <v>1227</v>
      </c>
      <c r="C64" s="1070">
        <v>16590</v>
      </c>
      <c r="D64" s="1070">
        <v>15130</v>
      </c>
      <c r="E64" s="1070">
        <v>16420</v>
      </c>
      <c r="F64" s="1097"/>
      <c r="H64" s="1095"/>
    </row>
    <row r="65" spans="1:8" s="1064" customFormat="1" ht="14.25" customHeight="1" thickBot="1">
      <c r="A65" s="1076" t="s">
        <v>923</v>
      </c>
      <c r="B65" s="1070" t="s">
        <v>1237</v>
      </c>
      <c r="C65" s="1070">
        <v>15220</v>
      </c>
      <c r="D65" s="1070">
        <v>14660</v>
      </c>
      <c r="E65" s="1070">
        <v>15060</v>
      </c>
      <c r="F65" s="1088"/>
      <c r="H65" s="1095"/>
    </row>
    <row r="66" spans="1:8" s="1064" customFormat="1" ht="14.25" customHeight="1" thickBot="1">
      <c r="A66" s="1076" t="s">
        <v>923</v>
      </c>
      <c r="B66" s="1070" t="s">
        <v>1247</v>
      </c>
      <c r="C66" s="1070">
        <v>14720</v>
      </c>
      <c r="D66" s="1070">
        <v>15970</v>
      </c>
      <c r="E66" s="1070">
        <v>14610</v>
      </c>
      <c r="F66" s="1088"/>
      <c r="H66" s="1095"/>
    </row>
    <row r="67" spans="1:8" s="1064" customFormat="1" ht="14.25" customHeight="1" thickBot="1">
      <c r="A67" s="1076" t="s">
        <v>923</v>
      </c>
      <c r="B67" s="1070" t="s">
        <v>1257</v>
      </c>
      <c r="C67" s="1070">
        <v>16080</v>
      </c>
      <c r="D67" s="1070">
        <v>14840</v>
      </c>
      <c r="E67" s="1070">
        <v>15630</v>
      </c>
      <c r="F67" s="1088"/>
      <c r="H67" s="1095"/>
    </row>
    <row r="68" spans="1:8" s="1064" customFormat="1" ht="14.25" customHeight="1" thickBot="1">
      <c r="A68" s="1076" t="s">
        <v>923</v>
      </c>
      <c r="B68" s="1070" t="s">
        <v>1266</v>
      </c>
      <c r="C68" s="1070">
        <v>14940</v>
      </c>
      <c r="D68" s="1070">
        <v>18000</v>
      </c>
      <c r="E68" s="1070">
        <v>14040</v>
      </c>
      <c r="F68" s="1088"/>
      <c r="H68" s="1095"/>
    </row>
    <row r="69" spans="1:8" s="1064" customFormat="1" ht="14.25" customHeight="1" thickBot="1">
      <c r="A69" s="1076" t="s">
        <v>923</v>
      </c>
      <c r="B69" s="1070" t="s">
        <v>1275</v>
      </c>
      <c r="C69" s="1070">
        <v>18810</v>
      </c>
      <c r="D69" s="1070">
        <v>15100</v>
      </c>
      <c r="E69" s="1070">
        <v>14710</v>
      </c>
      <c r="F69" s="1088"/>
      <c r="H69" s="1095"/>
    </row>
    <row r="70" spans="1:8" s="1064" customFormat="1" ht="14.25" customHeight="1" thickBot="1">
      <c r="A70" s="1076" t="s">
        <v>923</v>
      </c>
      <c r="B70" s="1070" t="s">
        <v>1283</v>
      </c>
      <c r="C70" s="1070">
        <v>18270</v>
      </c>
      <c r="D70" s="1070"/>
      <c r="E70" s="1070"/>
      <c r="F70" s="1088"/>
      <c r="H70" s="1095"/>
    </row>
    <row r="71" spans="1:8" s="1064" customFormat="1" ht="14.25" customHeight="1" thickBot="1">
      <c r="A71" s="1076" t="s">
        <v>923</v>
      </c>
      <c r="B71" s="1070" t="s">
        <v>1290</v>
      </c>
      <c r="C71" s="1070">
        <v>15230</v>
      </c>
      <c r="D71" s="1070"/>
      <c r="E71" s="1070"/>
      <c r="F71" s="1088"/>
      <c r="H71" s="1095"/>
    </row>
    <row r="72" spans="1:8" s="1064" customFormat="1" ht="14.25" customHeight="1" thickBot="1">
      <c r="A72" s="1076" t="s">
        <v>923</v>
      </c>
      <c r="B72" s="1070" t="s">
        <v>1297</v>
      </c>
      <c r="C72" s="1070"/>
      <c r="D72" s="1070"/>
      <c r="E72" s="1070"/>
      <c r="F72" s="1088">
        <v>4120</v>
      </c>
      <c r="H72" s="1095"/>
    </row>
    <row r="73" spans="1:8" s="1064" customFormat="1" ht="14.25" customHeight="1" thickBot="1">
      <c r="A73" s="1076" t="s">
        <v>923</v>
      </c>
      <c r="B73" s="1070" t="s">
        <v>1304</v>
      </c>
      <c r="C73" s="1070"/>
      <c r="D73" s="1070"/>
      <c r="E73" s="1070"/>
      <c r="F73" s="1088">
        <v>3930</v>
      </c>
      <c r="H73" s="1095"/>
    </row>
    <row r="74" spans="1:8" s="1064" customFormat="1" ht="14.25" customHeight="1" thickBot="1">
      <c r="A74" s="1076" t="s">
        <v>923</v>
      </c>
      <c r="B74" s="1070" t="s">
        <v>1311</v>
      </c>
      <c r="C74" s="1070"/>
      <c r="D74" s="1070"/>
      <c r="E74" s="1070"/>
      <c r="F74" s="1088">
        <v>4060</v>
      </c>
      <c r="H74" s="1095"/>
    </row>
    <row r="75" spans="1:8" s="1064" customFormat="1" ht="14.25" customHeight="1" thickBot="1">
      <c r="A75" s="1076" t="s">
        <v>923</v>
      </c>
      <c r="B75" s="1086" t="s">
        <v>1318</v>
      </c>
      <c r="C75" s="1086"/>
      <c r="D75" s="1086"/>
      <c r="E75" s="1086"/>
      <c r="F75" s="1096">
        <v>3750</v>
      </c>
      <c r="H75" s="1095"/>
    </row>
    <row r="76" spans="1:8" s="1064" customFormat="1" ht="14.25" customHeight="1" thickBot="1">
      <c r="A76" s="1076" t="s">
        <v>1405</v>
      </c>
      <c r="B76" s="1077" t="s">
        <v>1406</v>
      </c>
      <c r="C76" s="1077">
        <v>14690</v>
      </c>
      <c r="D76" s="1077">
        <v>14640</v>
      </c>
      <c r="E76" s="1077">
        <v>14590</v>
      </c>
      <c r="F76" s="1078">
        <v>3060</v>
      </c>
      <c r="H76" s="1095"/>
    </row>
    <row r="77" spans="1:8" s="1064" customFormat="1" ht="14.25" customHeight="1" thickBot="1">
      <c r="A77" s="1076" t="s">
        <v>1405</v>
      </c>
      <c r="B77" s="1070" t="s">
        <v>1072</v>
      </c>
      <c r="C77" s="1070">
        <v>12550</v>
      </c>
      <c r="D77" s="1070">
        <v>12480</v>
      </c>
      <c r="E77" s="1070">
        <v>12450</v>
      </c>
      <c r="F77" s="1088">
        <v>2590</v>
      </c>
      <c r="H77" s="1095"/>
    </row>
    <row r="78" spans="1:8" s="1064" customFormat="1" ht="14.25" customHeight="1" thickBot="1">
      <c r="A78" s="1076" t="s">
        <v>1405</v>
      </c>
      <c r="B78" s="1070" t="s">
        <v>1086</v>
      </c>
      <c r="C78" s="1070">
        <v>14360</v>
      </c>
      <c r="D78" s="1070">
        <v>14320</v>
      </c>
      <c r="E78" s="1070">
        <v>12510</v>
      </c>
      <c r="F78" s="1088">
        <v>2700</v>
      </c>
      <c r="H78" s="1095"/>
    </row>
    <row r="79" spans="1:8" s="1064" customFormat="1" ht="14.25" customHeight="1" thickBot="1">
      <c r="A79" s="1076" t="s">
        <v>1405</v>
      </c>
      <c r="B79" s="1070" t="s">
        <v>1099</v>
      </c>
      <c r="C79" s="1070">
        <v>12590</v>
      </c>
      <c r="D79" s="1070">
        <v>12540</v>
      </c>
      <c r="E79" s="1070">
        <v>12350</v>
      </c>
      <c r="F79" s="1088">
        <v>2740</v>
      </c>
      <c r="H79" s="1095"/>
    </row>
    <row r="80" spans="1:8" s="1064" customFormat="1" ht="14.25" customHeight="1" thickBot="1">
      <c r="A80" s="1076" t="s">
        <v>1405</v>
      </c>
      <c r="B80" s="1070" t="s">
        <v>1113</v>
      </c>
      <c r="C80" s="1070">
        <v>12450</v>
      </c>
      <c r="D80" s="1070">
        <v>12370</v>
      </c>
      <c r="E80" s="1070">
        <v>10790</v>
      </c>
      <c r="F80" s="1088">
        <v>2290</v>
      </c>
      <c r="H80" s="1095"/>
    </row>
    <row r="81" spans="1:8" s="1064" customFormat="1" ht="14.25" customHeight="1" thickBot="1">
      <c r="A81" s="1076" t="s">
        <v>1405</v>
      </c>
      <c r="B81" s="1070" t="s">
        <v>1124</v>
      </c>
      <c r="C81" s="1070">
        <v>14210</v>
      </c>
      <c r="D81" s="1070">
        <v>14150</v>
      </c>
      <c r="E81" s="1070">
        <v>12730</v>
      </c>
      <c r="F81" s="1088">
        <v>2240</v>
      </c>
      <c r="H81" s="1095"/>
    </row>
    <row r="82" spans="1:8" s="1064" customFormat="1" ht="14.25" customHeight="1" thickBot="1">
      <c r="A82" s="1076" t="s">
        <v>1405</v>
      </c>
      <c r="B82" s="1070" t="s">
        <v>1135</v>
      </c>
      <c r="C82" s="1070">
        <v>10860</v>
      </c>
      <c r="D82" s="1070">
        <v>10820</v>
      </c>
      <c r="E82" s="1070">
        <v>14720</v>
      </c>
      <c r="F82" s="1088">
        <v>2490</v>
      </c>
      <c r="H82" s="1095"/>
    </row>
    <row r="83" spans="1:8" s="1064" customFormat="1" ht="14.25" customHeight="1" thickBot="1">
      <c r="A83" s="1076" t="s">
        <v>1405</v>
      </c>
      <c r="B83" s="1070" t="s">
        <v>1146</v>
      </c>
      <c r="C83" s="1070">
        <v>12810</v>
      </c>
      <c r="D83" s="1070">
        <v>12760</v>
      </c>
      <c r="E83" s="1070">
        <v>14830</v>
      </c>
      <c r="F83" s="1088">
        <v>2450</v>
      </c>
      <c r="H83" s="1095"/>
    </row>
    <row r="84" spans="1:8" s="1064" customFormat="1" ht="14.25" customHeight="1" thickBot="1">
      <c r="A84" s="1076" t="s">
        <v>1405</v>
      </c>
      <c r="B84" s="1070" t="s">
        <v>1158</v>
      </c>
      <c r="C84" s="1070">
        <v>14950</v>
      </c>
      <c r="D84" s="1070">
        <v>14810</v>
      </c>
      <c r="E84" s="1070">
        <v>12590</v>
      </c>
      <c r="F84" s="1088">
        <v>2540</v>
      </c>
      <c r="H84" s="1095"/>
    </row>
    <row r="85" spans="1:8" s="1064" customFormat="1" ht="14.25" customHeight="1" thickBot="1">
      <c r="A85" s="1076" t="s">
        <v>1405</v>
      </c>
      <c r="B85" s="1070" t="s">
        <v>1168</v>
      </c>
      <c r="C85" s="1070">
        <v>14960</v>
      </c>
      <c r="D85" s="1070">
        <v>14890</v>
      </c>
      <c r="E85" s="1070">
        <v>12840</v>
      </c>
      <c r="F85" s="1088">
        <v>2840</v>
      </c>
      <c r="H85" s="1095"/>
    </row>
    <row r="86" spans="1:8" s="1064" customFormat="1" ht="14.25" customHeight="1" thickBot="1">
      <c r="A86" s="1076" t="s">
        <v>1405</v>
      </c>
      <c r="B86" s="1070" t="s">
        <v>1178</v>
      </c>
      <c r="C86" s="1070">
        <v>12730</v>
      </c>
      <c r="D86" s="1070">
        <v>12660</v>
      </c>
      <c r="E86" s="1070">
        <v>13310</v>
      </c>
      <c r="F86" s="1088">
        <v>3140</v>
      </c>
      <c r="H86" s="1095"/>
    </row>
    <row r="87" spans="1:8" s="1064" customFormat="1" ht="14.25" customHeight="1" thickBot="1">
      <c r="A87" s="1076" t="s">
        <v>1405</v>
      </c>
      <c r="B87" s="1070" t="s">
        <v>1188</v>
      </c>
      <c r="C87" s="1070">
        <v>12940</v>
      </c>
      <c r="D87" s="1070">
        <v>12890</v>
      </c>
      <c r="E87" s="1070">
        <v>11580</v>
      </c>
      <c r="F87" s="1097"/>
      <c r="H87" s="1095"/>
    </row>
    <row r="88" spans="1:8" s="1064" customFormat="1" ht="14.25" customHeight="1" thickBot="1">
      <c r="A88" s="1076" t="s">
        <v>1405</v>
      </c>
      <c r="B88" s="1070" t="s">
        <v>1198</v>
      </c>
      <c r="C88" s="1070">
        <v>13430</v>
      </c>
      <c r="D88" s="1070">
        <v>13360</v>
      </c>
      <c r="E88" s="1070">
        <v>12790</v>
      </c>
      <c r="F88" s="1097"/>
      <c r="H88" s="1095"/>
    </row>
    <row r="89" spans="1:8" s="1064" customFormat="1" ht="14.25" customHeight="1" thickBot="1">
      <c r="A89" s="1076" t="s">
        <v>1405</v>
      </c>
      <c r="B89" s="1070" t="s">
        <v>1208</v>
      </c>
      <c r="C89" s="1070">
        <v>11680</v>
      </c>
      <c r="D89" s="1070">
        <v>11630</v>
      </c>
      <c r="E89" s="1070">
        <v>11320</v>
      </c>
      <c r="F89" s="1097"/>
      <c r="H89" s="1095"/>
    </row>
    <row r="90" spans="1:8" s="1064" customFormat="1" ht="14.25" customHeight="1" thickBot="1">
      <c r="A90" s="1076" t="s">
        <v>1405</v>
      </c>
      <c r="B90" s="1070" t="s">
        <v>1218</v>
      </c>
      <c r="C90" s="1070">
        <v>12890</v>
      </c>
      <c r="D90" s="1070">
        <v>12820</v>
      </c>
      <c r="E90" s="1070">
        <v>12710</v>
      </c>
      <c r="F90" s="1097"/>
      <c r="H90" s="1095"/>
    </row>
    <row r="91" spans="1:8" s="1064" customFormat="1" ht="14.25" customHeight="1" thickBot="1">
      <c r="A91" s="1076" t="s">
        <v>1405</v>
      </c>
      <c r="B91" s="1070" t="s">
        <v>1228</v>
      </c>
      <c r="C91" s="1070">
        <v>11410</v>
      </c>
      <c r="D91" s="1070">
        <v>11360</v>
      </c>
      <c r="E91" s="1070">
        <v>12670</v>
      </c>
      <c r="F91" s="1097"/>
      <c r="H91" s="1095"/>
    </row>
    <row r="92" spans="1:8" s="1064" customFormat="1" ht="14.25" customHeight="1" thickBot="1">
      <c r="A92" s="1076" t="s">
        <v>1405</v>
      </c>
      <c r="B92" s="1070" t="s">
        <v>1238</v>
      </c>
      <c r="C92" s="1070">
        <v>12770</v>
      </c>
      <c r="D92" s="1070">
        <v>12740</v>
      </c>
      <c r="E92" s="1070">
        <v>11970</v>
      </c>
      <c r="F92" s="1097"/>
      <c r="H92" s="1095"/>
    </row>
    <row r="93" spans="1:8" s="1064" customFormat="1" ht="14.25" customHeight="1" thickBot="1">
      <c r="A93" s="1076" t="s">
        <v>1405</v>
      </c>
      <c r="B93" s="1070" t="s">
        <v>1248</v>
      </c>
      <c r="C93" s="1070">
        <v>12740</v>
      </c>
      <c r="D93" s="1070">
        <v>12700</v>
      </c>
      <c r="E93" s="1070">
        <v>12540</v>
      </c>
      <c r="F93" s="1097"/>
      <c r="H93" s="1095"/>
    </row>
    <row r="94" spans="1:8" s="1064" customFormat="1" ht="14.25" customHeight="1" thickBot="1">
      <c r="A94" s="1076" t="s">
        <v>1405</v>
      </c>
      <c r="B94" s="1070" t="s">
        <v>1258</v>
      </c>
      <c r="C94" s="1070">
        <v>12020</v>
      </c>
      <c r="D94" s="1070">
        <v>11990</v>
      </c>
      <c r="E94" s="1070">
        <v>13110</v>
      </c>
      <c r="F94" s="1097"/>
      <c r="H94" s="1095"/>
    </row>
    <row r="95" spans="1:8" s="1064" customFormat="1" ht="14.25" customHeight="1" thickBot="1">
      <c r="A95" s="1076" t="s">
        <v>1405</v>
      </c>
      <c r="B95" s="1070" t="s">
        <v>1267</v>
      </c>
      <c r="C95" s="1070">
        <v>12620</v>
      </c>
      <c r="D95" s="1070">
        <v>12580</v>
      </c>
      <c r="E95" s="1070">
        <v>13160</v>
      </c>
      <c r="F95" s="1088"/>
      <c r="H95" s="1095"/>
    </row>
    <row r="96" spans="1:8" s="1064" customFormat="1" ht="14.25" customHeight="1" thickBot="1">
      <c r="A96" s="1076" t="s">
        <v>1405</v>
      </c>
      <c r="B96" s="1070" t="s">
        <v>1276</v>
      </c>
      <c r="C96" s="1070">
        <v>13200</v>
      </c>
      <c r="D96" s="1070">
        <v>13150</v>
      </c>
      <c r="E96" s="1070">
        <v>12900</v>
      </c>
      <c r="F96" s="1088"/>
      <c r="H96" s="1095"/>
    </row>
    <row r="97" spans="1:8" s="1064" customFormat="1" ht="14.25" customHeight="1" thickBot="1">
      <c r="A97" s="1076" t="s">
        <v>1405</v>
      </c>
      <c r="B97" s="1070" t="s">
        <v>1284</v>
      </c>
      <c r="C97" s="1070">
        <v>13270</v>
      </c>
      <c r="D97" s="1070">
        <v>13210</v>
      </c>
      <c r="E97" s="1070">
        <v>11080</v>
      </c>
      <c r="F97" s="1088"/>
      <c r="H97" s="1095"/>
    </row>
    <row r="98" spans="1:8" s="1064" customFormat="1" ht="14.25" customHeight="1" thickBot="1">
      <c r="A98" s="1076" t="s">
        <v>1405</v>
      </c>
      <c r="B98" s="1070" t="s">
        <v>1291</v>
      </c>
      <c r="C98" s="1070">
        <v>13010</v>
      </c>
      <c r="D98" s="1070">
        <v>12930</v>
      </c>
      <c r="E98" s="1070">
        <v>12840</v>
      </c>
      <c r="F98" s="1088"/>
      <c r="H98" s="1095"/>
    </row>
    <row r="99" spans="1:8" s="1064" customFormat="1" ht="14.25" customHeight="1" thickBot="1">
      <c r="A99" s="1076" t="s">
        <v>1405</v>
      </c>
      <c r="B99" s="1070" t="s">
        <v>1298</v>
      </c>
      <c r="C99" s="1070">
        <v>11190</v>
      </c>
      <c r="D99" s="1070">
        <v>11130</v>
      </c>
      <c r="E99" s="1070"/>
      <c r="F99" s="1088"/>
      <c r="H99" s="1095"/>
    </row>
    <row r="100" spans="1:8" s="1064" customFormat="1" ht="14.25" customHeight="1" thickBot="1">
      <c r="A100" s="1076" t="s">
        <v>1405</v>
      </c>
      <c r="B100" s="1070" t="s">
        <v>1305</v>
      </c>
      <c r="C100" s="1070">
        <v>14280</v>
      </c>
      <c r="D100" s="1070">
        <v>14180</v>
      </c>
      <c r="E100" s="1070"/>
      <c r="F100" s="1088"/>
      <c r="H100" s="1095"/>
    </row>
    <row r="101" spans="1:8" s="1064" customFormat="1" ht="14.25" customHeight="1" thickBot="1">
      <c r="A101" s="1076" t="s">
        <v>1405</v>
      </c>
      <c r="B101" s="1070" t="s">
        <v>1312</v>
      </c>
      <c r="C101" s="1070">
        <v>12960</v>
      </c>
      <c r="D101" s="1070">
        <v>12890</v>
      </c>
      <c r="E101" s="1070"/>
      <c r="F101" s="1088"/>
      <c r="H101" s="1095"/>
    </row>
    <row r="102" spans="1:8" s="1064" customFormat="1" ht="14.25" customHeight="1" thickBot="1">
      <c r="A102" s="1076" t="s">
        <v>1405</v>
      </c>
      <c r="B102" s="1070" t="s">
        <v>1319</v>
      </c>
      <c r="C102" s="1070"/>
      <c r="D102" s="1070"/>
      <c r="E102" s="1070"/>
      <c r="F102" s="1088">
        <v>3100</v>
      </c>
      <c r="H102" s="1095"/>
    </row>
    <row r="103" spans="1:8" s="1064" customFormat="1" ht="14.25" customHeight="1" thickBot="1">
      <c r="A103" s="1076" t="s">
        <v>1405</v>
      </c>
      <c r="B103" s="1070" t="s">
        <v>1326</v>
      </c>
      <c r="C103" s="1070"/>
      <c r="D103" s="1070"/>
      <c r="E103" s="1070"/>
      <c r="F103" s="1088">
        <v>2320</v>
      </c>
      <c r="H103" s="1095"/>
    </row>
    <row r="104" spans="1:8" s="1064" customFormat="1" ht="14.25" customHeight="1" thickBot="1">
      <c r="A104" s="1076" t="s">
        <v>1405</v>
      </c>
      <c r="B104" s="1070" t="s">
        <v>1331</v>
      </c>
      <c r="C104" s="1070"/>
      <c r="D104" s="1070"/>
      <c r="E104" s="1070"/>
      <c r="F104" s="1088">
        <v>2320</v>
      </c>
      <c r="H104" s="1095"/>
    </row>
    <row r="105" spans="1:8" s="1064" customFormat="1" ht="14.25" customHeight="1" thickBot="1">
      <c r="A105" s="1076" t="s">
        <v>1405</v>
      </c>
      <c r="B105" s="1070" t="s">
        <v>1335</v>
      </c>
      <c r="C105" s="1070"/>
      <c r="D105" s="1070"/>
      <c r="E105" s="1070"/>
      <c r="F105" s="1088">
        <v>2320</v>
      </c>
      <c r="H105" s="1095"/>
    </row>
    <row r="106" spans="1:8" s="1064" customFormat="1" ht="14.25" customHeight="1" thickBot="1">
      <c r="A106" s="1076" t="s">
        <v>1405</v>
      </c>
      <c r="B106" s="1070" t="s">
        <v>1340</v>
      </c>
      <c r="C106" s="1070"/>
      <c r="D106" s="1070"/>
      <c r="E106" s="1070"/>
      <c r="F106" s="1088">
        <v>2320</v>
      </c>
      <c r="H106" s="1095"/>
    </row>
    <row r="107" spans="1:8" s="1064" customFormat="1" ht="14.25" customHeight="1" thickBot="1">
      <c r="A107" s="1076" t="s">
        <v>1405</v>
      </c>
      <c r="B107" s="1070" t="s">
        <v>1345</v>
      </c>
      <c r="C107" s="1070"/>
      <c r="D107" s="1070"/>
      <c r="E107" s="1070"/>
      <c r="F107" s="1088">
        <v>2280</v>
      </c>
      <c r="H107" s="1095"/>
    </row>
    <row r="108" spans="1:8" s="1064" customFormat="1" ht="14.25" customHeight="1" thickBot="1">
      <c r="A108" s="1076" t="s">
        <v>1405</v>
      </c>
      <c r="B108" s="1070" t="s">
        <v>1350</v>
      </c>
      <c r="C108" s="1070"/>
      <c r="D108" s="1070"/>
      <c r="E108" s="1070"/>
      <c r="F108" s="1088">
        <v>2280</v>
      </c>
      <c r="H108" s="1095"/>
    </row>
    <row r="109" spans="1:8" s="1064" customFormat="1" ht="14.25" customHeight="1" thickBot="1">
      <c r="A109" s="1076" t="s">
        <v>1405</v>
      </c>
      <c r="B109" s="1086" t="s">
        <v>1355</v>
      </c>
      <c r="C109" s="1086"/>
      <c r="D109" s="1086"/>
      <c r="E109" s="1086"/>
      <c r="F109" s="1096">
        <v>2280</v>
      </c>
      <c r="H109" s="1095"/>
    </row>
    <row r="110" spans="1:8" s="1064" customFormat="1" ht="14.25" customHeight="1" thickBot="1">
      <c r="A110" s="1076" t="s">
        <v>1407</v>
      </c>
      <c r="B110" s="1077" t="s">
        <v>1408</v>
      </c>
      <c r="C110" s="1077">
        <v>10520</v>
      </c>
      <c r="D110" s="1077">
        <v>10490</v>
      </c>
      <c r="E110" s="1077">
        <v>10760</v>
      </c>
      <c r="F110" s="1078">
        <v>2160</v>
      </c>
      <c r="H110" s="1095"/>
    </row>
    <row r="111" spans="1:8" s="1064" customFormat="1" ht="14.25" customHeight="1" thickBot="1">
      <c r="A111" s="1076" t="s">
        <v>1407</v>
      </c>
      <c r="B111" s="1070" t="s">
        <v>1073</v>
      </c>
      <c r="C111" s="1070">
        <v>10090</v>
      </c>
      <c r="D111" s="1070">
        <v>10060</v>
      </c>
      <c r="E111" s="1070">
        <v>10300</v>
      </c>
      <c r="F111" s="1088">
        <v>2010</v>
      </c>
      <c r="H111" s="1095"/>
    </row>
    <row r="112" spans="1:8" s="1064" customFormat="1" ht="14.25" customHeight="1" thickBot="1">
      <c r="A112" s="1076" t="s">
        <v>1407</v>
      </c>
      <c r="B112" s="1070" t="s">
        <v>1087</v>
      </c>
      <c r="C112" s="1070">
        <v>9910</v>
      </c>
      <c r="D112" s="1070">
        <v>9850</v>
      </c>
      <c r="E112" s="1070">
        <v>9960</v>
      </c>
      <c r="F112" s="1088">
        <v>2090</v>
      </c>
      <c r="H112" s="1095"/>
    </row>
    <row r="113" spans="1:8" s="1064" customFormat="1" ht="14.25" customHeight="1" thickBot="1">
      <c r="A113" s="1076" t="s">
        <v>1407</v>
      </c>
      <c r="B113" s="1070" t="s">
        <v>1100</v>
      </c>
      <c r="C113" s="1070">
        <v>11430</v>
      </c>
      <c r="D113" s="1070">
        <v>11400</v>
      </c>
      <c r="E113" s="1070">
        <v>11710</v>
      </c>
      <c r="F113" s="1088">
        <v>2050</v>
      </c>
      <c r="H113" s="1095"/>
    </row>
    <row r="114" spans="1:8" s="1064" customFormat="1" ht="14.25" customHeight="1" thickBot="1">
      <c r="A114" s="1076" t="s">
        <v>1407</v>
      </c>
      <c r="B114" s="1070" t="s">
        <v>1114</v>
      </c>
      <c r="C114" s="1070">
        <v>11390</v>
      </c>
      <c r="D114" s="1070">
        <v>11350</v>
      </c>
      <c r="E114" s="1070">
        <v>11640</v>
      </c>
      <c r="F114" s="1088">
        <v>1620</v>
      </c>
      <c r="H114" s="1095"/>
    </row>
    <row r="115" spans="1:8" s="1064" customFormat="1" ht="14.25" customHeight="1" thickBot="1">
      <c r="A115" s="1076" t="s">
        <v>1407</v>
      </c>
      <c r="B115" s="1070" t="s">
        <v>1125</v>
      </c>
      <c r="C115" s="1070">
        <v>9930</v>
      </c>
      <c r="D115" s="1070">
        <v>9900</v>
      </c>
      <c r="E115" s="1070">
        <v>10160</v>
      </c>
      <c r="F115" s="1088">
        <v>1580</v>
      </c>
      <c r="H115" s="1095"/>
    </row>
    <row r="116" spans="1:8" s="1064" customFormat="1" ht="14.25" customHeight="1" thickBot="1">
      <c r="A116" s="1076" t="s">
        <v>1407</v>
      </c>
      <c r="B116" s="1070" t="s">
        <v>1136</v>
      </c>
      <c r="C116" s="1070">
        <v>9150</v>
      </c>
      <c r="D116" s="1070">
        <v>9120</v>
      </c>
      <c r="E116" s="1070">
        <v>9380</v>
      </c>
      <c r="F116" s="1088">
        <v>1750</v>
      </c>
      <c r="H116" s="1095"/>
    </row>
    <row r="117" spans="1:8" s="1064" customFormat="1" ht="14.25" customHeight="1" thickBot="1">
      <c r="A117" s="1076" t="s">
        <v>1407</v>
      </c>
      <c r="B117" s="1070" t="s">
        <v>1147</v>
      </c>
      <c r="C117" s="1070">
        <v>10680</v>
      </c>
      <c r="D117" s="1070">
        <v>10650</v>
      </c>
      <c r="E117" s="1070">
        <v>10970</v>
      </c>
      <c r="F117" s="1088">
        <v>1730</v>
      </c>
      <c r="H117" s="1095"/>
    </row>
    <row r="118" spans="1:8" s="1064" customFormat="1" ht="14.25" customHeight="1" thickBot="1">
      <c r="A118" s="1076" t="s">
        <v>1407</v>
      </c>
      <c r="B118" s="1070" t="s">
        <v>1159</v>
      </c>
      <c r="C118" s="1070">
        <v>10080</v>
      </c>
      <c r="D118" s="1070">
        <v>10050</v>
      </c>
      <c r="E118" s="1070">
        <v>10350</v>
      </c>
      <c r="F118" s="1088">
        <v>1920</v>
      </c>
      <c r="H118" s="1095"/>
    </row>
    <row r="119" spans="1:8" s="1064" customFormat="1" ht="14.25" customHeight="1" thickBot="1">
      <c r="A119" s="1076" t="s">
        <v>1407</v>
      </c>
      <c r="B119" s="1070" t="s">
        <v>1169</v>
      </c>
      <c r="C119" s="1070">
        <v>9450</v>
      </c>
      <c r="D119" s="1070">
        <v>9410</v>
      </c>
      <c r="E119" s="1070">
        <v>9680</v>
      </c>
      <c r="F119" s="1088">
        <v>1880</v>
      </c>
      <c r="H119" s="1095"/>
    </row>
    <row r="120" spans="1:8" s="1064" customFormat="1" ht="14.25" customHeight="1" thickBot="1">
      <c r="A120" s="1076" t="s">
        <v>1407</v>
      </c>
      <c r="B120" s="1070" t="s">
        <v>1179</v>
      </c>
      <c r="C120" s="1070">
        <v>8730</v>
      </c>
      <c r="D120" s="1070">
        <v>8700</v>
      </c>
      <c r="E120" s="1070">
        <v>8950</v>
      </c>
      <c r="F120" s="1088">
        <v>1830</v>
      </c>
      <c r="H120" s="1095"/>
    </row>
    <row r="121" spans="1:8" s="1064" customFormat="1" ht="14.25" customHeight="1" thickBot="1">
      <c r="A121" s="1076" t="s">
        <v>1407</v>
      </c>
      <c r="B121" s="1070" t="s">
        <v>1189</v>
      </c>
      <c r="C121" s="1070">
        <v>10070</v>
      </c>
      <c r="D121" s="1070">
        <v>10040</v>
      </c>
      <c r="E121" s="1070">
        <v>10270</v>
      </c>
      <c r="F121" s="1088">
        <v>1960</v>
      </c>
      <c r="H121" s="1095"/>
    </row>
    <row r="122" spans="1:8" s="1064" customFormat="1" ht="14.25" customHeight="1" thickBot="1">
      <c r="A122" s="1076" t="s">
        <v>1407</v>
      </c>
      <c r="B122" s="1070" t="s">
        <v>1199</v>
      </c>
      <c r="C122" s="1070">
        <v>10500</v>
      </c>
      <c r="D122" s="1070">
        <v>10470</v>
      </c>
      <c r="E122" s="1070">
        <v>10780</v>
      </c>
      <c r="F122" s="1088">
        <v>2180</v>
      </c>
      <c r="H122" s="1095"/>
    </row>
    <row r="123" spans="1:8" s="1064" customFormat="1" ht="14.25" customHeight="1" thickBot="1">
      <c r="A123" s="1076" t="s">
        <v>1407</v>
      </c>
      <c r="B123" s="1070" t="s">
        <v>1209</v>
      </c>
      <c r="C123" s="1070">
        <v>10390</v>
      </c>
      <c r="D123" s="1070">
        <v>10360</v>
      </c>
      <c r="E123" s="1070">
        <v>10660</v>
      </c>
      <c r="F123" s="1088">
        <v>2040</v>
      </c>
      <c r="H123" s="1095"/>
    </row>
    <row r="124" spans="1:8" s="1064" customFormat="1" ht="14.25" customHeight="1" thickBot="1">
      <c r="A124" s="1076" t="s">
        <v>1407</v>
      </c>
      <c r="B124" s="1070" t="s">
        <v>1219</v>
      </c>
      <c r="C124" s="1070">
        <v>10390</v>
      </c>
      <c r="D124" s="1070">
        <v>10360</v>
      </c>
      <c r="E124" s="1070">
        <v>10680</v>
      </c>
      <c r="F124" s="1097"/>
      <c r="H124" s="1095"/>
    </row>
    <row r="125" spans="1:8" s="1064" customFormat="1" ht="14.25" customHeight="1" thickBot="1">
      <c r="A125" s="1076" t="s">
        <v>1407</v>
      </c>
      <c r="B125" s="1070" t="s">
        <v>1229</v>
      </c>
      <c r="C125" s="1070">
        <v>10440</v>
      </c>
      <c r="D125" s="1070">
        <v>10410</v>
      </c>
      <c r="E125" s="1070">
        <v>10710</v>
      </c>
      <c r="F125" s="1097"/>
      <c r="H125" s="1095"/>
    </row>
    <row r="126" spans="1:8" s="1064" customFormat="1" ht="14.25" customHeight="1" thickBot="1">
      <c r="A126" s="1076" t="s">
        <v>1407</v>
      </c>
      <c r="B126" s="1070" t="s">
        <v>1239</v>
      </c>
      <c r="C126" s="1070">
        <v>10780</v>
      </c>
      <c r="D126" s="1070">
        <v>10750</v>
      </c>
      <c r="E126" s="1070">
        <v>11080</v>
      </c>
      <c r="F126" s="1097"/>
      <c r="H126" s="1095"/>
    </row>
    <row r="127" spans="1:8" s="1064" customFormat="1" ht="14.25" customHeight="1" thickBot="1">
      <c r="A127" s="1076" t="s">
        <v>1407</v>
      </c>
      <c r="B127" s="1070" t="s">
        <v>1249</v>
      </c>
      <c r="C127" s="1070">
        <v>10100</v>
      </c>
      <c r="D127" s="1070">
        <v>10070</v>
      </c>
      <c r="E127" s="1070">
        <v>10350</v>
      </c>
      <c r="F127" s="1097"/>
      <c r="H127" s="1095"/>
    </row>
    <row r="128" spans="1:8" s="1064" customFormat="1" ht="14.25" customHeight="1" thickBot="1">
      <c r="A128" s="1076" t="s">
        <v>1407</v>
      </c>
      <c r="B128" s="1070" t="s">
        <v>1259</v>
      </c>
      <c r="C128" s="1070">
        <v>9200</v>
      </c>
      <c r="D128" s="1070">
        <v>9160</v>
      </c>
      <c r="E128" s="1070">
        <v>9660</v>
      </c>
      <c r="F128" s="1097"/>
      <c r="H128" s="1095"/>
    </row>
    <row r="129" spans="1:8" s="1064" customFormat="1" ht="14.25" customHeight="1" thickBot="1">
      <c r="A129" s="1076" t="s">
        <v>1407</v>
      </c>
      <c r="B129" s="1070" t="s">
        <v>1268</v>
      </c>
      <c r="C129" s="1070">
        <v>10340</v>
      </c>
      <c r="D129" s="1070">
        <v>10310</v>
      </c>
      <c r="E129" s="1070">
        <v>10580</v>
      </c>
      <c r="F129" s="1097"/>
      <c r="H129" s="1095"/>
    </row>
    <row r="130" spans="1:8" s="1064" customFormat="1" ht="14.25" customHeight="1" thickBot="1">
      <c r="A130" s="1076" t="s">
        <v>1407</v>
      </c>
      <c r="B130" s="1070" t="s">
        <v>1277</v>
      </c>
      <c r="C130" s="1070">
        <v>9680</v>
      </c>
      <c r="D130" s="1070">
        <v>9660</v>
      </c>
      <c r="E130" s="1070">
        <v>9950</v>
      </c>
      <c r="F130" s="1097"/>
      <c r="H130" s="1095"/>
    </row>
    <row r="131" spans="1:8" s="1064" customFormat="1" ht="14.25" customHeight="1" thickBot="1">
      <c r="A131" s="1076" t="s">
        <v>1407</v>
      </c>
      <c r="B131" s="1070" t="s">
        <v>1285</v>
      </c>
      <c r="C131" s="1070">
        <v>9540</v>
      </c>
      <c r="D131" s="1070">
        <v>9510</v>
      </c>
      <c r="E131" s="1070">
        <v>9790</v>
      </c>
      <c r="F131" s="1097"/>
      <c r="H131" s="1095"/>
    </row>
    <row r="132" spans="1:8" s="1064" customFormat="1" ht="14.25" customHeight="1" thickBot="1">
      <c r="A132" s="1076" t="s">
        <v>1407</v>
      </c>
      <c r="B132" s="1070" t="s">
        <v>1292</v>
      </c>
      <c r="C132" s="1070">
        <v>9320</v>
      </c>
      <c r="D132" s="1070">
        <v>9290</v>
      </c>
      <c r="E132" s="1070">
        <v>9570</v>
      </c>
      <c r="F132" s="1097"/>
      <c r="H132" s="1095"/>
    </row>
    <row r="133" spans="1:8" s="1064" customFormat="1" ht="14.25" customHeight="1" thickBot="1">
      <c r="A133" s="1076" t="s">
        <v>1407</v>
      </c>
      <c r="B133" s="1070" t="s">
        <v>1299</v>
      </c>
      <c r="C133" s="1070">
        <v>10310</v>
      </c>
      <c r="D133" s="1070">
        <v>10280</v>
      </c>
      <c r="E133" s="1070">
        <v>10530</v>
      </c>
      <c r="F133" s="1097"/>
      <c r="H133" s="1095"/>
    </row>
    <row r="134" spans="1:8" s="1064" customFormat="1" ht="14.25" customHeight="1" thickBot="1">
      <c r="A134" s="1076" t="s">
        <v>1407</v>
      </c>
      <c r="B134" s="1070" t="s">
        <v>1306</v>
      </c>
      <c r="C134" s="1070">
        <v>10370</v>
      </c>
      <c r="D134" s="1070">
        <v>10310</v>
      </c>
      <c r="E134" s="1070">
        <v>10240</v>
      </c>
      <c r="F134" s="1088">
        <v>2060</v>
      </c>
      <c r="H134" s="1095"/>
    </row>
    <row r="135" spans="1:8" s="1064" customFormat="1" ht="14.25" customHeight="1" thickBot="1">
      <c r="A135" s="1076" t="s">
        <v>1407</v>
      </c>
      <c r="B135" s="1070" t="s">
        <v>1313</v>
      </c>
      <c r="C135" s="1070">
        <v>9300</v>
      </c>
      <c r="D135" s="1070">
        <v>9270</v>
      </c>
      <c r="E135" s="1070">
        <v>9350</v>
      </c>
      <c r="F135" s="1097"/>
      <c r="H135" s="1095"/>
    </row>
    <row r="136" spans="1:8" s="1064" customFormat="1" ht="14.25" customHeight="1" thickBot="1">
      <c r="A136" s="1076" t="s">
        <v>1407</v>
      </c>
      <c r="B136" s="1070" t="s">
        <v>1320</v>
      </c>
      <c r="C136" s="1070">
        <v>10160</v>
      </c>
      <c r="D136" s="1070">
        <v>10110</v>
      </c>
      <c r="E136" s="1070">
        <v>10080</v>
      </c>
      <c r="F136" s="1097"/>
      <c r="H136" s="1095"/>
    </row>
    <row r="137" spans="1:8" s="1064" customFormat="1" ht="14.25" customHeight="1" thickBot="1">
      <c r="A137" s="1076" t="s">
        <v>1407</v>
      </c>
      <c r="B137" s="1070" t="s">
        <v>1327</v>
      </c>
      <c r="C137" s="1070">
        <v>9200</v>
      </c>
      <c r="D137" s="1070">
        <v>9170</v>
      </c>
      <c r="E137" s="1070">
        <v>9450</v>
      </c>
      <c r="F137" s="1097"/>
      <c r="H137" s="1095"/>
    </row>
    <row r="138" spans="1:8" s="1064" customFormat="1" ht="14.25" customHeight="1" thickBot="1">
      <c r="A138" s="1076" t="s">
        <v>1407</v>
      </c>
      <c r="B138" s="1070" t="s">
        <v>1332</v>
      </c>
      <c r="C138" s="1070">
        <v>9690</v>
      </c>
      <c r="D138" s="1070">
        <v>9660</v>
      </c>
      <c r="E138" s="1070">
        <v>9840</v>
      </c>
      <c r="F138" s="1097"/>
      <c r="H138" s="1095"/>
    </row>
    <row r="139" spans="1:8" s="1064" customFormat="1" ht="14.25" customHeight="1" thickBot="1">
      <c r="A139" s="1076" t="s">
        <v>1407</v>
      </c>
      <c r="B139" s="1070" t="s">
        <v>1336</v>
      </c>
      <c r="C139" s="1070">
        <v>10290</v>
      </c>
      <c r="D139" s="1070">
        <v>10260</v>
      </c>
      <c r="E139" s="1070">
        <v>10550</v>
      </c>
      <c r="F139" s="1088">
        <v>1700</v>
      </c>
      <c r="H139" s="1095"/>
    </row>
    <row r="140" spans="1:8" s="1064" customFormat="1" ht="14.25" customHeight="1" thickBot="1">
      <c r="A140" s="1076" t="s">
        <v>1407</v>
      </c>
      <c r="B140" s="1070" t="s">
        <v>1341</v>
      </c>
      <c r="C140" s="1070">
        <v>9740</v>
      </c>
      <c r="D140" s="1070">
        <v>9710</v>
      </c>
      <c r="E140" s="1070">
        <v>10000</v>
      </c>
      <c r="F140" s="1088">
        <v>2000</v>
      </c>
      <c r="H140" s="1095"/>
    </row>
    <row r="141" spans="1:8" s="1064" customFormat="1" ht="14.25" customHeight="1" thickBot="1">
      <c r="A141" s="1076" t="s">
        <v>1407</v>
      </c>
      <c r="B141" s="1070" t="s">
        <v>1346</v>
      </c>
      <c r="C141" s="1070">
        <v>9810</v>
      </c>
      <c r="D141" s="1070">
        <v>9770</v>
      </c>
      <c r="E141" s="1070">
        <v>10060</v>
      </c>
      <c r="F141" s="1097"/>
      <c r="H141" s="1095"/>
    </row>
    <row r="142" spans="1:8" s="1064" customFormat="1" ht="14.25" customHeight="1" thickBot="1">
      <c r="A142" s="1076" t="s">
        <v>1407</v>
      </c>
      <c r="B142" s="1070" t="s">
        <v>1351</v>
      </c>
      <c r="C142" s="1070">
        <v>9300</v>
      </c>
      <c r="D142" s="1070">
        <v>9270</v>
      </c>
      <c r="E142" s="1070">
        <v>9530</v>
      </c>
      <c r="F142" s="1097"/>
      <c r="H142" s="1095"/>
    </row>
    <row r="143" spans="1:8" s="1064" customFormat="1" ht="14.25" customHeight="1" thickBot="1">
      <c r="A143" s="1076" t="s">
        <v>1407</v>
      </c>
      <c r="B143" s="1070" t="s">
        <v>1356</v>
      </c>
      <c r="C143" s="1070">
        <v>10080</v>
      </c>
      <c r="D143" s="1070">
        <v>10050</v>
      </c>
      <c r="E143" s="1070">
        <v>10340</v>
      </c>
      <c r="F143" s="1097"/>
      <c r="H143" s="1095"/>
    </row>
    <row r="144" spans="1:8" s="1064" customFormat="1" ht="14.25" customHeight="1" thickBot="1">
      <c r="A144" s="1076" t="s">
        <v>1407</v>
      </c>
      <c r="B144" s="1070" t="s">
        <v>1360</v>
      </c>
      <c r="C144" s="1070">
        <v>9820</v>
      </c>
      <c r="D144" s="1070">
        <v>9750</v>
      </c>
      <c r="E144" s="1070">
        <v>9900</v>
      </c>
      <c r="F144" s="1097"/>
      <c r="H144" s="1095"/>
    </row>
    <row r="145" spans="1:8" s="1064" customFormat="1" ht="14.25" customHeight="1" thickBot="1">
      <c r="A145" s="1076" t="s">
        <v>1407</v>
      </c>
      <c r="B145" s="1070" t="s">
        <v>1364</v>
      </c>
      <c r="C145" s="1070"/>
      <c r="D145" s="1070"/>
      <c r="E145" s="1070"/>
      <c r="F145" s="1088">
        <v>1740</v>
      </c>
      <c r="H145" s="1095"/>
    </row>
    <row r="146" spans="1:8" s="1064" customFormat="1" ht="14.25" customHeight="1" thickBot="1">
      <c r="A146" s="1076" t="s">
        <v>1407</v>
      </c>
      <c r="B146" s="1070" t="s">
        <v>1368</v>
      </c>
      <c r="C146" s="1070"/>
      <c r="D146" s="1070"/>
      <c r="E146" s="1070"/>
      <c r="F146" s="1088">
        <v>1740</v>
      </c>
      <c r="H146" s="1095"/>
    </row>
    <row r="147" spans="1:8" s="1064" customFormat="1" ht="14.25" customHeight="1" thickBot="1">
      <c r="A147" s="1076" t="s">
        <v>1407</v>
      </c>
      <c r="B147" s="1070" t="s">
        <v>1372</v>
      </c>
      <c r="C147" s="1070"/>
      <c r="D147" s="1070"/>
      <c r="E147" s="1070"/>
      <c r="F147" s="1088">
        <v>1740</v>
      </c>
      <c r="H147" s="1095"/>
    </row>
    <row r="148" spans="1:8" s="1064" customFormat="1" ht="14.25" customHeight="1" thickBot="1">
      <c r="A148" s="1076" t="s">
        <v>1407</v>
      </c>
      <c r="B148" s="1070" t="s">
        <v>1376</v>
      </c>
      <c r="C148" s="1070"/>
      <c r="D148" s="1070"/>
      <c r="E148" s="1070"/>
      <c r="F148" s="1088">
        <v>1740</v>
      </c>
      <c r="H148" s="1095"/>
    </row>
    <row r="149" spans="1:8" s="1064" customFormat="1" ht="14.25" customHeight="1" thickBot="1">
      <c r="A149" s="1076" t="s">
        <v>1407</v>
      </c>
      <c r="B149" s="1070" t="s">
        <v>1380</v>
      </c>
      <c r="C149" s="1070"/>
      <c r="D149" s="1070"/>
      <c r="E149" s="1070"/>
      <c r="F149" s="1088">
        <v>1740</v>
      </c>
      <c r="H149" s="1095"/>
    </row>
    <row r="150" spans="1:8" s="1064" customFormat="1" ht="14.25" customHeight="1" thickBot="1">
      <c r="A150" s="1076" t="s">
        <v>1407</v>
      </c>
      <c r="B150" s="1070" t="s">
        <v>1383</v>
      </c>
      <c r="C150" s="1070"/>
      <c r="D150" s="1070"/>
      <c r="E150" s="1070"/>
      <c r="F150" s="1088">
        <v>1610</v>
      </c>
      <c r="H150" s="1095"/>
    </row>
    <row r="151" spans="1:8" s="1064" customFormat="1" ht="14.25" customHeight="1" thickBot="1">
      <c r="A151" s="1076" t="s">
        <v>1407</v>
      </c>
      <c r="B151" s="1070" t="s">
        <v>1386</v>
      </c>
      <c r="C151" s="1070"/>
      <c r="D151" s="1070"/>
      <c r="E151" s="1070"/>
      <c r="F151" s="1088">
        <v>1610</v>
      </c>
      <c r="H151" s="1095"/>
    </row>
    <row r="152" spans="1:8" s="1064" customFormat="1" ht="14.25" customHeight="1" thickBot="1">
      <c r="A152" s="1076" t="s">
        <v>1407</v>
      </c>
      <c r="B152" s="1070" t="s">
        <v>1389</v>
      </c>
      <c r="C152" s="1070"/>
      <c r="D152" s="1070"/>
      <c r="E152" s="1070"/>
      <c r="F152" s="1088">
        <v>1610</v>
      </c>
      <c r="H152" s="1095"/>
    </row>
    <row r="153" spans="1:8" s="1064" customFormat="1" ht="14.25" customHeight="1" thickBot="1">
      <c r="A153" s="1076" t="s">
        <v>1407</v>
      </c>
      <c r="B153" s="1070" t="s">
        <v>1392</v>
      </c>
      <c r="C153" s="1070"/>
      <c r="D153" s="1070"/>
      <c r="E153" s="1070"/>
      <c r="F153" s="1088">
        <v>1610</v>
      </c>
      <c r="H153" s="1095"/>
    </row>
    <row r="154" spans="1:8" s="1064" customFormat="1" ht="14.25" customHeight="1" thickBot="1">
      <c r="A154" s="1076" t="s">
        <v>1407</v>
      </c>
      <c r="B154" s="1070" t="s">
        <v>1395</v>
      </c>
      <c r="C154" s="1070"/>
      <c r="D154" s="1070"/>
      <c r="E154" s="1070"/>
      <c r="F154" s="1088">
        <v>1610</v>
      </c>
      <c r="H154" s="1095"/>
    </row>
    <row r="155" spans="1:8" s="1064" customFormat="1" ht="14.25" customHeight="1" thickBot="1">
      <c r="A155" s="1076" t="s">
        <v>1407</v>
      </c>
      <c r="B155" s="1070" t="s">
        <v>1398</v>
      </c>
      <c r="C155" s="1070"/>
      <c r="D155" s="1070"/>
      <c r="E155" s="1070"/>
      <c r="F155" s="1088">
        <v>1800</v>
      </c>
      <c r="H155" s="1095"/>
    </row>
    <row r="156" spans="1:8" s="1064" customFormat="1" ht="14.25" customHeight="1" thickBot="1">
      <c r="A156" s="1076" t="s">
        <v>1407</v>
      </c>
      <c r="B156" s="1070" t="s">
        <v>1400</v>
      </c>
      <c r="C156" s="1070"/>
      <c r="D156" s="1070"/>
      <c r="E156" s="1070"/>
      <c r="F156" s="1088">
        <v>1910</v>
      </c>
      <c r="H156" s="1095"/>
    </row>
    <row r="157" spans="1:8" s="1064" customFormat="1" ht="14.25" customHeight="1" thickBot="1">
      <c r="A157" s="1076" t="s">
        <v>1407</v>
      </c>
      <c r="B157" s="1086" t="s">
        <v>1403</v>
      </c>
      <c r="C157" s="1086"/>
      <c r="D157" s="1086"/>
      <c r="E157" s="1086"/>
      <c r="F157" s="1096">
        <v>1500</v>
      </c>
      <c r="H157" s="1095"/>
    </row>
    <row r="158" spans="1:8" s="1064" customFormat="1" ht="14.25" customHeight="1" thickBot="1">
      <c r="A158" s="1076" t="s">
        <v>1409</v>
      </c>
      <c r="B158" s="1077" t="s">
        <v>1410</v>
      </c>
      <c r="C158" s="1077">
        <v>8170</v>
      </c>
      <c r="D158" s="1077">
        <v>8140</v>
      </c>
      <c r="E158" s="1077">
        <v>8590</v>
      </c>
      <c r="F158" s="1078">
        <v>1450</v>
      </c>
      <c r="H158" s="1095"/>
    </row>
    <row r="159" spans="1:8" s="1064" customFormat="1" ht="14.25" customHeight="1" thickBot="1">
      <c r="A159" s="1076" t="s">
        <v>1409</v>
      </c>
      <c r="B159" s="1070" t="s">
        <v>1074</v>
      </c>
      <c r="C159" s="1070">
        <v>7410</v>
      </c>
      <c r="D159" s="1070">
        <v>7370</v>
      </c>
      <c r="E159" s="1070">
        <v>8030</v>
      </c>
      <c r="F159" s="1088">
        <v>1510</v>
      </c>
      <c r="H159" s="1095"/>
    </row>
    <row r="160" spans="1:8" s="1064" customFormat="1" ht="14.25" customHeight="1" thickBot="1">
      <c r="A160" s="1076" t="s">
        <v>1409</v>
      </c>
      <c r="B160" s="1070" t="s">
        <v>1088</v>
      </c>
      <c r="C160" s="1070">
        <v>7240</v>
      </c>
      <c r="D160" s="1070">
        <v>7210</v>
      </c>
      <c r="E160" s="1070">
        <v>7860</v>
      </c>
      <c r="F160" s="1088">
        <v>1370</v>
      </c>
      <c r="H160" s="1095"/>
    </row>
    <row r="161" spans="1:8" s="1064" customFormat="1" ht="14.25" customHeight="1" thickBot="1">
      <c r="A161" s="1076" t="s">
        <v>1409</v>
      </c>
      <c r="B161" s="1070" t="s">
        <v>1101</v>
      </c>
      <c r="C161" s="1070">
        <v>7720</v>
      </c>
      <c r="D161" s="1070">
        <v>7690</v>
      </c>
      <c r="E161" s="1070">
        <v>8200</v>
      </c>
      <c r="F161" s="1088">
        <v>1190</v>
      </c>
      <c r="H161" s="1095"/>
    </row>
    <row r="162" spans="1:8" s="1064" customFormat="1" ht="14.25" customHeight="1" thickBot="1">
      <c r="A162" s="1076" t="s">
        <v>1409</v>
      </c>
      <c r="B162" s="1070" t="s">
        <v>1115</v>
      </c>
      <c r="C162" s="1070">
        <v>6900</v>
      </c>
      <c r="D162" s="1070">
        <v>6870</v>
      </c>
      <c r="E162" s="1070">
        <v>7500</v>
      </c>
      <c r="F162" s="1088">
        <v>1390</v>
      </c>
      <c r="H162" s="1095"/>
    </row>
    <row r="163" spans="1:8" s="1064" customFormat="1" ht="14.25" customHeight="1" thickBot="1">
      <c r="A163" s="1076" t="s">
        <v>1409</v>
      </c>
      <c r="B163" s="1070" t="s">
        <v>1126</v>
      </c>
      <c r="C163" s="1070">
        <v>7120</v>
      </c>
      <c r="D163" s="1070">
        <v>7090</v>
      </c>
      <c r="E163" s="1070">
        <v>7690</v>
      </c>
      <c r="F163" s="1088">
        <v>1230</v>
      </c>
      <c r="H163" s="1095"/>
    </row>
    <row r="164" spans="1:8" s="1064" customFormat="1" ht="14.25" customHeight="1" thickBot="1">
      <c r="A164" s="1076" t="s">
        <v>1409</v>
      </c>
      <c r="B164" s="1070" t="s">
        <v>1137</v>
      </c>
      <c r="C164" s="1070">
        <v>6560</v>
      </c>
      <c r="D164" s="1070">
        <v>6530</v>
      </c>
      <c r="E164" s="1070">
        <v>7110</v>
      </c>
      <c r="F164" s="1088">
        <v>1340</v>
      </c>
      <c r="H164" s="1095"/>
    </row>
    <row r="165" spans="1:8" s="1064" customFormat="1" ht="14.25" customHeight="1" thickBot="1">
      <c r="A165" s="1076" t="s">
        <v>1409</v>
      </c>
      <c r="B165" s="1070" t="s">
        <v>1148</v>
      </c>
      <c r="C165" s="1070">
        <v>7450</v>
      </c>
      <c r="D165" s="1070">
        <v>7430</v>
      </c>
      <c r="E165" s="1070">
        <v>8110</v>
      </c>
      <c r="F165" s="1088">
        <v>1290</v>
      </c>
      <c r="H165" s="1095"/>
    </row>
    <row r="166" spans="1:8" s="1064" customFormat="1" ht="14.25" customHeight="1" thickBot="1">
      <c r="A166" s="1076" t="s">
        <v>1409</v>
      </c>
      <c r="B166" s="1070" t="s">
        <v>1160</v>
      </c>
      <c r="C166" s="1070">
        <v>7490</v>
      </c>
      <c r="D166" s="1070">
        <v>7460</v>
      </c>
      <c r="E166" s="1070">
        <v>8150</v>
      </c>
      <c r="F166" s="1088">
        <v>1350</v>
      </c>
      <c r="H166" s="1095"/>
    </row>
    <row r="167" spans="1:8" s="1064" customFormat="1" ht="14.25" customHeight="1" thickBot="1">
      <c r="A167" s="1076" t="s">
        <v>1409</v>
      </c>
      <c r="B167" s="1070" t="s">
        <v>1170</v>
      </c>
      <c r="C167" s="1070">
        <v>7540</v>
      </c>
      <c r="D167" s="1070">
        <v>7510</v>
      </c>
      <c r="E167" s="1070">
        <v>8030</v>
      </c>
      <c r="F167" s="1097"/>
      <c r="H167" s="1095"/>
    </row>
    <row r="168" spans="1:8" s="1064" customFormat="1" ht="14.25" customHeight="1" thickBot="1">
      <c r="A168" s="1076" t="s">
        <v>1409</v>
      </c>
      <c r="B168" s="1070" t="s">
        <v>1180</v>
      </c>
      <c r="C168" s="1070">
        <v>7210</v>
      </c>
      <c r="D168" s="1070">
        <v>7180</v>
      </c>
      <c r="E168" s="1070">
        <v>7830</v>
      </c>
      <c r="F168" s="1097"/>
      <c r="H168" s="1095"/>
    </row>
    <row r="169" spans="1:8" s="1064" customFormat="1" ht="14.25" customHeight="1" thickBot="1">
      <c r="A169" s="1076" t="s">
        <v>1409</v>
      </c>
      <c r="B169" s="1070" t="s">
        <v>1190</v>
      </c>
      <c r="C169" s="1070">
        <v>7040</v>
      </c>
      <c r="D169" s="1070">
        <v>7020</v>
      </c>
      <c r="E169" s="1070">
        <v>7670</v>
      </c>
      <c r="F169" s="1097"/>
      <c r="H169" s="1095"/>
    </row>
    <row r="170" spans="1:8" s="1064" customFormat="1" ht="14.25" customHeight="1" thickBot="1">
      <c r="A170" s="1076" t="s">
        <v>1409</v>
      </c>
      <c r="B170" s="1070" t="s">
        <v>1200</v>
      </c>
      <c r="C170" s="1070">
        <v>8040</v>
      </c>
      <c r="D170" s="1070">
        <v>7190</v>
      </c>
      <c r="E170" s="1070">
        <v>7850</v>
      </c>
      <c r="F170" s="1097"/>
      <c r="H170" s="1095"/>
    </row>
    <row r="171" spans="1:8" s="1064" customFormat="1" ht="14.25" customHeight="1" thickBot="1">
      <c r="A171" s="1076" t="s">
        <v>1409</v>
      </c>
      <c r="B171" s="1070" t="s">
        <v>1210</v>
      </c>
      <c r="C171" s="1070">
        <v>7860</v>
      </c>
      <c r="D171" s="1070">
        <v>7720</v>
      </c>
      <c r="E171" s="1070">
        <v>8150</v>
      </c>
      <c r="F171" s="1088">
        <v>1110</v>
      </c>
      <c r="H171" s="1095"/>
    </row>
    <row r="172" spans="1:8" s="1064" customFormat="1" ht="14.25" customHeight="1" thickBot="1">
      <c r="A172" s="1076" t="s">
        <v>1409</v>
      </c>
      <c r="B172" s="1070" t="s">
        <v>1220</v>
      </c>
      <c r="C172" s="1070">
        <v>7210</v>
      </c>
      <c r="D172" s="1070">
        <v>7170</v>
      </c>
      <c r="E172" s="1070">
        <v>7320</v>
      </c>
      <c r="F172" s="1097"/>
      <c r="H172" s="1095"/>
    </row>
    <row r="173" spans="1:8" s="1064" customFormat="1" ht="14.25" customHeight="1" thickBot="1">
      <c r="A173" s="1076" t="s">
        <v>1409</v>
      </c>
      <c r="B173" s="1070" t="s">
        <v>1230</v>
      </c>
      <c r="C173" s="1070">
        <v>6860</v>
      </c>
      <c r="D173" s="1070">
        <v>6810</v>
      </c>
      <c r="E173" s="1070">
        <v>7440</v>
      </c>
      <c r="F173" s="1097"/>
      <c r="H173" s="1095"/>
    </row>
    <row r="174" spans="1:8" s="1064" customFormat="1" ht="14.25" customHeight="1" thickBot="1">
      <c r="A174" s="1076" t="s">
        <v>1409</v>
      </c>
      <c r="B174" s="1070" t="s">
        <v>1240</v>
      </c>
      <c r="C174" s="1070">
        <v>7120</v>
      </c>
      <c r="D174" s="1070">
        <v>7090</v>
      </c>
      <c r="E174" s="1070">
        <v>7500</v>
      </c>
      <c r="F174" s="1088">
        <v>1490</v>
      </c>
      <c r="H174" s="1095"/>
    </row>
    <row r="175" spans="1:8" s="1064" customFormat="1" ht="14.25" customHeight="1" thickBot="1">
      <c r="A175" s="1076" t="s">
        <v>1409</v>
      </c>
      <c r="B175" s="1070" t="s">
        <v>1250</v>
      </c>
      <c r="C175" s="1070">
        <v>7850</v>
      </c>
      <c r="D175" s="1070">
        <v>7820</v>
      </c>
      <c r="E175" s="1070">
        <v>8120</v>
      </c>
      <c r="F175" s="1088">
        <v>1530</v>
      </c>
      <c r="H175" s="1095"/>
    </row>
    <row r="176" spans="1:8" s="1064" customFormat="1" ht="14.25" customHeight="1" thickBot="1">
      <c r="A176" s="1076" t="s">
        <v>1409</v>
      </c>
      <c r="B176" s="1070" t="s">
        <v>1260</v>
      </c>
      <c r="C176" s="1070">
        <v>7620</v>
      </c>
      <c r="D176" s="1070">
        <v>7570</v>
      </c>
      <c r="E176" s="1070">
        <v>7990</v>
      </c>
      <c r="F176" s="1088">
        <v>1480</v>
      </c>
      <c r="H176" s="1095"/>
    </row>
    <row r="177" spans="1:8" s="1064" customFormat="1" ht="14.25" customHeight="1" thickBot="1">
      <c r="A177" s="1076" t="s">
        <v>1409</v>
      </c>
      <c r="B177" s="1070" t="s">
        <v>1269</v>
      </c>
      <c r="C177" s="1070">
        <v>8590</v>
      </c>
      <c r="D177" s="1070">
        <v>8570</v>
      </c>
      <c r="E177" s="1070">
        <v>8740</v>
      </c>
      <c r="F177" s="1088">
        <v>1540</v>
      </c>
      <c r="H177" s="1095"/>
    </row>
    <row r="178" spans="1:8" s="1064" customFormat="1" ht="14.25" customHeight="1" thickBot="1">
      <c r="A178" s="1076" t="s">
        <v>1409</v>
      </c>
      <c r="B178" s="1070" t="s">
        <v>1278</v>
      </c>
      <c r="C178" s="1070">
        <v>7510</v>
      </c>
      <c r="D178" s="1070">
        <v>7470</v>
      </c>
      <c r="E178" s="1070">
        <v>8090</v>
      </c>
      <c r="F178" s="1088">
        <v>1320</v>
      </c>
      <c r="H178" s="1095"/>
    </row>
    <row r="179" spans="1:8" s="1064" customFormat="1" ht="14.25" customHeight="1" thickBot="1">
      <c r="A179" s="1076" t="s">
        <v>1409</v>
      </c>
      <c r="B179" s="1070" t="s">
        <v>1286</v>
      </c>
      <c r="C179" s="1070">
        <v>6380</v>
      </c>
      <c r="D179" s="1070">
        <v>6340</v>
      </c>
      <c r="E179" s="1070">
        <v>6810</v>
      </c>
      <c r="F179" s="1097"/>
      <c r="H179" s="1095"/>
    </row>
    <row r="180" spans="1:8" s="1064" customFormat="1" ht="14.25" customHeight="1" thickBot="1">
      <c r="A180" s="1076" t="s">
        <v>1409</v>
      </c>
      <c r="B180" s="1070" t="s">
        <v>1293</v>
      </c>
      <c r="C180" s="1070">
        <v>7830</v>
      </c>
      <c r="D180" s="1070">
        <v>7800</v>
      </c>
      <c r="E180" s="1070">
        <v>7780</v>
      </c>
      <c r="F180" s="1088">
        <v>1440</v>
      </c>
      <c r="H180" s="1095"/>
    </row>
    <row r="181" spans="1:8" s="1064" customFormat="1" ht="14.25" customHeight="1" thickBot="1">
      <c r="A181" s="1076" t="s">
        <v>1409</v>
      </c>
      <c r="B181" s="1070" t="s">
        <v>1300</v>
      </c>
      <c r="C181" s="1070">
        <v>7110</v>
      </c>
      <c r="D181" s="1070">
        <v>7080</v>
      </c>
      <c r="E181" s="1070">
        <v>7730</v>
      </c>
      <c r="F181" s="1088">
        <v>1350</v>
      </c>
      <c r="H181" s="1095"/>
    </row>
    <row r="182" spans="1:8" s="1064" customFormat="1" ht="14.25" customHeight="1" thickBot="1">
      <c r="A182" s="1076" t="s">
        <v>1409</v>
      </c>
      <c r="B182" s="1070" t="s">
        <v>1307</v>
      </c>
      <c r="C182" s="1070">
        <v>7310</v>
      </c>
      <c r="D182" s="1070">
        <v>7280</v>
      </c>
      <c r="E182" s="1070">
        <v>7950</v>
      </c>
      <c r="F182" s="1088">
        <v>1220</v>
      </c>
      <c r="H182" s="1095"/>
    </row>
    <row r="183" spans="1:8" s="1064" customFormat="1" ht="14.25" customHeight="1" thickBot="1">
      <c r="A183" s="1076" t="s">
        <v>1409</v>
      </c>
      <c r="B183" s="1070" t="s">
        <v>1314</v>
      </c>
      <c r="C183" s="1070">
        <v>7470</v>
      </c>
      <c r="D183" s="1070">
        <v>7440</v>
      </c>
      <c r="E183" s="1070">
        <v>7880</v>
      </c>
      <c r="F183" s="1097"/>
      <c r="H183" s="1095"/>
    </row>
    <row r="184" spans="1:8" s="1064" customFormat="1" ht="14.25" customHeight="1" thickBot="1">
      <c r="A184" s="1076" t="s">
        <v>1409</v>
      </c>
      <c r="B184" s="1070" t="s">
        <v>1321</v>
      </c>
      <c r="C184" s="1070">
        <v>6960</v>
      </c>
      <c r="D184" s="1070">
        <v>6930</v>
      </c>
      <c r="E184" s="1070">
        <v>7570</v>
      </c>
      <c r="F184" s="1097"/>
      <c r="H184" s="1095"/>
    </row>
    <row r="185" spans="1:8" s="1064" customFormat="1" ht="14.25" customHeight="1" thickBot="1">
      <c r="A185" s="1076" t="s">
        <v>1409</v>
      </c>
      <c r="B185" s="1070" t="s">
        <v>1328</v>
      </c>
      <c r="C185" s="1070">
        <v>7260</v>
      </c>
      <c r="D185" s="1070">
        <v>7230</v>
      </c>
      <c r="E185" s="1070">
        <v>7710</v>
      </c>
      <c r="F185" s="1088">
        <v>1360</v>
      </c>
      <c r="H185" s="1095"/>
    </row>
    <row r="186" spans="1:8" s="1064" customFormat="1" ht="14.25" customHeight="1" thickBot="1">
      <c r="A186" s="1076" t="s">
        <v>1409</v>
      </c>
      <c r="B186" s="1070" t="s">
        <v>1333</v>
      </c>
      <c r="C186" s="1070"/>
      <c r="D186" s="1070"/>
      <c r="E186" s="1070"/>
      <c r="F186" s="1088">
        <v>1560</v>
      </c>
      <c r="H186" s="1095"/>
    </row>
    <row r="187" spans="1:8" s="1064" customFormat="1" ht="14.25" customHeight="1" thickBot="1">
      <c r="A187" s="1076" t="s">
        <v>1409</v>
      </c>
      <c r="B187" s="1070" t="s">
        <v>1337</v>
      </c>
      <c r="C187" s="1070"/>
      <c r="D187" s="1070"/>
      <c r="E187" s="1070"/>
      <c r="F187" s="1088">
        <v>1560</v>
      </c>
      <c r="H187" s="1095"/>
    </row>
    <row r="188" spans="1:8" s="1064" customFormat="1" ht="14.25" customHeight="1" thickBot="1">
      <c r="A188" s="1076" t="s">
        <v>1409</v>
      </c>
      <c r="B188" s="1070" t="s">
        <v>1342</v>
      </c>
      <c r="C188" s="1070"/>
      <c r="D188" s="1070"/>
      <c r="E188" s="1070"/>
      <c r="F188" s="1088">
        <v>1560</v>
      </c>
      <c r="H188" s="1095"/>
    </row>
    <row r="189" spans="1:8" s="1064" customFormat="1" ht="14.25" customHeight="1" thickBot="1">
      <c r="A189" s="1076" t="s">
        <v>1409</v>
      </c>
      <c r="B189" s="1070" t="s">
        <v>1347</v>
      </c>
      <c r="C189" s="1070"/>
      <c r="D189" s="1070"/>
      <c r="E189" s="1070"/>
      <c r="F189" s="1088">
        <v>1320</v>
      </c>
      <c r="H189" s="1095"/>
    </row>
    <row r="190" spans="1:8" s="1064" customFormat="1" ht="14.25" customHeight="1" thickBot="1">
      <c r="A190" s="1076" t="s">
        <v>1409</v>
      </c>
      <c r="B190" s="1070" t="s">
        <v>1352</v>
      </c>
      <c r="C190" s="1070"/>
      <c r="D190" s="1070"/>
      <c r="E190" s="1070"/>
      <c r="F190" s="1088">
        <v>1320</v>
      </c>
      <c r="H190" s="1095"/>
    </row>
    <row r="191" spans="1:8" s="1064" customFormat="1" ht="14.25" customHeight="1" thickBot="1">
      <c r="A191" s="1076" t="s">
        <v>1409</v>
      </c>
      <c r="B191" s="1070" t="s">
        <v>1357</v>
      </c>
      <c r="C191" s="1070"/>
      <c r="D191" s="1070"/>
      <c r="E191" s="1070"/>
      <c r="F191" s="1088">
        <v>1320</v>
      </c>
      <c r="H191" s="1095"/>
    </row>
    <row r="192" spans="1:8" s="1064" customFormat="1" ht="14.25" customHeight="1" thickBot="1">
      <c r="A192" s="1076" t="s">
        <v>1409</v>
      </c>
      <c r="B192" s="1070" t="s">
        <v>1361</v>
      </c>
      <c r="C192" s="1070"/>
      <c r="D192" s="1070"/>
      <c r="E192" s="1070"/>
      <c r="F192" s="1088">
        <v>1100</v>
      </c>
      <c r="H192" s="1095"/>
    </row>
    <row r="193" spans="1:8" s="1064" customFormat="1" ht="14.25" customHeight="1" thickBot="1">
      <c r="A193" s="1076" t="s">
        <v>1409</v>
      </c>
      <c r="B193" s="1070" t="s">
        <v>1365</v>
      </c>
      <c r="C193" s="1070"/>
      <c r="D193" s="1070"/>
      <c r="E193" s="1070"/>
      <c r="F193" s="1088">
        <v>1100</v>
      </c>
      <c r="H193" s="1095"/>
    </row>
    <row r="194" spans="1:8" s="1064" customFormat="1" ht="14.25" customHeight="1" thickBot="1">
      <c r="A194" s="1076" t="s">
        <v>1409</v>
      </c>
      <c r="B194" s="1070" t="s">
        <v>1369</v>
      </c>
      <c r="C194" s="1070"/>
      <c r="D194" s="1070"/>
      <c r="E194" s="1070"/>
      <c r="F194" s="1088">
        <v>1080</v>
      </c>
      <c r="H194" s="1095"/>
    </row>
    <row r="195" spans="1:8" s="1064" customFormat="1" ht="14.25" customHeight="1" thickBot="1">
      <c r="A195" s="1076" t="s">
        <v>1409</v>
      </c>
      <c r="B195" s="1070" t="s">
        <v>1373</v>
      </c>
      <c r="C195" s="1070"/>
      <c r="D195" s="1070"/>
      <c r="E195" s="1070"/>
      <c r="F195" s="1088">
        <v>1270</v>
      </c>
      <c r="H195" s="1095"/>
    </row>
    <row r="196" spans="1:8" s="1064" customFormat="1" ht="14.25" customHeight="1" thickBot="1">
      <c r="A196" s="1076" t="s">
        <v>1409</v>
      </c>
      <c r="B196" s="1070" t="s">
        <v>1377</v>
      </c>
      <c r="C196" s="1070"/>
      <c r="D196" s="1070"/>
      <c r="E196" s="1070"/>
      <c r="F196" s="1088">
        <v>1150</v>
      </c>
      <c r="H196" s="1095"/>
    </row>
    <row r="197" spans="1:8" s="1064" customFormat="1" ht="14.25" customHeight="1" thickBot="1">
      <c r="A197" s="1076" t="s">
        <v>1409</v>
      </c>
      <c r="B197" s="1070" t="s">
        <v>1381</v>
      </c>
      <c r="C197" s="1070"/>
      <c r="D197" s="1070"/>
      <c r="E197" s="1070"/>
      <c r="F197" s="1088">
        <v>1330</v>
      </c>
      <c r="H197" s="1095"/>
    </row>
    <row r="198" spans="1:8" s="1064" customFormat="1" ht="14.25" customHeight="1" thickBot="1">
      <c r="A198" s="1076" t="s">
        <v>1409</v>
      </c>
      <c r="B198" s="1070" t="s">
        <v>1384</v>
      </c>
      <c r="C198" s="1070"/>
      <c r="D198" s="1070"/>
      <c r="E198" s="1070"/>
      <c r="F198" s="1088">
        <v>1170</v>
      </c>
      <c r="H198" s="1095"/>
    </row>
    <row r="199" spans="1:8" s="1064" customFormat="1" ht="14.25" customHeight="1" thickBot="1">
      <c r="A199" s="1076" t="s">
        <v>1409</v>
      </c>
      <c r="B199" s="1070" t="s">
        <v>1387</v>
      </c>
      <c r="C199" s="1070"/>
      <c r="D199" s="1070"/>
      <c r="E199" s="1070"/>
      <c r="F199" s="1088">
        <v>1120</v>
      </c>
      <c r="H199" s="1095"/>
    </row>
    <row r="200" spans="1:8" s="1064" customFormat="1" ht="14.25" customHeight="1" thickBot="1">
      <c r="A200" s="1076" t="s">
        <v>1409</v>
      </c>
      <c r="B200" s="1070" t="s">
        <v>1390</v>
      </c>
      <c r="C200" s="1070"/>
      <c r="D200" s="1070"/>
      <c r="E200" s="1070"/>
      <c r="F200" s="1088">
        <v>1120</v>
      </c>
      <c r="H200" s="1095"/>
    </row>
    <row r="201" spans="1:8" s="1064" customFormat="1" ht="14.25" customHeight="1" thickBot="1">
      <c r="A201" s="1076" t="s">
        <v>1409</v>
      </c>
      <c r="B201" s="1070" t="s">
        <v>1393</v>
      </c>
      <c r="C201" s="1070"/>
      <c r="D201" s="1070"/>
      <c r="E201" s="1070"/>
      <c r="F201" s="1088">
        <v>1540</v>
      </c>
      <c r="H201" s="1095"/>
    </row>
    <row r="202" spans="1:8" s="1064" customFormat="1" ht="14.25" customHeight="1" thickBot="1">
      <c r="A202" s="1076" t="s">
        <v>1409</v>
      </c>
      <c r="B202" s="1070" t="s">
        <v>1396</v>
      </c>
      <c r="C202" s="1070"/>
      <c r="D202" s="1070"/>
      <c r="E202" s="1070"/>
      <c r="F202" s="1088">
        <v>1310</v>
      </c>
      <c r="H202" s="1095"/>
    </row>
    <row r="203" spans="1:8" s="1064" customFormat="1" ht="14.25" customHeight="1" thickBot="1">
      <c r="A203" s="1076" t="s">
        <v>1409</v>
      </c>
      <c r="B203" s="1070" t="s">
        <v>1399</v>
      </c>
      <c r="C203" s="1070"/>
      <c r="D203" s="1070"/>
      <c r="E203" s="1070"/>
      <c r="F203" s="1088">
        <v>1310</v>
      </c>
      <c r="H203" s="1095"/>
    </row>
    <row r="204" spans="1:8" s="1064" customFormat="1" ht="14.25" customHeight="1" thickBot="1">
      <c r="A204" s="1076" t="s">
        <v>1409</v>
      </c>
      <c r="B204" s="1070" t="s">
        <v>1401</v>
      </c>
      <c r="C204" s="1070"/>
      <c r="D204" s="1070"/>
      <c r="E204" s="1070"/>
      <c r="F204" s="1088">
        <v>1080</v>
      </c>
      <c r="H204" s="1095"/>
    </row>
    <row r="205" spans="1:8" s="1064" customFormat="1" ht="14.25" customHeight="1" thickBot="1">
      <c r="A205" s="1076" t="s">
        <v>1409</v>
      </c>
      <c r="B205" s="1070" t="s">
        <v>1404</v>
      </c>
      <c r="C205" s="1070"/>
      <c r="D205" s="1070"/>
      <c r="E205" s="1070"/>
      <c r="F205" s="1088">
        <v>1080</v>
      </c>
      <c r="H205" s="1095"/>
    </row>
    <row r="206" spans="1:8" s="1064" customFormat="1" ht="14.25" customHeight="1" thickBot="1">
      <c r="A206" s="1076" t="s">
        <v>1411</v>
      </c>
      <c r="B206" s="1077" t="s">
        <v>1412</v>
      </c>
      <c r="C206" s="1077">
        <v>5450</v>
      </c>
      <c r="D206" s="1077">
        <v>5430</v>
      </c>
      <c r="E206" s="1077">
        <v>5700</v>
      </c>
      <c r="F206" s="1078">
        <v>1020</v>
      </c>
      <c r="H206" s="1095"/>
    </row>
    <row r="207" spans="1:8" s="1064" customFormat="1" ht="14.25" customHeight="1" thickBot="1">
      <c r="A207" s="1076" t="s">
        <v>1411</v>
      </c>
      <c r="B207" s="1070" t="s">
        <v>1075</v>
      </c>
      <c r="C207" s="1070">
        <v>5860</v>
      </c>
      <c r="D207" s="1070">
        <v>5820</v>
      </c>
      <c r="E207" s="1070">
        <v>6050</v>
      </c>
      <c r="F207" s="1088">
        <v>1080</v>
      </c>
      <c r="H207" s="1095"/>
    </row>
    <row r="208" spans="1:8" s="1064" customFormat="1" ht="14.25" customHeight="1" thickBot="1">
      <c r="A208" s="1076" t="s">
        <v>1411</v>
      </c>
      <c r="B208" s="1070" t="s">
        <v>1089</v>
      </c>
      <c r="C208" s="1070">
        <v>4630</v>
      </c>
      <c r="D208" s="1070">
        <v>4600</v>
      </c>
      <c r="E208" s="1070">
        <v>4840</v>
      </c>
      <c r="F208" s="1088">
        <v>900</v>
      </c>
      <c r="H208" s="1095"/>
    </row>
    <row r="209" spans="1:8" s="1064" customFormat="1" ht="14.25" customHeight="1" thickBot="1">
      <c r="A209" s="1076" t="s">
        <v>1411</v>
      </c>
      <c r="B209" s="1070" t="s">
        <v>1102</v>
      </c>
      <c r="C209" s="1070">
        <v>5320</v>
      </c>
      <c r="D209" s="1070">
        <v>5270</v>
      </c>
      <c r="E209" s="1070">
        <v>5540</v>
      </c>
      <c r="F209" s="1088">
        <v>980</v>
      </c>
      <c r="H209" s="1095"/>
    </row>
    <row r="210" spans="1:8" s="1064" customFormat="1" ht="14.25" customHeight="1" thickBot="1">
      <c r="A210" s="1076" t="s">
        <v>1411</v>
      </c>
      <c r="B210" s="1070" t="s">
        <v>1116</v>
      </c>
      <c r="C210" s="1070">
        <v>5760</v>
      </c>
      <c r="D210" s="1070">
        <v>5710</v>
      </c>
      <c r="E210" s="1070">
        <v>6010</v>
      </c>
      <c r="F210" s="1088">
        <v>870</v>
      </c>
      <c r="H210" s="1095"/>
    </row>
    <row r="211" spans="1:8" s="1064" customFormat="1" ht="14.25" customHeight="1" thickBot="1">
      <c r="A211" s="1076" t="s">
        <v>1411</v>
      </c>
      <c r="B211" s="1070" t="s">
        <v>1127</v>
      </c>
      <c r="C211" s="1070">
        <v>4160</v>
      </c>
      <c r="D211" s="1070">
        <v>4100</v>
      </c>
      <c r="E211" s="1070">
        <v>4270</v>
      </c>
      <c r="F211" s="1088">
        <v>790</v>
      </c>
      <c r="H211" s="1095"/>
    </row>
    <row r="212" spans="1:8" s="1064" customFormat="1" ht="14.25" customHeight="1" thickBot="1">
      <c r="A212" s="1076" t="s">
        <v>1411</v>
      </c>
      <c r="B212" s="1070" t="s">
        <v>1138</v>
      </c>
      <c r="C212" s="1070">
        <v>4880</v>
      </c>
      <c r="D212" s="1070">
        <v>4850</v>
      </c>
      <c r="E212" s="1070">
        <v>5110</v>
      </c>
      <c r="F212" s="1088">
        <v>940</v>
      </c>
      <c r="H212" s="1095"/>
    </row>
    <row r="213" spans="1:8" s="1064" customFormat="1" ht="14.25" customHeight="1" thickBot="1">
      <c r="A213" s="1076" t="s">
        <v>1411</v>
      </c>
      <c r="B213" s="1070" t="s">
        <v>1149</v>
      </c>
      <c r="C213" s="1070">
        <v>4640</v>
      </c>
      <c r="D213" s="1070">
        <v>4590</v>
      </c>
      <c r="E213" s="1070">
        <v>4700</v>
      </c>
      <c r="F213" s="1088">
        <v>1030</v>
      </c>
      <c r="H213" s="1095"/>
    </row>
    <row r="214" spans="1:8" s="1064" customFormat="1" ht="14.25" customHeight="1" thickBot="1">
      <c r="A214" s="1076" t="s">
        <v>1411</v>
      </c>
      <c r="B214" s="1070" t="s">
        <v>1161</v>
      </c>
      <c r="C214" s="1070">
        <v>4540</v>
      </c>
      <c r="D214" s="1070">
        <v>4490</v>
      </c>
      <c r="E214" s="1070">
        <v>4610</v>
      </c>
      <c r="F214" s="1097"/>
      <c r="H214" s="1095"/>
    </row>
    <row r="215" spans="1:8" s="1064" customFormat="1" ht="14.25" customHeight="1" thickBot="1">
      <c r="A215" s="1076" t="s">
        <v>1411</v>
      </c>
      <c r="B215" s="1070" t="s">
        <v>1171</v>
      </c>
      <c r="C215" s="1070">
        <v>5280</v>
      </c>
      <c r="D215" s="1070">
        <v>5250</v>
      </c>
      <c r="E215" s="1070">
        <v>5520</v>
      </c>
      <c r="F215" s="1088">
        <v>1000</v>
      </c>
      <c r="H215" s="1095"/>
    </row>
    <row r="216" spans="1:8" s="1064" customFormat="1" ht="14.25" customHeight="1" thickBot="1">
      <c r="A216" s="1076" t="s">
        <v>1411</v>
      </c>
      <c r="B216" s="1070" t="s">
        <v>1181</v>
      </c>
      <c r="C216" s="1070">
        <v>5100</v>
      </c>
      <c r="D216" s="1070">
        <v>5050</v>
      </c>
      <c r="E216" s="1070">
        <v>5300</v>
      </c>
      <c r="F216" s="1088">
        <v>950</v>
      </c>
      <c r="H216" s="1095"/>
    </row>
    <row r="217" spans="1:8" s="1064" customFormat="1" ht="14.25" customHeight="1" thickBot="1">
      <c r="A217" s="1076" t="s">
        <v>1411</v>
      </c>
      <c r="B217" s="1070" t="s">
        <v>1191</v>
      </c>
      <c r="C217" s="1070">
        <v>5370</v>
      </c>
      <c r="D217" s="1070">
        <v>5320</v>
      </c>
      <c r="E217" s="1070">
        <v>5410</v>
      </c>
      <c r="F217" s="1088">
        <v>950</v>
      </c>
      <c r="H217" s="1095"/>
    </row>
    <row r="218" spans="1:8" s="1064" customFormat="1" ht="14.25" customHeight="1" thickBot="1">
      <c r="A218" s="1076" t="s">
        <v>1411</v>
      </c>
      <c r="B218" s="1070" t="s">
        <v>1201</v>
      </c>
      <c r="C218" s="1070">
        <v>5540</v>
      </c>
      <c r="D218" s="1070">
        <v>5480</v>
      </c>
      <c r="E218" s="1070">
        <v>5740</v>
      </c>
      <c r="F218" s="1088">
        <v>1020</v>
      </c>
      <c r="H218" s="1095"/>
    </row>
    <row r="219" spans="1:8" s="1064" customFormat="1" ht="14.25" customHeight="1" thickBot="1">
      <c r="A219" s="1076" t="s">
        <v>1411</v>
      </c>
      <c r="B219" s="1070" t="s">
        <v>1211</v>
      </c>
      <c r="C219" s="1070">
        <v>5140</v>
      </c>
      <c r="D219" s="1070">
        <v>5100</v>
      </c>
      <c r="E219" s="1070">
        <v>5350</v>
      </c>
      <c r="F219" s="1088">
        <v>1120</v>
      </c>
      <c r="H219" s="1095"/>
    </row>
    <row r="220" spans="1:8" s="1064" customFormat="1" ht="14.25" customHeight="1" thickBot="1">
      <c r="A220" s="1076" t="s">
        <v>1411</v>
      </c>
      <c r="B220" s="1070" t="s">
        <v>1221</v>
      </c>
      <c r="C220" s="1070">
        <v>5040</v>
      </c>
      <c r="D220" s="1070">
        <v>5000</v>
      </c>
      <c r="E220" s="1070">
        <v>5240</v>
      </c>
      <c r="F220" s="1088">
        <v>980</v>
      </c>
      <c r="H220" s="1095"/>
    </row>
    <row r="221" spans="1:8" s="1064" customFormat="1" ht="14.25" customHeight="1" thickBot="1">
      <c r="A221" s="1076" t="s">
        <v>1411</v>
      </c>
      <c r="B221" s="1070" t="s">
        <v>1231</v>
      </c>
      <c r="C221" s="1098"/>
      <c r="D221" s="1098"/>
      <c r="E221" s="1098"/>
      <c r="F221" s="1088">
        <v>1070</v>
      </c>
      <c r="H221" s="1095"/>
    </row>
    <row r="222" spans="1:8" s="1064" customFormat="1" ht="14.25" customHeight="1" thickBot="1">
      <c r="A222" s="1076" t="s">
        <v>1411</v>
      </c>
      <c r="B222" s="1070" t="s">
        <v>1241</v>
      </c>
      <c r="C222" s="1098"/>
      <c r="D222" s="1098"/>
      <c r="E222" s="1098"/>
      <c r="F222" s="1088">
        <v>870</v>
      </c>
      <c r="H222" s="1095"/>
    </row>
    <row r="223" spans="1:8" s="1064" customFormat="1" ht="14.25" customHeight="1" thickBot="1">
      <c r="A223" s="1076" t="s">
        <v>1411</v>
      </c>
      <c r="B223" s="1070" t="s">
        <v>1251</v>
      </c>
      <c r="C223" s="1098"/>
      <c r="D223" s="1098"/>
      <c r="E223" s="1098"/>
      <c r="F223" s="1088">
        <v>940</v>
      </c>
      <c r="H223" s="1095"/>
    </row>
    <row r="224" spans="1:8" s="1064" customFormat="1" ht="14.25" customHeight="1" thickBot="1">
      <c r="A224" s="1076" t="s">
        <v>1411</v>
      </c>
      <c r="B224" s="1070" t="s">
        <v>1261</v>
      </c>
      <c r="C224" s="1098"/>
      <c r="D224" s="1098"/>
      <c r="E224" s="1098"/>
      <c r="F224" s="1088">
        <v>990</v>
      </c>
      <c r="H224" s="1095"/>
    </row>
    <row r="225" spans="1:8" s="1064" customFormat="1" ht="14.25" customHeight="1" thickBot="1">
      <c r="A225" s="1076" t="s">
        <v>1411</v>
      </c>
      <c r="B225" s="1070" t="s">
        <v>1270</v>
      </c>
      <c r="C225" s="1070">
        <v>5730</v>
      </c>
      <c r="D225" s="1070">
        <v>5680</v>
      </c>
      <c r="E225" s="1070">
        <v>6020</v>
      </c>
      <c r="F225" s="1088">
        <v>1000</v>
      </c>
      <c r="H225" s="1095"/>
    </row>
    <row r="226" spans="1:8" s="1064" customFormat="1" ht="14.25" customHeight="1" thickBot="1">
      <c r="A226" s="1076" t="s">
        <v>1411</v>
      </c>
      <c r="B226" s="1070" t="s">
        <v>1279</v>
      </c>
      <c r="C226" s="1070">
        <v>4970</v>
      </c>
      <c r="D226" s="1070">
        <v>4940</v>
      </c>
      <c r="E226" s="1070">
        <v>5180</v>
      </c>
      <c r="F226" s="1088">
        <v>960</v>
      </c>
      <c r="H226" s="1095"/>
    </row>
    <row r="227" spans="1:8" s="1064" customFormat="1" ht="14.25" customHeight="1" thickBot="1">
      <c r="A227" s="1076" t="s">
        <v>1411</v>
      </c>
      <c r="B227" s="1070" t="s">
        <v>1287</v>
      </c>
      <c r="C227" s="1070">
        <v>5550</v>
      </c>
      <c r="D227" s="1070">
        <v>5500</v>
      </c>
      <c r="E227" s="1070">
        <v>5780</v>
      </c>
      <c r="F227" s="1088">
        <v>940</v>
      </c>
      <c r="H227" s="1095"/>
    </row>
    <row r="228" spans="1:8" s="1064" customFormat="1" ht="14.25" customHeight="1" thickBot="1">
      <c r="A228" s="1076" t="s">
        <v>1411</v>
      </c>
      <c r="B228" s="1070" t="s">
        <v>1294</v>
      </c>
      <c r="C228" s="1070">
        <v>5460</v>
      </c>
      <c r="D228" s="1070">
        <v>5420</v>
      </c>
      <c r="E228" s="1070">
        <v>5690</v>
      </c>
      <c r="F228" s="1088">
        <v>910</v>
      </c>
      <c r="H228" s="1095"/>
    </row>
    <row r="229" spans="1:8" s="1064" customFormat="1" ht="14.25" customHeight="1" thickBot="1">
      <c r="A229" s="1076" t="s">
        <v>1411</v>
      </c>
      <c r="B229" s="1070" t="s">
        <v>1301</v>
      </c>
      <c r="C229" s="1070">
        <v>5310</v>
      </c>
      <c r="D229" s="1070">
        <v>5270</v>
      </c>
      <c r="E229" s="1070">
        <v>5510</v>
      </c>
      <c r="F229" s="1097"/>
      <c r="H229" s="1095"/>
    </row>
    <row r="230" spans="1:8" s="1064" customFormat="1" ht="14.25" customHeight="1" thickBot="1">
      <c r="A230" s="1076" t="s">
        <v>1411</v>
      </c>
      <c r="B230" s="1070" t="s">
        <v>1308</v>
      </c>
      <c r="C230" s="1070">
        <v>4540</v>
      </c>
      <c r="D230" s="1070">
        <v>4500</v>
      </c>
      <c r="E230" s="1070">
        <v>4730</v>
      </c>
      <c r="F230" s="1097"/>
      <c r="H230" s="1095"/>
    </row>
    <row r="231" spans="1:8" s="1064" customFormat="1" ht="14.25" customHeight="1" thickBot="1">
      <c r="A231" s="1076" t="s">
        <v>1411</v>
      </c>
      <c r="B231" s="1070" t="s">
        <v>1315</v>
      </c>
      <c r="C231" s="1070">
        <v>4480</v>
      </c>
      <c r="D231" s="1070">
        <v>4410</v>
      </c>
      <c r="E231" s="1070">
        <v>4640</v>
      </c>
      <c r="F231" s="1097"/>
      <c r="H231" s="1095"/>
    </row>
    <row r="232" spans="1:8" s="1064" customFormat="1" ht="14.25" customHeight="1" thickBot="1">
      <c r="A232" s="1076" t="s">
        <v>1411</v>
      </c>
      <c r="B232" s="1070" t="s">
        <v>1322</v>
      </c>
      <c r="C232" s="1070">
        <v>5670</v>
      </c>
      <c r="D232" s="1070">
        <v>5600</v>
      </c>
      <c r="E232" s="1070">
        <v>5890</v>
      </c>
      <c r="F232" s="1088">
        <v>1150</v>
      </c>
      <c r="H232" s="1095"/>
    </row>
    <row r="233" spans="1:8" s="1064" customFormat="1" ht="14.25" customHeight="1" thickBot="1">
      <c r="A233" s="1076" t="s">
        <v>1411</v>
      </c>
      <c r="B233" s="1070" t="s">
        <v>1329</v>
      </c>
      <c r="C233" s="1070">
        <v>4590</v>
      </c>
      <c r="D233" s="1070">
        <v>4500</v>
      </c>
      <c r="E233" s="1070">
        <v>4600</v>
      </c>
      <c r="F233" s="1097"/>
      <c r="H233" s="1095"/>
    </row>
    <row r="234" spans="1:8" s="1064" customFormat="1" ht="14.25" customHeight="1" thickBot="1">
      <c r="A234" s="1076" t="s">
        <v>1411</v>
      </c>
      <c r="B234" s="1070" t="s">
        <v>2418</v>
      </c>
      <c r="C234" s="1070">
        <v>3990</v>
      </c>
      <c r="D234" s="1070">
        <v>3950</v>
      </c>
      <c r="E234" s="1070">
        <v>4180</v>
      </c>
      <c r="F234" s="1097"/>
      <c r="H234" s="1095"/>
    </row>
    <row r="235" spans="1:8" s="1064" customFormat="1" ht="14.25" customHeight="1" thickBot="1">
      <c r="A235" s="1076" t="s">
        <v>1411</v>
      </c>
      <c r="B235" s="1070" t="s">
        <v>1338</v>
      </c>
      <c r="C235" s="1070">
        <v>5590</v>
      </c>
      <c r="D235" s="1070">
        <v>5540</v>
      </c>
      <c r="E235" s="1070">
        <v>5810</v>
      </c>
      <c r="F235" s="1088">
        <v>970</v>
      </c>
      <c r="H235" s="1095"/>
    </row>
    <row r="236" spans="1:8" s="1064" customFormat="1" ht="14.25" customHeight="1" thickBot="1">
      <c r="A236" s="1076" t="s">
        <v>1411</v>
      </c>
      <c r="B236" s="1070" t="s">
        <v>1343</v>
      </c>
      <c r="C236" s="1070"/>
      <c r="D236" s="1070"/>
      <c r="E236" s="1070"/>
      <c r="F236" s="1088">
        <v>1020</v>
      </c>
      <c r="H236" s="1095"/>
    </row>
    <row r="237" spans="1:8" s="1064" customFormat="1" ht="14.25" customHeight="1" thickBot="1">
      <c r="A237" s="1076" t="s">
        <v>1411</v>
      </c>
      <c r="B237" s="1070" t="s">
        <v>1348</v>
      </c>
      <c r="C237" s="1070"/>
      <c r="D237" s="1070"/>
      <c r="E237" s="1070"/>
      <c r="F237" s="1088">
        <v>960</v>
      </c>
      <c r="H237" s="1095"/>
    </row>
    <row r="238" spans="1:8" s="1064" customFormat="1" ht="14.25" customHeight="1" thickBot="1">
      <c r="A238" s="1076" t="s">
        <v>1411</v>
      </c>
      <c r="B238" s="1070" t="s">
        <v>1353</v>
      </c>
      <c r="C238" s="1070"/>
      <c r="D238" s="1070"/>
      <c r="E238" s="1070"/>
      <c r="F238" s="1088">
        <v>960</v>
      </c>
      <c r="H238" s="1095"/>
    </row>
    <row r="239" spans="1:8" s="1064" customFormat="1" ht="14.25" customHeight="1" thickBot="1">
      <c r="A239" s="1076" t="s">
        <v>1411</v>
      </c>
      <c r="B239" s="1070" t="s">
        <v>1358</v>
      </c>
      <c r="C239" s="1070"/>
      <c r="D239" s="1070"/>
      <c r="E239" s="1070"/>
      <c r="F239" s="1088">
        <v>960</v>
      </c>
      <c r="H239" s="1095"/>
    </row>
    <row r="240" spans="1:8" s="1064" customFormat="1" ht="14.25" customHeight="1" thickBot="1">
      <c r="A240" s="1076" t="s">
        <v>1411</v>
      </c>
      <c r="B240" s="1070" t="s">
        <v>1362</v>
      </c>
      <c r="C240" s="1070"/>
      <c r="D240" s="1070"/>
      <c r="E240" s="1070"/>
      <c r="F240" s="1088">
        <v>990</v>
      </c>
      <c r="H240" s="1095"/>
    </row>
    <row r="241" spans="1:8" s="1064" customFormat="1" ht="14.25" customHeight="1" thickBot="1">
      <c r="A241" s="1076" t="s">
        <v>1411</v>
      </c>
      <c r="B241" s="1070" t="s">
        <v>1366</v>
      </c>
      <c r="C241" s="1070"/>
      <c r="D241" s="1070"/>
      <c r="E241" s="1070"/>
      <c r="F241" s="1088">
        <v>1000</v>
      </c>
      <c r="H241" s="1095"/>
    </row>
    <row r="242" spans="1:8" s="1064" customFormat="1" ht="14.25" customHeight="1" thickBot="1">
      <c r="A242" s="1076" t="s">
        <v>1411</v>
      </c>
      <c r="B242" s="1070" t="s">
        <v>1370</v>
      </c>
      <c r="C242" s="1070"/>
      <c r="D242" s="1070"/>
      <c r="E242" s="1070"/>
      <c r="F242" s="1088">
        <v>980</v>
      </c>
      <c r="H242" s="1095"/>
    </row>
    <row r="243" spans="1:8" s="1064" customFormat="1" ht="14.25" customHeight="1" thickBot="1">
      <c r="A243" s="1076" t="s">
        <v>1411</v>
      </c>
      <c r="B243" s="1070" t="s">
        <v>1374</v>
      </c>
      <c r="C243" s="1070"/>
      <c r="D243" s="1070"/>
      <c r="E243" s="1070"/>
      <c r="F243" s="1088">
        <v>970</v>
      </c>
      <c r="H243" s="1095"/>
    </row>
    <row r="244" spans="1:8" s="1064" customFormat="1" ht="14.25" customHeight="1" thickBot="1">
      <c r="A244" s="1076" t="s">
        <v>1411</v>
      </c>
      <c r="B244" s="1086" t="s">
        <v>1378</v>
      </c>
      <c r="C244" s="1086"/>
      <c r="D244" s="1086"/>
      <c r="E244" s="1086"/>
      <c r="F244" s="1096">
        <v>970</v>
      </c>
      <c r="H244" s="1095"/>
    </row>
    <row r="245" spans="1:8" s="1064" customFormat="1" ht="14.25" customHeight="1" thickBot="1">
      <c r="A245" s="1076" t="s">
        <v>1413</v>
      </c>
      <c r="B245" s="1077" t="s">
        <v>1414</v>
      </c>
      <c r="C245" s="1077">
        <v>4050</v>
      </c>
      <c r="D245" s="1077">
        <v>4020</v>
      </c>
      <c r="E245" s="1077">
        <v>4160</v>
      </c>
      <c r="F245" s="1078">
        <v>840</v>
      </c>
      <c r="H245" s="1095"/>
    </row>
    <row r="246" spans="1:8" s="1064" customFormat="1" ht="14.25" customHeight="1" thickBot="1">
      <c r="A246" s="1076" t="s">
        <v>1413</v>
      </c>
      <c r="B246" s="1070" t="s">
        <v>1076</v>
      </c>
      <c r="C246" s="1070">
        <v>4010</v>
      </c>
      <c r="D246" s="1070">
        <v>3960</v>
      </c>
      <c r="E246" s="1070">
        <v>4130</v>
      </c>
      <c r="F246" s="1088">
        <v>840</v>
      </c>
      <c r="H246" s="1095"/>
    </row>
    <row r="247" spans="1:8" s="1064" customFormat="1" ht="14.25" customHeight="1" thickBot="1">
      <c r="A247" s="1076" t="s">
        <v>1413</v>
      </c>
      <c r="B247" s="1070" t="s">
        <v>1415</v>
      </c>
      <c r="C247" s="1070">
        <v>3170</v>
      </c>
      <c r="D247" s="1070">
        <v>3140</v>
      </c>
      <c r="E247" s="1070">
        <v>3270</v>
      </c>
      <c r="F247" s="1088">
        <v>640</v>
      </c>
      <c r="H247" s="1095"/>
    </row>
    <row r="248" spans="1:8" s="1064" customFormat="1" ht="14.25" customHeight="1" thickBot="1">
      <c r="A248" s="1076" t="s">
        <v>1413</v>
      </c>
      <c r="B248" s="1070" t="s">
        <v>1416</v>
      </c>
      <c r="C248" s="1070">
        <v>3140</v>
      </c>
      <c r="D248" s="1070">
        <v>3120</v>
      </c>
      <c r="E248" s="1070">
        <v>3240</v>
      </c>
      <c r="F248" s="1088">
        <v>620</v>
      </c>
      <c r="H248" s="1095"/>
    </row>
    <row r="249" spans="1:8" s="1064" customFormat="1" ht="14.25" customHeight="1" thickBot="1">
      <c r="A249" s="1076" t="s">
        <v>1413</v>
      </c>
      <c r="B249" s="1070" t="s">
        <v>1117</v>
      </c>
      <c r="C249" s="1070">
        <v>3200</v>
      </c>
      <c r="D249" s="1070">
        <v>3100</v>
      </c>
      <c r="E249" s="1070">
        <v>3230</v>
      </c>
      <c r="F249" s="1088">
        <v>750</v>
      </c>
      <c r="H249" s="1095"/>
    </row>
    <row r="250" spans="1:8" s="1064" customFormat="1" ht="14.25" customHeight="1" thickBot="1">
      <c r="A250" s="1076" t="s">
        <v>1413</v>
      </c>
      <c r="B250" s="1070" t="s">
        <v>1128</v>
      </c>
      <c r="C250" s="1070">
        <v>4060</v>
      </c>
      <c r="D250" s="1070">
        <v>4000</v>
      </c>
      <c r="E250" s="1070">
        <v>4140</v>
      </c>
      <c r="F250" s="1088">
        <v>790</v>
      </c>
      <c r="H250" s="1095"/>
    </row>
    <row r="251" spans="1:8" s="1064" customFormat="1" ht="14.25" customHeight="1" thickBot="1">
      <c r="A251" s="1076" t="s">
        <v>1413</v>
      </c>
      <c r="B251" s="1070" t="s">
        <v>1139</v>
      </c>
      <c r="C251" s="1070">
        <v>3990</v>
      </c>
      <c r="D251" s="1070">
        <v>3970</v>
      </c>
      <c r="E251" s="1070">
        <v>4110</v>
      </c>
      <c r="F251" s="1088">
        <v>730</v>
      </c>
      <c r="H251" s="1095"/>
    </row>
    <row r="252" spans="1:8" s="1064" customFormat="1" ht="14.25" customHeight="1" thickBot="1">
      <c r="A252" s="1076" t="s">
        <v>1413</v>
      </c>
      <c r="B252" s="1070" t="s">
        <v>1150</v>
      </c>
      <c r="C252" s="1070">
        <v>3560</v>
      </c>
      <c r="D252" s="1070">
        <v>3530</v>
      </c>
      <c r="E252" s="1070">
        <v>3650</v>
      </c>
      <c r="F252" s="1088">
        <v>750</v>
      </c>
      <c r="H252" s="1095"/>
    </row>
    <row r="253" spans="1:8" s="1064" customFormat="1" ht="14.25" customHeight="1" thickBot="1">
      <c r="A253" s="1076" t="s">
        <v>1413</v>
      </c>
      <c r="B253" s="1070" t="s">
        <v>1162</v>
      </c>
      <c r="C253" s="1070">
        <v>3780</v>
      </c>
      <c r="D253" s="1070">
        <v>3750</v>
      </c>
      <c r="E253" s="1070">
        <v>3870</v>
      </c>
      <c r="F253" s="1088">
        <v>770</v>
      </c>
      <c r="H253" s="1095"/>
    </row>
    <row r="254" spans="1:8" s="1064" customFormat="1" ht="14.25" customHeight="1" thickBot="1">
      <c r="A254" s="1076" t="s">
        <v>1413</v>
      </c>
      <c r="B254" s="1070" t="s">
        <v>1172</v>
      </c>
      <c r="C254" s="1098"/>
      <c r="D254" s="1098"/>
      <c r="E254" s="1098"/>
      <c r="F254" s="1088">
        <v>740</v>
      </c>
      <c r="H254" s="1095"/>
    </row>
    <row r="255" spans="1:8" s="1064" customFormat="1" ht="14.25" customHeight="1" thickBot="1">
      <c r="A255" s="1076" t="s">
        <v>1413</v>
      </c>
      <c r="B255" s="1070" t="s">
        <v>1182</v>
      </c>
      <c r="C255" s="1098"/>
      <c r="D255" s="1098"/>
      <c r="E255" s="1098"/>
      <c r="F255" s="1088">
        <v>760</v>
      </c>
      <c r="H255" s="1095"/>
    </row>
    <row r="256" spans="1:8" s="1064" customFormat="1" ht="14.25" customHeight="1" thickBot="1">
      <c r="A256" s="1076" t="s">
        <v>1413</v>
      </c>
      <c r="B256" s="1070" t="s">
        <v>1192</v>
      </c>
      <c r="C256" s="1070">
        <v>3760</v>
      </c>
      <c r="D256" s="1070">
        <v>3730</v>
      </c>
      <c r="E256" s="1070">
        <v>3870</v>
      </c>
      <c r="F256" s="1088">
        <v>830</v>
      </c>
      <c r="H256" s="1095"/>
    </row>
    <row r="257" spans="1:8" s="1064" customFormat="1" ht="14.25" customHeight="1" thickBot="1">
      <c r="A257" s="1076" t="s">
        <v>1413</v>
      </c>
      <c r="B257" s="1070" t="s">
        <v>1202</v>
      </c>
      <c r="C257" s="1070">
        <v>3570</v>
      </c>
      <c r="D257" s="1070">
        <v>3540</v>
      </c>
      <c r="E257" s="1070">
        <v>3650</v>
      </c>
      <c r="F257" s="1088">
        <v>790</v>
      </c>
      <c r="H257" s="1095"/>
    </row>
    <row r="258" spans="1:8" s="1064" customFormat="1" ht="14.25" customHeight="1" thickBot="1">
      <c r="A258" s="1076" t="s">
        <v>1413</v>
      </c>
      <c r="B258" s="1070" t="s">
        <v>1212</v>
      </c>
      <c r="C258" s="1070">
        <v>3410</v>
      </c>
      <c r="D258" s="1070">
        <v>3380</v>
      </c>
      <c r="E258" s="1070">
        <v>3500</v>
      </c>
      <c r="F258" s="1088">
        <v>830</v>
      </c>
      <c r="H258" s="1095"/>
    </row>
    <row r="259" spans="1:8" s="1064" customFormat="1" ht="14.25" customHeight="1" thickBot="1">
      <c r="A259" s="1076" t="s">
        <v>1413</v>
      </c>
      <c r="B259" s="1070" t="s">
        <v>1222</v>
      </c>
      <c r="C259" s="1070">
        <v>3870</v>
      </c>
      <c r="D259" s="1070">
        <v>3840</v>
      </c>
      <c r="E259" s="1070">
        <v>3970</v>
      </c>
      <c r="F259" s="1088">
        <v>830</v>
      </c>
      <c r="H259" s="1095"/>
    </row>
    <row r="260" spans="1:8" s="1064" customFormat="1" ht="14.25" customHeight="1" thickBot="1">
      <c r="A260" s="1076" t="s">
        <v>1413</v>
      </c>
      <c r="B260" s="1070" t="s">
        <v>1232</v>
      </c>
      <c r="C260" s="1070">
        <v>3700</v>
      </c>
      <c r="D260" s="1070">
        <v>3660</v>
      </c>
      <c r="E260" s="1070">
        <v>3810</v>
      </c>
      <c r="F260" s="1088">
        <v>790</v>
      </c>
      <c r="H260" s="1095"/>
    </row>
    <row r="261" spans="1:8" s="1064" customFormat="1" ht="14.25" customHeight="1" thickBot="1">
      <c r="A261" s="1076" t="s">
        <v>1413</v>
      </c>
      <c r="B261" s="1070" t="s">
        <v>1242</v>
      </c>
      <c r="C261" s="1070">
        <v>3470</v>
      </c>
      <c r="D261" s="1070">
        <v>3430</v>
      </c>
      <c r="E261" s="1070">
        <v>3640</v>
      </c>
      <c r="F261" s="1088">
        <v>760</v>
      </c>
      <c r="H261" s="1095"/>
    </row>
    <row r="262" spans="1:8" s="1064" customFormat="1" ht="14.25" customHeight="1" thickBot="1">
      <c r="A262" s="1076" t="s">
        <v>1413</v>
      </c>
      <c r="B262" s="1070" t="s">
        <v>1252</v>
      </c>
      <c r="C262" s="1070">
        <v>3510</v>
      </c>
      <c r="D262" s="1070">
        <v>3470</v>
      </c>
      <c r="E262" s="1070">
        <v>3680</v>
      </c>
      <c r="F262" s="1097"/>
      <c r="H262" s="1095"/>
    </row>
    <row r="263" spans="1:8" s="1064" customFormat="1" ht="14.25" customHeight="1" thickBot="1">
      <c r="A263" s="1076" t="s">
        <v>1413</v>
      </c>
      <c r="B263" s="1070" t="s">
        <v>1262</v>
      </c>
      <c r="C263" s="1070">
        <v>3960</v>
      </c>
      <c r="D263" s="1070">
        <v>3930</v>
      </c>
      <c r="E263" s="1070">
        <v>4070</v>
      </c>
      <c r="F263" s="1088">
        <v>830</v>
      </c>
      <c r="H263" s="1095"/>
    </row>
    <row r="264" spans="1:8" s="1064" customFormat="1" ht="14.25" customHeight="1" thickBot="1">
      <c r="A264" s="1076" t="s">
        <v>1413</v>
      </c>
      <c r="B264" s="1070" t="s">
        <v>1271</v>
      </c>
      <c r="C264" s="1070">
        <v>4010</v>
      </c>
      <c r="D264" s="1070">
        <v>3980</v>
      </c>
      <c r="E264" s="1070">
        <v>4150</v>
      </c>
      <c r="F264" s="1088">
        <v>760</v>
      </c>
      <c r="H264" s="1095"/>
    </row>
    <row r="265" spans="1:8" s="1064" customFormat="1" ht="14.25" customHeight="1" thickBot="1">
      <c r="A265" s="1076" t="s">
        <v>1413</v>
      </c>
      <c r="B265" s="1070" t="s">
        <v>1280</v>
      </c>
      <c r="C265" s="1070">
        <v>3910</v>
      </c>
      <c r="D265" s="1070">
        <v>3890</v>
      </c>
      <c r="E265" s="1070">
        <v>4040</v>
      </c>
      <c r="F265" s="1088">
        <v>780</v>
      </c>
      <c r="H265" s="1095"/>
    </row>
    <row r="266" spans="1:8" s="1064" customFormat="1" ht="14.25" customHeight="1" thickBot="1">
      <c r="A266" s="1076" t="s">
        <v>1413</v>
      </c>
      <c r="B266" s="1070" t="s">
        <v>1288</v>
      </c>
      <c r="C266" s="1070">
        <v>3930</v>
      </c>
      <c r="D266" s="1070">
        <v>3900</v>
      </c>
      <c r="E266" s="1070">
        <v>4080</v>
      </c>
      <c r="F266" s="1088">
        <v>770</v>
      </c>
      <c r="H266" s="1095"/>
    </row>
    <row r="267" spans="1:8" s="1064" customFormat="1" ht="14.25" customHeight="1" thickBot="1">
      <c r="A267" s="1076" t="s">
        <v>1413</v>
      </c>
      <c r="B267" s="1070" t="s">
        <v>1295</v>
      </c>
      <c r="C267" s="1070">
        <v>3800</v>
      </c>
      <c r="D267" s="1070">
        <v>3780</v>
      </c>
      <c r="E267" s="1070">
        <v>3930</v>
      </c>
      <c r="F267" s="1097"/>
      <c r="H267" s="1095"/>
    </row>
    <row r="268" spans="1:8" s="1064" customFormat="1" ht="14.25" customHeight="1" thickBot="1">
      <c r="A268" s="1076" t="s">
        <v>1413</v>
      </c>
      <c r="B268" s="1070" t="s">
        <v>1302</v>
      </c>
      <c r="C268" s="1070">
        <v>3460</v>
      </c>
      <c r="D268" s="1070">
        <v>3430</v>
      </c>
      <c r="E268" s="1070">
        <v>3560</v>
      </c>
      <c r="F268" s="1088">
        <v>840</v>
      </c>
      <c r="H268" s="1095"/>
    </row>
    <row r="269" spans="1:8" s="1064" customFormat="1" ht="14.25" customHeight="1" thickBot="1">
      <c r="A269" s="1076" t="s">
        <v>1413</v>
      </c>
      <c r="B269" s="1070" t="s">
        <v>1309</v>
      </c>
      <c r="C269" s="1070">
        <v>3210</v>
      </c>
      <c r="D269" s="1070">
        <v>3190</v>
      </c>
      <c r="E269" s="1070">
        <v>3310</v>
      </c>
      <c r="F269" s="1088">
        <v>730</v>
      </c>
      <c r="H269" s="1095"/>
    </row>
    <row r="270" spans="1:8" s="1064" customFormat="1" ht="14.25" customHeight="1" thickBot="1">
      <c r="A270" s="1076" t="s">
        <v>1413</v>
      </c>
      <c r="B270" s="1070" t="s">
        <v>1316</v>
      </c>
      <c r="C270" s="1070">
        <v>3240</v>
      </c>
      <c r="D270" s="1070">
        <v>3210</v>
      </c>
      <c r="E270" s="1070">
        <v>3390</v>
      </c>
      <c r="F270" s="1088">
        <v>820</v>
      </c>
      <c r="H270" s="1095"/>
    </row>
    <row r="271" spans="1:8" s="1064" customFormat="1" ht="14.25" customHeight="1" thickBot="1">
      <c r="A271" s="1076" t="s">
        <v>1413</v>
      </c>
      <c r="B271" s="1070" t="s">
        <v>1323</v>
      </c>
      <c r="C271" s="1070">
        <v>3300</v>
      </c>
      <c r="D271" s="1070">
        <v>3270</v>
      </c>
      <c r="E271" s="1070">
        <v>3380</v>
      </c>
      <c r="F271" s="1088">
        <v>750</v>
      </c>
      <c r="H271" s="1095"/>
    </row>
    <row r="272" spans="1:8" s="1064" customFormat="1" ht="14.25" customHeight="1" thickBot="1">
      <c r="A272" s="1076" t="s">
        <v>1413</v>
      </c>
      <c r="B272" s="1070" t="s">
        <v>1330</v>
      </c>
      <c r="C272" s="1098"/>
      <c r="D272" s="1098"/>
      <c r="E272" s="1098"/>
      <c r="F272" s="1088">
        <v>740</v>
      </c>
      <c r="H272" s="1095"/>
    </row>
    <row r="273" spans="1:8" s="1064" customFormat="1" ht="14.25" customHeight="1" thickBot="1">
      <c r="A273" s="1076" t="s">
        <v>1413</v>
      </c>
      <c r="B273" s="1070" t="s">
        <v>1334</v>
      </c>
      <c r="C273" s="1070">
        <v>3130</v>
      </c>
      <c r="D273" s="1070">
        <v>3100</v>
      </c>
      <c r="E273" s="1070">
        <v>3230</v>
      </c>
      <c r="F273" s="1088">
        <v>700</v>
      </c>
      <c r="H273" s="1095"/>
    </row>
    <row r="274" spans="1:8" s="1064" customFormat="1" ht="14.25" customHeight="1" thickBot="1">
      <c r="A274" s="1076" t="s">
        <v>1413</v>
      </c>
      <c r="B274" s="1070" t="s">
        <v>1339</v>
      </c>
      <c r="C274" s="1070">
        <v>3460</v>
      </c>
      <c r="D274" s="1070">
        <v>3430</v>
      </c>
      <c r="E274" s="1070">
        <v>3560</v>
      </c>
      <c r="F274" s="1088">
        <v>690</v>
      </c>
      <c r="H274" s="1095"/>
    </row>
    <row r="275" spans="1:8" s="1064" customFormat="1" ht="14.25" customHeight="1" thickBot="1">
      <c r="A275" s="1076" t="s">
        <v>1413</v>
      </c>
      <c r="B275" s="1070" t="s">
        <v>1344</v>
      </c>
      <c r="C275" s="1070">
        <v>4040</v>
      </c>
      <c r="D275" s="1070">
        <v>4020</v>
      </c>
      <c r="E275" s="1070">
        <v>4160</v>
      </c>
      <c r="F275" s="1088">
        <v>820</v>
      </c>
      <c r="H275" s="1095"/>
    </row>
    <row r="276" spans="1:8" s="1064" customFormat="1" ht="14.25" customHeight="1" thickBot="1">
      <c r="A276" s="1076" t="s">
        <v>1413</v>
      </c>
      <c r="B276" s="1070" t="s">
        <v>1349</v>
      </c>
      <c r="C276" s="1070">
        <v>3270</v>
      </c>
      <c r="D276" s="1070">
        <v>3240</v>
      </c>
      <c r="E276" s="1070">
        <v>3350</v>
      </c>
      <c r="F276" s="1088">
        <v>680</v>
      </c>
      <c r="H276" s="1095"/>
    </row>
    <row r="277" spans="1:8" s="1064" customFormat="1" ht="14.25" customHeight="1" thickBot="1">
      <c r="A277" s="1076" t="s">
        <v>1413</v>
      </c>
      <c r="B277" s="1070" t="s">
        <v>1354</v>
      </c>
      <c r="C277" s="1070">
        <v>2930</v>
      </c>
      <c r="D277" s="1070">
        <v>2900</v>
      </c>
      <c r="E277" s="1070">
        <v>3000</v>
      </c>
      <c r="F277" s="1088">
        <v>640</v>
      </c>
      <c r="H277" s="1095"/>
    </row>
    <row r="278" spans="1:8" s="1064" customFormat="1" ht="14.25" customHeight="1" thickBot="1">
      <c r="A278" s="1076" t="s">
        <v>1413</v>
      </c>
      <c r="B278" s="1070" t="s">
        <v>1359</v>
      </c>
      <c r="C278" s="1070">
        <v>4080</v>
      </c>
      <c r="D278" s="1070">
        <v>4030</v>
      </c>
      <c r="E278" s="1070">
        <v>4140</v>
      </c>
      <c r="F278" s="1088">
        <v>850</v>
      </c>
      <c r="H278" s="1095"/>
    </row>
    <row r="279" spans="1:8" s="1064" customFormat="1" ht="14.25" customHeight="1" thickBot="1">
      <c r="A279" s="1076" t="s">
        <v>1413</v>
      </c>
      <c r="B279" s="1070" t="s">
        <v>1363</v>
      </c>
      <c r="C279" s="1070"/>
      <c r="D279" s="1070"/>
      <c r="E279" s="1070"/>
      <c r="F279" s="1088">
        <v>760</v>
      </c>
      <c r="H279" s="1095"/>
    </row>
    <row r="280" spans="1:8" s="1064" customFormat="1" ht="14.25" customHeight="1" thickBot="1">
      <c r="A280" s="1076" t="s">
        <v>1413</v>
      </c>
      <c r="B280" s="1070" t="s">
        <v>1367</v>
      </c>
      <c r="C280" s="1070"/>
      <c r="D280" s="1070"/>
      <c r="E280" s="1070"/>
      <c r="F280" s="1088">
        <v>760</v>
      </c>
      <c r="H280" s="1095"/>
    </row>
    <row r="281" spans="1:8" s="1064" customFormat="1" ht="14.25" customHeight="1" thickBot="1">
      <c r="A281" s="1076" t="s">
        <v>1413</v>
      </c>
      <c r="B281" s="1070" t="s">
        <v>1371</v>
      </c>
      <c r="C281" s="1070"/>
      <c r="D281" s="1070"/>
      <c r="E281" s="1070"/>
      <c r="F281" s="1088">
        <v>780</v>
      </c>
      <c r="H281" s="1095"/>
    </row>
    <row r="282" spans="1:8" s="1064" customFormat="1" ht="14.25" customHeight="1" thickBot="1">
      <c r="A282" s="1076" t="s">
        <v>1413</v>
      </c>
      <c r="B282" s="1070" t="s">
        <v>1375</v>
      </c>
      <c r="C282" s="1070"/>
      <c r="D282" s="1070"/>
      <c r="E282" s="1070"/>
      <c r="F282" s="1088">
        <v>730</v>
      </c>
      <c r="H282" s="1095"/>
    </row>
    <row r="283" spans="1:8" s="1064" customFormat="1" ht="14.25" customHeight="1" thickBot="1">
      <c r="A283" s="1076" t="s">
        <v>1413</v>
      </c>
      <c r="B283" s="1070" t="s">
        <v>1379</v>
      </c>
      <c r="C283" s="1070"/>
      <c r="D283" s="1070"/>
      <c r="E283" s="1070"/>
      <c r="F283" s="1088">
        <v>770</v>
      </c>
      <c r="H283" s="1095"/>
    </row>
    <row r="284" spans="1:8" s="1064" customFormat="1" ht="14.25" customHeight="1" thickBot="1">
      <c r="A284" s="1076" t="s">
        <v>1413</v>
      </c>
      <c r="B284" s="1070" t="s">
        <v>1382</v>
      </c>
      <c r="C284" s="1070"/>
      <c r="D284" s="1070"/>
      <c r="E284" s="1070"/>
      <c r="F284" s="1088">
        <v>640</v>
      </c>
      <c r="H284" s="1095"/>
    </row>
    <row r="285" spans="1:8" s="1064" customFormat="1" ht="14.25" customHeight="1" thickBot="1">
      <c r="A285" s="1076" t="s">
        <v>1413</v>
      </c>
      <c r="B285" s="1070" t="s">
        <v>1385</v>
      </c>
      <c r="C285" s="1070"/>
      <c r="D285" s="1070"/>
      <c r="E285" s="1070"/>
      <c r="F285" s="1088">
        <v>640</v>
      </c>
      <c r="H285" s="1095"/>
    </row>
    <row r="286" spans="1:8" s="1064" customFormat="1" ht="14.25" customHeight="1" thickBot="1">
      <c r="A286" s="1076" t="s">
        <v>1413</v>
      </c>
      <c r="B286" s="1070" t="s">
        <v>1388</v>
      </c>
      <c r="C286" s="1070"/>
      <c r="D286" s="1070"/>
      <c r="E286" s="1070"/>
      <c r="F286" s="1088">
        <v>850</v>
      </c>
      <c r="H286" s="1095"/>
    </row>
    <row r="287" spans="1:8" s="1064" customFormat="1" ht="14.25" customHeight="1" thickBot="1">
      <c r="A287" s="1076" t="s">
        <v>1413</v>
      </c>
      <c r="B287" s="1070" t="s">
        <v>1391</v>
      </c>
      <c r="C287" s="1070"/>
      <c r="D287" s="1070"/>
      <c r="E287" s="1070"/>
      <c r="F287" s="1088">
        <v>760</v>
      </c>
      <c r="H287" s="1095"/>
    </row>
    <row r="288" spans="1:8" s="1064" customFormat="1" ht="14.25" customHeight="1" thickBot="1">
      <c r="A288" s="1076" t="s">
        <v>1413</v>
      </c>
      <c r="B288" s="1070" t="s">
        <v>1394</v>
      </c>
      <c r="C288" s="1070"/>
      <c r="D288" s="1070"/>
      <c r="E288" s="1070"/>
      <c r="F288" s="1088">
        <v>830</v>
      </c>
      <c r="H288" s="1095"/>
    </row>
    <row r="289" spans="1:8" s="1064" customFormat="1" ht="14.25" customHeight="1" thickBot="1">
      <c r="A289" s="1076" t="s">
        <v>1413</v>
      </c>
      <c r="B289" s="1086" t="s">
        <v>1397</v>
      </c>
      <c r="C289" s="1086"/>
      <c r="D289" s="1086"/>
      <c r="E289" s="1086"/>
      <c r="F289" s="1096">
        <v>680</v>
      </c>
      <c r="H289" s="1095"/>
    </row>
    <row r="290" spans="1:8" s="1064" customFormat="1" ht="14.25" customHeight="1" thickBot="1">
      <c r="A290" s="1076" t="s">
        <v>1417</v>
      </c>
      <c r="B290" s="1077" t="s">
        <v>1418</v>
      </c>
      <c r="C290" s="1077">
        <v>2770</v>
      </c>
      <c r="D290" s="1077">
        <v>2740</v>
      </c>
      <c r="E290" s="1077">
        <v>2720</v>
      </c>
      <c r="F290" s="1099"/>
      <c r="H290" s="1095"/>
    </row>
    <row r="291" spans="1:8" s="1064" customFormat="1" ht="14.25" customHeight="1" thickBot="1">
      <c r="A291" s="1076" t="s">
        <v>1417</v>
      </c>
      <c r="B291" s="1070" t="s">
        <v>1077</v>
      </c>
      <c r="C291" s="1070">
        <v>2670</v>
      </c>
      <c r="D291" s="1070">
        <v>2640</v>
      </c>
      <c r="E291" s="1070">
        <v>2620</v>
      </c>
      <c r="F291" s="1097"/>
      <c r="H291" s="1095"/>
    </row>
    <row r="292" spans="1:8" s="1064" customFormat="1" ht="14.25" customHeight="1" thickBot="1">
      <c r="A292" s="1076" t="s">
        <v>1417</v>
      </c>
      <c r="B292" s="1070" t="s">
        <v>1419</v>
      </c>
      <c r="C292" s="1070">
        <v>2180</v>
      </c>
      <c r="D292" s="1070">
        <v>2140</v>
      </c>
      <c r="E292" s="1070">
        <v>2120</v>
      </c>
      <c r="F292" s="1088">
        <v>490</v>
      </c>
      <c r="H292" s="1095"/>
    </row>
    <row r="293" spans="1:8" s="1064" customFormat="1" ht="14.25" customHeight="1" thickBot="1">
      <c r="A293" s="1076" t="s">
        <v>1417</v>
      </c>
      <c r="B293" s="1070" t="s">
        <v>1420</v>
      </c>
      <c r="C293" s="1070"/>
      <c r="D293" s="1070"/>
      <c r="E293" s="1070"/>
      <c r="F293" s="1088">
        <v>470</v>
      </c>
      <c r="H293" s="1095"/>
    </row>
    <row r="294" spans="1:8" s="1064" customFormat="1" ht="14.25" customHeight="1" thickBot="1">
      <c r="A294" s="1076" t="s">
        <v>1417</v>
      </c>
      <c r="B294" s="1070" t="s">
        <v>1421</v>
      </c>
      <c r="C294" s="1070">
        <v>2730</v>
      </c>
      <c r="D294" s="1070">
        <v>2700</v>
      </c>
      <c r="E294" s="1070">
        <v>2680</v>
      </c>
      <c r="F294" s="1088">
        <v>490</v>
      </c>
      <c r="H294" s="1095"/>
    </row>
    <row r="295" spans="1:8" s="1064" customFormat="1" ht="14.25" customHeight="1" thickBot="1">
      <c r="A295" s="1076" t="s">
        <v>1417</v>
      </c>
      <c r="B295" s="1070" t="s">
        <v>1118</v>
      </c>
      <c r="C295" s="1070">
        <v>2380</v>
      </c>
      <c r="D295" s="1070">
        <v>2350</v>
      </c>
      <c r="E295" s="1070">
        <v>2330</v>
      </c>
      <c r="F295" s="1088">
        <v>530</v>
      </c>
      <c r="H295" s="1095"/>
    </row>
    <row r="296" spans="1:8" s="1064" customFormat="1" ht="14.25" customHeight="1" thickBot="1">
      <c r="A296" s="1076" t="s">
        <v>1417</v>
      </c>
      <c r="B296" s="1070" t="s">
        <v>1129</v>
      </c>
      <c r="C296" s="1070">
        <v>2650</v>
      </c>
      <c r="D296" s="1070">
        <v>2620</v>
      </c>
      <c r="E296" s="1070">
        <v>2590</v>
      </c>
      <c r="F296" s="1088">
        <v>590</v>
      </c>
      <c r="H296" s="1095"/>
    </row>
    <row r="297" spans="1:8" s="1064" customFormat="1" ht="14.25" customHeight="1" thickBot="1">
      <c r="A297" s="1076" t="s">
        <v>1417</v>
      </c>
      <c r="B297" s="1070" t="s">
        <v>1140</v>
      </c>
      <c r="C297" s="1070">
        <v>2700</v>
      </c>
      <c r="D297" s="1070">
        <v>2670</v>
      </c>
      <c r="E297" s="1070">
        <v>2650</v>
      </c>
      <c r="F297" s="1088">
        <v>630</v>
      </c>
      <c r="H297" s="1095"/>
    </row>
    <row r="298" spans="1:8" s="1064" customFormat="1" ht="14.25" customHeight="1" thickBot="1">
      <c r="A298" s="1076" t="s">
        <v>1417</v>
      </c>
      <c r="B298" s="1070" t="s">
        <v>1151</v>
      </c>
      <c r="C298" s="1070">
        <v>2650</v>
      </c>
      <c r="D298" s="1070">
        <v>2620</v>
      </c>
      <c r="E298" s="1070">
        <v>2590</v>
      </c>
      <c r="F298" s="1088">
        <v>640</v>
      </c>
      <c r="H298" s="1095"/>
    </row>
    <row r="299" spans="1:8" s="1064" customFormat="1" ht="14.25" customHeight="1" thickBot="1">
      <c r="A299" s="1076" t="s">
        <v>1417</v>
      </c>
      <c r="B299" s="1070" t="s">
        <v>1163</v>
      </c>
      <c r="C299" s="1070">
        <v>2500</v>
      </c>
      <c r="D299" s="1070">
        <v>2480</v>
      </c>
      <c r="E299" s="1070">
        <v>2460</v>
      </c>
      <c r="F299" s="1097"/>
      <c r="H299" s="1095"/>
    </row>
    <row r="300" spans="1:8" s="1064" customFormat="1" ht="14.25" customHeight="1" thickBot="1">
      <c r="A300" s="1076" t="s">
        <v>1417</v>
      </c>
      <c r="B300" s="1070" t="s">
        <v>1173</v>
      </c>
      <c r="C300" s="1070">
        <v>2760</v>
      </c>
      <c r="D300" s="1070">
        <v>2730</v>
      </c>
      <c r="E300" s="1070">
        <v>2700</v>
      </c>
      <c r="F300" s="1088">
        <v>630</v>
      </c>
      <c r="H300" s="1095"/>
    </row>
    <row r="301" spans="1:8" s="1064" customFormat="1" ht="14.25" customHeight="1" thickBot="1">
      <c r="A301" s="1076" t="s">
        <v>1417</v>
      </c>
      <c r="B301" s="1070" t="s">
        <v>1183</v>
      </c>
      <c r="C301" s="1070">
        <v>2510</v>
      </c>
      <c r="D301" s="1070">
        <v>2480</v>
      </c>
      <c r="E301" s="1070">
        <v>2460</v>
      </c>
      <c r="F301" s="1097"/>
      <c r="H301" s="1095"/>
    </row>
    <row r="302" spans="1:8" s="1064" customFormat="1" ht="14.25" customHeight="1" thickBot="1">
      <c r="A302" s="1076" t="s">
        <v>1417</v>
      </c>
      <c r="B302" s="1070" t="s">
        <v>1193</v>
      </c>
      <c r="C302" s="1070">
        <v>2480</v>
      </c>
      <c r="D302" s="1070">
        <v>2450</v>
      </c>
      <c r="E302" s="1070">
        <v>2420</v>
      </c>
      <c r="F302" s="1088">
        <v>600</v>
      </c>
      <c r="H302" s="1095"/>
    </row>
    <row r="303" spans="1:8" s="1064" customFormat="1" ht="14.25" customHeight="1" thickBot="1">
      <c r="A303" s="1076" t="s">
        <v>1417</v>
      </c>
      <c r="B303" s="1070" t="s">
        <v>1203</v>
      </c>
      <c r="C303" s="1070">
        <v>2270</v>
      </c>
      <c r="D303" s="1070">
        <v>2240</v>
      </c>
      <c r="E303" s="1070">
        <v>2210</v>
      </c>
      <c r="F303" s="1088">
        <v>540</v>
      </c>
      <c r="H303" s="1095"/>
    </row>
    <row r="304" spans="1:8" s="1064" customFormat="1" ht="14.25" customHeight="1" thickBot="1">
      <c r="A304" s="1076" t="s">
        <v>1417</v>
      </c>
      <c r="B304" s="1070" t="s">
        <v>1213</v>
      </c>
      <c r="C304" s="1070">
        <v>2310</v>
      </c>
      <c r="D304" s="1070">
        <v>2290</v>
      </c>
      <c r="E304" s="1070">
        <v>2270</v>
      </c>
      <c r="F304" s="1097"/>
      <c r="H304" s="1095"/>
    </row>
    <row r="305" spans="1:8" s="1064" customFormat="1" ht="14.25" customHeight="1" thickBot="1">
      <c r="A305" s="1076" t="s">
        <v>1417</v>
      </c>
      <c r="B305" s="1070" t="s">
        <v>1223</v>
      </c>
      <c r="C305" s="1070">
        <v>2490</v>
      </c>
      <c r="D305" s="1070">
        <v>2470</v>
      </c>
      <c r="E305" s="1070">
        <v>2440</v>
      </c>
      <c r="F305" s="1088">
        <v>560</v>
      </c>
      <c r="H305" s="1095"/>
    </row>
    <row r="306" spans="1:8" s="1064" customFormat="1" ht="14.25" customHeight="1" thickBot="1">
      <c r="A306" s="1076" t="s">
        <v>1417</v>
      </c>
      <c r="B306" s="1070" t="s">
        <v>1233</v>
      </c>
      <c r="C306" s="1070">
        <v>2420</v>
      </c>
      <c r="D306" s="1070">
        <v>2400</v>
      </c>
      <c r="E306" s="1070">
        <v>2380</v>
      </c>
      <c r="F306" s="1097"/>
      <c r="H306" s="1095"/>
    </row>
    <row r="307" spans="1:8" s="1064" customFormat="1" ht="14.25" customHeight="1" thickBot="1">
      <c r="A307" s="1076" t="s">
        <v>1417</v>
      </c>
      <c r="B307" s="1070" t="s">
        <v>1243</v>
      </c>
      <c r="C307" s="1070">
        <v>2770</v>
      </c>
      <c r="D307" s="1070">
        <v>2740</v>
      </c>
      <c r="E307" s="1070">
        <v>2710</v>
      </c>
      <c r="F307" s="1088">
        <v>650</v>
      </c>
      <c r="H307" s="1095"/>
    </row>
    <row r="308" spans="1:8" s="1064" customFormat="1" ht="14.25" customHeight="1" thickBot="1">
      <c r="A308" s="1076" t="s">
        <v>1417</v>
      </c>
      <c r="B308" s="1070" t="s">
        <v>1253</v>
      </c>
      <c r="C308" s="1070">
        <v>2610</v>
      </c>
      <c r="D308" s="1070">
        <v>2580</v>
      </c>
      <c r="E308" s="1070">
        <v>2550</v>
      </c>
      <c r="F308" s="1088">
        <v>580</v>
      </c>
      <c r="H308" s="1095"/>
    </row>
    <row r="309" spans="1:8" s="1064" customFormat="1" ht="14.25" customHeight="1" thickBot="1">
      <c r="A309" s="1076" t="s">
        <v>1417</v>
      </c>
      <c r="B309" s="1070" t="s">
        <v>1263</v>
      </c>
      <c r="C309" s="1070">
        <v>2690</v>
      </c>
      <c r="D309" s="1070">
        <v>2670</v>
      </c>
      <c r="E309" s="1070">
        <v>2650</v>
      </c>
      <c r="F309" s="1097"/>
      <c r="H309" s="1095"/>
    </row>
    <row r="310" spans="1:8" s="1064" customFormat="1" ht="14.25" customHeight="1" thickBot="1">
      <c r="A310" s="1076" t="s">
        <v>1417</v>
      </c>
      <c r="B310" s="1070" t="s">
        <v>1272</v>
      </c>
      <c r="C310" s="1070">
        <v>2360</v>
      </c>
      <c r="D310" s="1070">
        <v>2330</v>
      </c>
      <c r="E310" s="1070">
        <v>2310</v>
      </c>
      <c r="F310" s="1088">
        <v>560</v>
      </c>
      <c r="H310" s="1095"/>
    </row>
    <row r="311" spans="1:8" s="1064" customFormat="1" ht="14.25" customHeight="1" thickBot="1">
      <c r="A311" s="1076" t="s">
        <v>1417</v>
      </c>
      <c r="B311" s="1070" t="s">
        <v>1281</v>
      </c>
      <c r="C311" s="1070">
        <v>1970</v>
      </c>
      <c r="D311" s="1070">
        <v>1950</v>
      </c>
      <c r="E311" s="1070">
        <v>1920</v>
      </c>
      <c r="F311" s="1088">
        <v>470</v>
      </c>
      <c r="H311" s="1095"/>
    </row>
    <row r="312" spans="1:8" s="1064" customFormat="1" ht="14.25" customHeight="1" thickBot="1">
      <c r="A312" s="1076" t="s">
        <v>1417</v>
      </c>
      <c r="B312" s="1070" t="s">
        <v>1289</v>
      </c>
      <c r="C312" s="1070">
        <v>2230</v>
      </c>
      <c r="D312" s="1070">
        <v>2200</v>
      </c>
      <c r="E312" s="1070">
        <v>2170</v>
      </c>
      <c r="F312" s="1088">
        <v>460</v>
      </c>
      <c r="H312" s="1095"/>
    </row>
    <row r="313" spans="1:8" s="1064" customFormat="1" ht="14.25" customHeight="1" thickBot="1">
      <c r="A313" s="1076" t="s">
        <v>1417</v>
      </c>
      <c r="B313" s="1070" t="s">
        <v>1296</v>
      </c>
      <c r="C313" s="1070">
        <v>2770</v>
      </c>
      <c r="D313" s="1070">
        <v>2740</v>
      </c>
      <c r="E313" s="1070">
        <v>2710</v>
      </c>
      <c r="F313" s="1088">
        <v>610</v>
      </c>
      <c r="H313" s="1095"/>
    </row>
    <row r="314" spans="1:8" s="1064" customFormat="1" ht="14.25" customHeight="1" thickBot="1">
      <c r="A314" s="1076" t="s">
        <v>1417</v>
      </c>
      <c r="B314" s="1070" t="s">
        <v>1303</v>
      </c>
      <c r="C314" s="1070"/>
      <c r="D314" s="1070"/>
      <c r="E314" s="1070"/>
      <c r="F314" s="1088">
        <v>490</v>
      </c>
      <c r="H314" s="1095"/>
    </row>
    <row r="315" spans="1:8" s="1064" customFormat="1" ht="14.25" customHeight="1" thickBot="1">
      <c r="A315" s="1076" t="s">
        <v>1417</v>
      </c>
      <c r="B315" s="1070" t="s">
        <v>1310</v>
      </c>
      <c r="C315" s="1070"/>
      <c r="D315" s="1070"/>
      <c r="E315" s="1070"/>
      <c r="F315" s="1088">
        <v>520</v>
      </c>
      <c r="H315" s="1095"/>
    </row>
    <row r="316" spans="1:8" s="1064" customFormat="1" ht="14.25" customHeight="1" thickBot="1">
      <c r="A316" s="1076" t="s">
        <v>1417</v>
      </c>
      <c r="B316" s="1086" t="s">
        <v>1317</v>
      </c>
      <c r="C316" s="1086"/>
      <c r="D316" s="1086"/>
      <c r="E316" s="1086"/>
      <c r="F316" s="1096">
        <v>460</v>
      </c>
      <c r="H316" s="1095"/>
    </row>
    <row r="317" spans="1:8" s="1064" customFormat="1" ht="14.25" customHeight="1" thickBot="1">
      <c r="A317" s="1076" t="s">
        <v>915</v>
      </c>
      <c r="B317" s="1077" t="s">
        <v>1422</v>
      </c>
      <c r="C317" s="1077">
        <v>1200</v>
      </c>
      <c r="D317" s="1077">
        <v>1180</v>
      </c>
      <c r="E317" s="1077">
        <v>1160</v>
      </c>
      <c r="F317" s="1078">
        <v>370</v>
      </c>
      <c r="H317" s="1061"/>
    </row>
    <row r="318" spans="1:8" s="1064" customFormat="1" ht="14.25" customHeight="1" thickBot="1">
      <c r="A318" s="1076" t="s">
        <v>915</v>
      </c>
      <c r="B318" s="1070" t="s">
        <v>1423</v>
      </c>
      <c r="C318" s="1070">
        <v>1090</v>
      </c>
      <c r="D318" s="1070">
        <v>1060</v>
      </c>
      <c r="E318" s="1070">
        <v>1040</v>
      </c>
      <c r="F318" s="1097"/>
      <c r="H318" s="1061"/>
    </row>
    <row r="319" spans="1:8" s="1064" customFormat="1" ht="14.25" customHeight="1" thickBot="1">
      <c r="A319" s="1076" t="s">
        <v>915</v>
      </c>
      <c r="B319" s="1070" t="s">
        <v>1424</v>
      </c>
      <c r="C319" s="1070">
        <v>1520</v>
      </c>
      <c r="D319" s="1070">
        <v>1470</v>
      </c>
      <c r="E319" s="1070">
        <v>1440</v>
      </c>
      <c r="F319" s="1088">
        <v>370</v>
      </c>
      <c r="H319" s="1061"/>
    </row>
    <row r="320" spans="1:8" s="1064" customFormat="1" ht="14.25" customHeight="1" thickBot="1">
      <c r="A320" s="1076" t="s">
        <v>915</v>
      </c>
      <c r="B320" s="1070" t="s">
        <v>1105</v>
      </c>
      <c r="C320" s="1070">
        <v>1360</v>
      </c>
      <c r="D320" s="1070">
        <v>1300</v>
      </c>
      <c r="E320" s="1070">
        <v>1270</v>
      </c>
      <c r="F320" s="1097"/>
      <c r="H320" s="1061"/>
    </row>
    <row r="321" spans="1:8" s="1064" customFormat="1" ht="14.25" customHeight="1" thickBot="1">
      <c r="A321" s="1076" t="s">
        <v>915</v>
      </c>
      <c r="B321" s="1070" t="s">
        <v>1119</v>
      </c>
      <c r="C321" s="1070">
        <v>1750</v>
      </c>
      <c r="D321" s="1070">
        <v>1690</v>
      </c>
      <c r="E321" s="1070">
        <v>1660</v>
      </c>
      <c r="F321" s="1097"/>
      <c r="H321" s="1061"/>
    </row>
    <row r="322" spans="1:8" s="1064" customFormat="1" ht="14.25" customHeight="1" thickBot="1">
      <c r="A322" s="1076" t="s">
        <v>915</v>
      </c>
      <c r="B322" s="1070" t="s">
        <v>1130</v>
      </c>
      <c r="C322" s="1070">
        <v>1650</v>
      </c>
      <c r="D322" s="1070">
        <v>1610</v>
      </c>
      <c r="E322" s="1070">
        <v>1580</v>
      </c>
      <c r="F322" s="1088">
        <v>500</v>
      </c>
      <c r="H322" s="1061"/>
    </row>
    <row r="323" spans="1:8" s="1064" customFormat="1" ht="14.25" customHeight="1" thickBot="1">
      <c r="A323" s="1076" t="s">
        <v>915</v>
      </c>
      <c r="B323" s="1070" t="s">
        <v>1141</v>
      </c>
      <c r="C323" s="1070">
        <v>1780</v>
      </c>
      <c r="D323" s="1070">
        <v>1740</v>
      </c>
      <c r="E323" s="1070">
        <v>1720</v>
      </c>
      <c r="F323" s="1097"/>
      <c r="H323" s="1061"/>
    </row>
    <row r="324" spans="1:8" s="1064" customFormat="1" ht="14.25" customHeight="1" thickBot="1">
      <c r="A324" s="1076" t="s">
        <v>915</v>
      </c>
      <c r="B324" s="1070" t="s">
        <v>1152</v>
      </c>
      <c r="C324" s="1070">
        <v>1650</v>
      </c>
      <c r="D324" s="1070">
        <v>1610</v>
      </c>
      <c r="E324" s="1070">
        <v>1580</v>
      </c>
      <c r="F324" s="1097"/>
      <c r="H324" s="1061"/>
    </row>
    <row r="325" spans="1:8" s="1064" customFormat="1" ht="14.25" customHeight="1" thickBot="1">
      <c r="A325" s="1076" t="s">
        <v>915</v>
      </c>
      <c r="B325" s="1070" t="s">
        <v>1164</v>
      </c>
      <c r="C325" s="1070">
        <v>1330</v>
      </c>
      <c r="D325" s="1070">
        <v>1270</v>
      </c>
      <c r="E325" s="1070">
        <v>1240</v>
      </c>
      <c r="F325" s="1088">
        <v>430</v>
      </c>
      <c r="H325" s="1061"/>
    </row>
    <row r="326" spans="1:8" s="1064" customFormat="1" ht="14.25" customHeight="1" thickBot="1">
      <c r="A326" s="1076" t="s">
        <v>915</v>
      </c>
      <c r="B326" s="1070" t="s">
        <v>1174</v>
      </c>
      <c r="C326" s="1070">
        <v>1470</v>
      </c>
      <c r="D326" s="1070">
        <v>1430</v>
      </c>
      <c r="E326" s="1070">
        <v>1400</v>
      </c>
      <c r="F326" s="1097"/>
      <c r="H326" s="1061"/>
    </row>
    <row r="327" spans="1:8" s="1064" customFormat="1" ht="14.25" customHeight="1" thickBot="1">
      <c r="A327" s="1076" t="s">
        <v>915</v>
      </c>
      <c r="B327" s="1070" t="s">
        <v>1184</v>
      </c>
      <c r="C327" s="1070">
        <v>1420</v>
      </c>
      <c r="D327" s="1070">
        <v>1380</v>
      </c>
      <c r="E327" s="1070">
        <v>1360</v>
      </c>
      <c r="F327" s="1088">
        <v>420</v>
      </c>
      <c r="H327" s="1061"/>
    </row>
    <row r="328" spans="1:8" s="1064" customFormat="1" ht="14.25" customHeight="1" thickBot="1">
      <c r="A328" s="1076" t="s">
        <v>915</v>
      </c>
      <c r="B328" s="1070" t="s">
        <v>1194</v>
      </c>
      <c r="C328" s="1070">
        <v>1400</v>
      </c>
      <c r="D328" s="1070">
        <v>1360</v>
      </c>
      <c r="E328" s="1070">
        <v>1330</v>
      </c>
      <c r="F328" s="1088">
        <v>460</v>
      </c>
      <c r="H328" s="1061"/>
    </row>
    <row r="329" spans="1:8" s="1064" customFormat="1" ht="14.25" customHeight="1" thickBot="1">
      <c r="A329" s="1076" t="s">
        <v>915</v>
      </c>
      <c r="B329" s="1070" t="s">
        <v>1204</v>
      </c>
      <c r="C329" s="1070">
        <v>1640</v>
      </c>
      <c r="D329" s="1070">
        <v>1610</v>
      </c>
      <c r="E329" s="1070">
        <v>1580</v>
      </c>
      <c r="F329" s="1088">
        <v>410</v>
      </c>
      <c r="H329" s="1061"/>
    </row>
    <row r="330" spans="1:8" s="1064" customFormat="1" ht="14.25" customHeight="1" thickBot="1">
      <c r="A330" s="1076" t="s">
        <v>915</v>
      </c>
      <c r="B330" s="1070" t="s">
        <v>1214</v>
      </c>
      <c r="C330" s="1070">
        <v>1260</v>
      </c>
      <c r="D330" s="1070">
        <v>1220</v>
      </c>
      <c r="E330" s="1070">
        <v>1200</v>
      </c>
      <c r="F330" s="1097"/>
      <c r="H330" s="1061"/>
    </row>
    <row r="331" spans="1:8" s="1064" customFormat="1" ht="14.25" customHeight="1" thickBot="1">
      <c r="A331" s="1076" t="s">
        <v>915</v>
      </c>
      <c r="B331" s="1070" t="s">
        <v>1224</v>
      </c>
      <c r="C331" s="1070">
        <v>1620</v>
      </c>
      <c r="D331" s="1070">
        <v>1560</v>
      </c>
      <c r="E331" s="1070">
        <v>1530</v>
      </c>
      <c r="F331" s="1088">
        <v>490</v>
      </c>
      <c r="H331" s="1061"/>
    </row>
    <row r="332" spans="1:8" s="1064" customFormat="1" ht="14.25" customHeight="1" thickBot="1">
      <c r="A332" s="1076" t="s">
        <v>915</v>
      </c>
      <c r="B332" s="1070" t="s">
        <v>1234</v>
      </c>
      <c r="C332" s="1070">
        <v>1520</v>
      </c>
      <c r="D332" s="1070">
        <v>1470</v>
      </c>
      <c r="E332" s="1070">
        <v>1440</v>
      </c>
      <c r="F332" s="1088">
        <v>440</v>
      </c>
      <c r="H332" s="1061"/>
    </row>
    <row r="333" spans="1:8" s="1064" customFormat="1" ht="14.25" customHeight="1" thickBot="1">
      <c r="A333" s="1076" t="s">
        <v>915</v>
      </c>
      <c r="B333" s="1070" t="s">
        <v>1244</v>
      </c>
      <c r="C333" s="1070">
        <v>1370</v>
      </c>
      <c r="D333" s="1070">
        <v>1320</v>
      </c>
      <c r="E333" s="1070">
        <v>1300</v>
      </c>
      <c r="F333" s="1088">
        <v>460</v>
      </c>
      <c r="H333" s="1061"/>
    </row>
    <row r="334" spans="1:8" s="1064" customFormat="1" ht="14.25" customHeight="1" thickBot="1">
      <c r="A334" s="1076" t="s">
        <v>915</v>
      </c>
      <c r="B334" s="1070" t="s">
        <v>1254</v>
      </c>
      <c r="C334" s="1070">
        <v>1410</v>
      </c>
      <c r="D334" s="1070">
        <v>1340</v>
      </c>
      <c r="E334" s="1070">
        <v>1310</v>
      </c>
      <c r="F334" s="1088">
        <v>410</v>
      </c>
      <c r="H334" s="1061"/>
    </row>
    <row r="335" spans="1:8" s="1064" customFormat="1" ht="14.25" customHeight="1" thickBot="1">
      <c r="A335" s="1076" t="s">
        <v>915</v>
      </c>
      <c r="B335" s="1070" t="s">
        <v>1264</v>
      </c>
      <c r="C335" s="1070">
        <v>1260</v>
      </c>
      <c r="D335" s="1070">
        <v>1220</v>
      </c>
      <c r="E335" s="1070">
        <v>1200</v>
      </c>
      <c r="F335" s="1097"/>
      <c r="H335" s="1061"/>
    </row>
    <row r="336" spans="1:8" s="1064" customFormat="1" ht="14.25" customHeight="1" thickBot="1">
      <c r="A336" s="1076" t="s">
        <v>915</v>
      </c>
      <c r="B336" s="1070" t="s">
        <v>1273</v>
      </c>
      <c r="C336" s="1070">
        <v>1160</v>
      </c>
      <c r="D336" s="1070">
        <v>1140</v>
      </c>
      <c r="E336" s="1070">
        <v>1120</v>
      </c>
      <c r="F336" s="1088">
        <v>430</v>
      </c>
      <c r="H336" s="1061"/>
    </row>
    <row r="337" spans="1:8" s="1064" customFormat="1" ht="14.25" customHeight="1" thickBot="1">
      <c r="A337" s="1076" t="s">
        <v>915</v>
      </c>
      <c r="B337" s="1086" t="s">
        <v>1282</v>
      </c>
      <c r="C337" s="1086"/>
      <c r="D337" s="1086"/>
      <c r="E337" s="1086"/>
      <c r="F337" s="1096">
        <v>380</v>
      </c>
      <c r="H337" s="1061"/>
    </row>
    <row r="338" spans="1:8" s="1064" customFormat="1" ht="14.25" customHeight="1" thickBot="1">
      <c r="A338" s="1076" t="s">
        <v>916</v>
      </c>
      <c r="B338" s="1077" t="s">
        <v>1425</v>
      </c>
      <c r="C338" s="1077">
        <v>880</v>
      </c>
      <c r="D338" s="1077">
        <v>850</v>
      </c>
      <c r="E338" s="1077">
        <v>830</v>
      </c>
      <c r="F338" s="1099"/>
      <c r="H338" s="1061"/>
    </row>
    <row r="339" spans="1:8" s="1064" customFormat="1" ht="14.25" customHeight="1" thickBot="1">
      <c r="A339" s="1076" t="s">
        <v>916</v>
      </c>
      <c r="B339" s="1070" t="s">
        <v>1426</v>
      </c>
      <c r="C339" s="1070">
        <v>830</v>
      </c>
      <c r="D339" s="1070">
        <v>800</v>
      </c>
      <c r="E339" s="1070">
        <v>780</v>
      </c>
      <c r="F339" s="1097"/>
      <c r="H339" s="1061"/>
    </row>
    <row r="340" spans="1:8" s="1064" customFormat="1" ht="14.25" customHeight="1" thickBot="1">
      <c r="A340" s="1076" t="s">
        <v>916</v>
      </c>
      <c r="B340" s="1070" t="s">
        <v>1427</v>
      </c>
      <c r="C340" s="1070">
        <v>980</v>
      </c>
      <c r="D340" s="1070">
        <v>950</v>
      </c>
      <c r="E340" s="1070">
        <v>920</v>
      </c>
      <c r="F340" s="1097"/>
      <c r="H340" s="1061"/>
    </row>
    <row r="341" spans="1:8" s="1064" customFormat="1" ht="14.25" customHeight="1" thickBot="1">
      <c r="A341" s="1076" t="s">
        <v>916</v>
      </c>
      <c r="B341" s="1070" t="s">
        <v>1428</v>
      </c>
      <c r="C341" s="1070">
        <v>760</v>
      </c>
      <c r="D341" s="1070">
        <v>720</v>
      </c>
      <c r="E341" s="1070">
        <v>690</v>
      </c>
      <c r="F341" s="1088">
        <v>350</v>
      </c>
      <c r="H341" s="1061"/>
    </row>
    <row r="342" spans="1:8" s="1064" customFormat="1" ht="14.25" customHeight="1" thickBot="1">
      <c r="A342" s="1076" t="s">
        <v>916</v>
      </c>
      <c r="B342" s="1070" t="s">
        <v>1120</v>
      </c>
      <c r="C342" s="1070">
        <v>910</v>
      </c>
      <c r="D342" s="1070">
        <v>870</v>
      </c>
      <c r="E342" s="1070">
        <v>850</v>
      </c>
      <c r="F342" s="1088">
        <v>370</v>
      </c>
      <c r="H342" s="1061"/>
    </row>
    <row r="343" spans="1:8" s="1064" customFormat="1" ht="14.25" customHeight="1" thickBot="1">
      <c r="A343" s="1076" t="s">
        <v>916</v>
      </c>
      <c r="B343" s="1070" t="s">
        <v>1131</v>
      </c>
      <c r="C343" s="1070">
        <v>800</v>
      </c>
      <c r="D343" s="1070">
        <v>760</v>
      </c>
      <c r="E343" s="1070">
        <v>730</v>
      </c>
      <c r="F343" s="1088">
        <v>340</v>
      </c>
      <c r="H343" s="1061"/>
    </row>
    <row r="344" spans="1:8" s="1064" customFormat="1" ht="14.25" customHeight="1" thickBot="1">
      <c r="A344" s="1076" t="s">
        <v>916</v>
      </c>
      <c r="B344" s="1086" t="s">
        <v>1142</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880</v>
      </c>
      <c r="B1" s="1009"/>
      <c r="C1" s="1009"/>
      <c r="D1" s="1009"/>
      <c r="E1" s="1009"/>
      <c r="F1" s="1009"/>
      <c r="G1" s="1009"/>
      <c r="H1" s="1009"/>
      <c r="I1" s="1009"/>
      <c r="J1" s="1009"/>
      <c r="K1" s="1009"/>
      <c r="L1" s="1009"/>
      <c r="M1" s="1009"/>
      <c r="N1" s="1009"/>
    </row>
    <row r="2" spans="1:14">
      <c r="A2" s="1011" t="s">
        <v>881</v>
      </c>
      <c r="B2" s="1012" t="s">
        <v>882</v>
      </c>
      <c r="C2" s="1012" t="s">
        <v>883</v>
      </c>
      <c r="D2" s="1012" t="s">
        <v>884</v>
      </c>
      <c r="E2" s="1012" t="s">
        <v>885</v>
      </c>
      <c r="F2" s="1012" t="s">
        <v>886</v>
      </c>
      <c r="G2" s="1012" t="s">
        <v>887</v>
      </c>
      <c r="H2" s="1013" t="s">
        <v>888</v>
      </c>
      <c r="I2" s="1013" t="s">
        <v>889</v>
      </c>
      <c r="J2" s="1014" t="s">
        <v>890</v>
      </c>
      <c r="K2" s="1014" t="s">
        <v>891</v>
      </c>
      <c r="L2" s="1014" t="s">
        <v>892</v>
      </c>
      <c r="M2" s="1014" t="s">
        <v>893</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902</v>
      </c>
      <c r="B103" s="1009"/>
      <c r="C103" s="1009"/>
      <c r="D103" s="1009"/>
      <c r="E103" s="1009"/>
      <c r="F103" s="1009"/>
      <c r="G103" s="1009"/>
      <c r="H103" s="1009"/>
      <c r="I103" s="1009"/>
      <c r="J103" s="1009"/>
      <c r="K103" s="1009"/>
      <c r="L103" s="1009"/>
      <c r="M103" s="1009"/>
      <c r="N103" s="1009"/>
    </row>
    <row r="104" spans="1:14" ht="15.6">
      <c r="A104" s="1011" t="s">
        <v>881</v>
      </c>
      <c r="B104" s="1012" t="s">
        <v>882</v>
      </c>
      <c r="C104" s="1012" t="s">
        <v>883</v>
      </c>
      <c r="D104" s="1012" t="s">
        <v>884</v>
      </c>
      <c r="E104" s="1012" t="s">
        <v>885</v>
      </c>
      <c r="F104" s="1012" t="s">
        <v>886</v>
      </c>
      <c r="G104" s="1012" t="s">
        <v>887</v>
      </c>
      <c r="H104" s="1013" t="s">
        <v>888</v>
      </c>
      <c r="I104" s="1013" t="s">
        <v>889</v>
      </c>
      <c r="J104" s="1014" t="s">
        <v>890</v>
      </c>
      <c r="K104" s="1014" t="s">
        <v>891</v>
      </c>
      <c r="L104" s="1014" t="s">
        <v>892</v>
      </c>
      <c r="M104" s="1014" t="s">
        <v>893</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903</v>
      </c>
      <c r="B205" s="1009"/>
      <c r="C205" s="1009"/>
      <c r="D205" s="1009"/>
      <c r="E205" s="1009"/>
      <c r="F205" s="1009"/>
      <c r="G205" s="1009"/>
      <c r="H205" s="1009"/>
      <c r="I205" s="1009"/>
      <c r="J205" s="1009"/>
      <c r="K205" s="1009"/>
      <c r="L205" s="1009"/>
      <c r="M205" s="1009"/>
    </row>
    <row r="206" spans="1:13">
      <c r="A206" s="1011" t="s">
        <v>904</v>
      </c>
      <c r="B206" s="1012" t="s">
        <v>905</v>
      </c>
      <c r="C206" s="1012" t="s">
        <v>906</v>
      </c>
      <c r="D206" s="1012" t="s">
        <v>907</v>
      </c>
      <c r="E206" s="1012" t="s">
        <v>908</v>
      </c>
      <c r="F206" s="1012" t="s">
        <v>909</v>
      </c>
      <c r="G206" s="1012" t="s">
        <v>910</v>
      </c>
      <c r="H206" s="1013" t="s">
        <v>911</v>
      </c>
      <c r="I206" s="1013" t="s">
        <v>912</v>
      </c>
      <c r="J206" s="1014" t="s">
        <v>913</v>
      </c>
      <c r="K206" s="1014" t="s">
        <v>914</v>
      </c>
      <c r="L206" s="1014" t="s">
        <v>915</v>
      </c>
      <c r="M206" s="1014" t="s">
        <v>916</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917</v>
      </c>
      <c r="B307" s="1009"/>
      <c r="C307" s="1009"/>
      <c r="D307" s="1009"/>
      <c r="E307" s="1009"/>
      <c r="F307" s="1009"/>
      <c r="G307" s="1009"/>
      <c r="H307" s="1009"/>
      <c r="I307" s="1009"/>
      <c r="J307" s="1009"/>
      <c r="K307" s="1009"/>
      <c r="L307" s="1009"/>
      <c r="M307" s="1009"/>
    </row>
    <row r="308" spans="1:13">
      <c r="A308" s="1011" t="s">
        <v>904</v>
      </c>
      <c r="B308" s="1012" t="s">
        <v>905</v>
      </c>
      <c r="C308" s="1012" t="s">
        <v>906</v>
      </c>
      <c r="D308" s="1012" t="s">
        <v>907</v>
      </c>
      <c r="E308" s="1012" t="s">
        <v>908</v>
      </c>
      <c r="F308" s="1012" t="s">
        <v>909</v>
      </c>
      <c r="G308" s="1012" t="s">
        <v>910</v>
      </c>
      <c r="H308" s="1013" t="s">
        <v>911</v>
      </c>
      <c r="I308" s="1013" t="s">
        <v>912</v>
      </c>
      <c r="J308" s="1014" t="s">
        <v>913</v>
      </c>
      <c r="K308" s="1014" t="s">
        <v>914</v>
      </c>
      <c r="L308" s="1014" t="s">
        <v>915</v>
      </c>
      <c r="M308" s="1014" t="s">
        <v>916</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65" customWidth="1"/>
    <col min="2" max="2" width="10.21875" style="1866" customWidth="1"/>
  </cols>
  <sheetData>
    <row r="1" spans="1:6">
      <c r="A1" s="3448" t="s">
        <v>2075</v>
      </c>
      <c r="B1" s="3448"/>
    </row>
    <row r="2" spans="1:6" ht="15" thickBot="1">
      <c r="A2" s="1836"/>
      <c r="B2" s="1836"/>
    </row>
    <row r="3" spans="1:6" ht="15" thickBot="1">
      <c r="A3" s="1836"/>
      <c r="B3" s="1836"/>
      <c r="C3" s="1837" t="s">
        <v>2076</v>
      </c>
      <c r="D3" s="1837" t="s">
        <v>2077</v>
      </c>
      <c r="E3" s="1837" t="s">
        <v>2078</v>
      </c>
      <c r="F3" s="1837" t="s">
        <v>2079</v>
      </c>
    </row>
    <row r="4" spans="1:6" ht="15" thickBot="1">
      <c r="A4" s="1838" t="s">
        <v>2080</v>
      </c>
      <c r="B4" s="1839" t="s">
        <v>2081</v>
      </c>
      <c r="C4" s="1837"/>
      <c r="D4" s="1837"/>
      <c r="E4" s="1837"/>
      <c r="F4" s="1837"/>
    </row>
    <row r="5" spans="1:6" ht="15" thickBot="1">
      <c r="A5" s="1840" t="s">
        <v>2082</v>
      </c>
      <c r="B5" s="1841" t="s">
        <v>2083</v>
      </c>
      <c r="C5" s="1842">
        <v>8.8999999999999996E-2</v>
      </c>
      <c r="D5" s="1842">
        <v>7.3999999999999996E-2</v>
      </c>
      <c r="E5" s="1842">
        <v>7.4999999999999997E-2</v>
      </c>
      <c r="F5" s="1843">
        <v>0.1</v>
      </c>
    </row>
    <row r="6" spans="1:6" ht="15" thickBot="1">
      <c r="A6" s="1840" t="s">
        <v>1094</v>
      </c>
      <c r="B6" s="1844" t="s">
        <v>2084</v>
      </c>
      <c r="C6" s="1845">
        <v>0.1</v>
      </c>
      <c r="D6" s="1845">
        <v>9.0999999999999998E-2</v>
      </c>
      <c r="E6" s="1845">
        <v>9.0999999999999998E-2</v>
      </c>
      <c r="F6" s="1846">
        <v>0.1</v>
      </c>
    </row>
    <row r="7" spans="1:6" ht="15" thickBot="1">
      <c r="A7" s="1840" t="s">
        <v>1094</v>
      </c>
      <c r="B7" s="1847" t="s">
        <v>1082</v>
      </c>
      <c r="C7" s="1845">
        <v>8.5999999999999993E-2</v>
      </c>
      <c r="D7" s="1845">
        <v>9.6000000000000002E-2</v>
      </c>
      <c r="E7" s="1845">
        <v>7.5999999999999998E-2</v>
      </c>
      <c r="F7" s="1846">
        <v>0.1</v>
      </c>
    </row>
    <row r="8" spans="1:6" ht="15" thickBot="1">
      <c r="A8" s="1840" t="s">
        <v>1094</v>
      </c>
      <c r="B8" s="1844" t="s">
        <v>1095</v>
      </c>
      <c r="C8" s="1845">
        <v>9.9000000000000005E-2</v>
      </c>
      <c r="D8" s="1845">
        <v>9.8000000000000004E-2</v>
      </c>
      <c r="E8" s="1845">
        <v>9.8000000000000004E-2</v>
      </c>
      <c r="F8" s="1846">
        <v>0.1</v>
      </c>
    </row>
    <row r="9" spans="1:6" ht="15" thickBot="1">
      <c r="A9" s="1848" t="s">
        <v>1094</v>
      </c>
      <c r="B9" s="1849" t="s">
        <v>1109</v>
      </c>
      <c r="C9" s="1850">
        <v>0.05</v>
      </c>
      <c r="D9" s="1851"/>
      <c r="E9" s="1851"/>
      <c r="F9" s="1852"/>
    </row>
    <row r="10" spans="1:6" ht="15" thickBot="1">
      <c r="A10" s="1840" t="s">
        <v>1153</v>
      </c>
      <c r="B10" s="1841" t="s">
        <v>2085</v>
      </c>
      <c r="C10" s="1842">
        <v>8.8999999999999996E-2</v>
      </c>
      <c r="D10" s="1842">
        <v>7.2999999999999995E-2</v>
      </c>
      <c r="E10" s="1842">
        <v>8.2000000000000003E-2</v>
      </c>
      <c r="F10" s="1843">
        <v>0.1</v>
      </c>
    </row>
    <row r="11" spans="1:6" ht="15" thickBot="1">
      <c r="A11" s="1840" t="s">
        <v>1153</v>
      </c>
      <c r="B11" s="1847" t="s">
        <v>1069</v>
      </c>
      <c r="C11" s="1845">
        <v>8.8999999999999996E-2</v>
      </c>
      <c r="D11" s="1845">
        <v>7.2999999999999995E-2</v>
      </c>
      <c r="E11" s="1845">
        <v>8.2000000000000003E-2</v>
      </c>
      <c r="F11" s="1846">
        <v>0.1</v>
      </c>
    </row>
    <row r="12" spans="1:6" ht="15" thickBot="1">
      <c r="A12" s="1840" t="s">
        <v>1153</v>
      </c>
      <c r="B12" s="1847" t="s">
        <v>1083</v>
      </c>
      <c r="C12" s="1845">
        <v>6.0999999999999999E-2</v>
      </c>
      <c r="D12" s="1845">
        <v>7.0999999999999994E-2</v>
      </c>
      <c r="E12" s="1845">
        <v>9.6000000000000002E-2</v>
      </c>
      <c r="F12" s="1846">
        <v>0.1</v>
      </c>
    </row>
    <row r="13" spans="1:6" ht="15" thickBot="1">
      <c r="A13" s="1840" t="s">
        <v>1153</v>
      </c>
      <c r="B13" s="1847" t="s">
        <v>1096</v>
      </c>
      <c r="C13" s="1845">
        <v>6.9000000000000006E-2</v>
      </c>
      <c r="D13" s="1845">
        <v>6.5000000000000002E-2</v>
      </c>
      <c r="E13" s="1845">
        <v>6.6000000000000003E-2</v>
      </c>
      <c r="F13" s="1846">
        <v>0.1</v>
      </c>
    </row>
    <row r="14" spans="1:6" ht="15" thickBot="1">
      <c r="A14" s="1840" t="s">
        <v>1153</v>
      </c>
      <c r="B14" s="1847" t="s">
        <v>1110</v>
      </c>
      <c r="C14" s="1845">
        <v>0.1</v>
      </c>
      <c r="D14" s="1845">
        <v>6.5000000000000002E-2</v>
      </c>
      <c r="E14" s="1845">
        <v>7.0000000000000007E-2</v>
      </c>
      <c r="F14" s="1846">
        <v>0.1</v>
      </c>
    </row>
    <row r="15" spans="1:6" ht="15" thickBot="1">
      <c r="A15" s="1840" t="s">
        <v>1153</v>
      </c>
      <c r="B15" s="1847" t="s">
        <v>1121</v>
      </c>
      <c r="C15" s="1845">
        <v>9.8000000000000004E-2</v>
      </c>
      <c r="D15" s="1845">
        <v>8.8999999999999996E-2</v>
      </c>
      <c r="E15" s="1845">
        <v>8.8999999999999996E-2</v>
      </c>
      <c r="F15" s="1846">
        <v>0.1</v>
      </c>
    </row>
    <row r="16" spans="1:6" ht="15" thickBot="1">
      <c r="A16" s="1840" t="s">
        <v>1153</v>
      </c>
      <c r="B16" s="1847" t="s">
        <v>1132</v>
      </c>
      <c r="C16" s="1845">
        <v>7.0000000000000007E-2</v>
      </c>
      <c r="D16" s="1845">
        <v>9.2999999999999999E-2</v>
      </c>
      <c r="E16" s="1845">
        <v>9.6000000000000002E-2</v>
      </c>
      <c r="F16" s="1846">
        <v>0.1</v>
      </c>
    </row>
    <row r="17" spans="1:6" ht="15" thickBot="1">
      <c r="A17" s="1840" t="s">
        <v>1153</v>
      </c>
      <c r="B17" s="1847" t="s">
        <v>1143</v>
      </c>
      <c r="C17" s="1845">
        <v>9.5000000000000001E-2</v>
      </c>
      <c r="D17" s="1845">
        <v>0.1</v>
      </c>
      <c r="E17" s="1845">
        <v>0.1</v>
      </c>
      <c r="F17" s="1853"/>
    </row>
    <row r="18" spans="1:6" ht="15" thickBot="1">
      <c r="A18" s="1840" t="s">
        <v>1153</v>
      </c>
      <c r="B18" s="1847" t="s">
        <v>1155</v>
      </c>
      <c r="C18" s="1845">
        <v>7.3999999999999996E-2</v>
      </c>
      <c r="D18" s="1845">
        <v>9.9000000000000005E-2</v>
      </c>
      <c r="E18" s="1845">
        <v>0.1</v>
      </c>
      <c r="F18" s="1853"/>
    </row>
    <row r="19" spans="1:6" ht="15" thickBot="1">
      <c r="A19" s="1840" t="s">
        <v>1153</v>
      </c>
      <c r="B19" s="1847" t="s">
        <v>1165</v>
      </c>
      <c r="C19" s="1845">
        <v>9.9000000000000005E-2</v>
      </c>
      <c r="D19" s="1845">
        <v>7.5999999999999998E-2</v>
      </c>
      <c r="E19" s="1845">
        <v>8.6999999999999994E-2</v>
      </c>
      <c r="F19" s="1853"/>
    </row>
    <row r="20" spans="1:6" ht="15" thickBot="1">
      <c r="A20" s="1840" t="s">
        <v>1153</v>
      </c>
      <c r="B20" s="1847" t="s">
        <v>1175</v>
      </c>
      <c r="C20" s="1845">
        <v>9.8000000000000004E-2</v>
      </c>
      <c r="D20" s="1845">
        <v>8.5000000000000006E-2</v>
      </c>
      <c r="E20" s="1845">
        <v>8.2000000000000003E-2</v>
      </c>
      <c r="F20" s="1853"/>
    </row>
    <row r="21" spans="1:6" ht="15" thickBot="1">
      <c r="A21" s="1840" t="s">
        <v>1153</v>
      </c>
      <c r="B21" s="1847" t="s">
        <v>1185</v>
      </c>
      <c r="C21" s="1845">
        <v>6.6000000000000003E-2</v>
      </c>
      <c r="D21" s="1845">
        <v>6.4000000000000001E-2</v>
      </c>
      <c r="E21" s="1845">
        <v>6.5000000000000002E-2</v>
      </c>
      <c r="F21" s="1853"/>
    </row>
    <row r="22" spans="1:6" ht="15" thickBot="1">
      <c r="A22" s="1840" t="s">
        <v>1153</v>
      </c>
      <c r="B22" s="1847" t="s">
        <v>2086</v>
      </c>
      <c r="C22" s="1845">
        <v>0.08</v>
      </c>
      <c r="D22" s="1845">
        <v>9.8000000000000004E-2</v>
      </c>
      <c r="E22" s="1845">
        <v>9.8000000000000004E-2</v>
      </c>
      <c r="F22" s="1853"/>
    </row>
    <row r="23" spans="1:6" ht="15" thickBot="1">
      <c r="A23" s="1840" t="s">
        <v>1153</v>
      </c>
      <c r="B23" s="1847" t="s">
        <v>1205</v>
      </c>
      <c r="C23" s="1845">
        <v>9.9000000000000005E-2</v>
      </c>
      <c r="D23" s="1845">
        <v>9.8000000000000004E-2</v>
      </c>
      <c r="E23" s="1845">
        <v>9.0999999999999998E-2</v>
      </c>
      <c r="F23" s="1853"/>
    </row>
    <row r="24" spans="1:6" ht="15" thickBot="1">
      <c r="A24" s="1840" t="s">
        <v>1153</v>
      </c>
      <c r="B24" s="1847" t="s">
        <v>1215</v>
      </c>
      <c r="C24" s="1845">
        <v>8.8999999999999996E-2</v>
      </c>
      <c r="D24" s="1845">
        <v>9.7000000000000003E-2</v>
      </c>
      <c r="E24" s="1845">
        <v>7.0000000000000007E-2</v>
      </c>
      <c r="F24" s="1853"/>
    </row>
    <row r="25" spans="1:6" ht="15" thickBot="1">
      <c r="A25" s="1840" t="s">
        <v>1153</v>
      </c>
      <c r="B25" s="1847" t="s">
        <v>1225</v>
      </c>
      <c r="C25" s="1845">
        <v>8.8999999999999996E-2</v>
      </c>
      <c r="D25" s="1845">
        <v>0.1</v>
      </c>
      <c r="E25" s="1845">
        <v>8.1000000000000003E-2</v>
      </c>
      <c r="F25" s="1853"/>
    </row>
    <row r="26" spans="1:6" ht="15" thickBot="1">
      <c r="A26" s="1840" t="s">
        <v>1153</v>
      </c>
      <c r="B26" s="1847" t="s">
        <v>1235</v>
      </c>
      <c r="C26" s="1854"/>
      <c r="D26" s="1845">
        <v>9.6000000000000002E-2</v>
      </c>
      <c r="E26" s="1845">
        <v>9.2999999999999999E-2</v>
      </c>
      <c r="F26" s="1853"/>
    </row>
    <row r="27" spans="1:6" ht="15" thickBot="1">
      <c r="A27" s="1840" t="s">
        <v>1153</v>
      </c>
      <c r="B27" s="1847" t="s">
        <v>1245</v>
      </c>
      <c r="C27" s="1854"/>
      <c r="D27" s="1845">
        <v>7.5999999999999998E-2</v>
      </c>
      <c r="E27" s="1845">
        <v>9.1999999999999998E-2</v>
      </c>
      <c r="F27" s="1853"/>
    </row>
    <row r="28" spans="1:6" ht="15" thickBot="1">
      <c r="A28" s="1848" t="s">
        <v>1153</v>
      </c>
      <c r="B28" s="1849" t="s">
        <v>1255</v>
      </c>
      <c r="C28" s="1851"/>
      <c r="D28" s="1850">
        <v>7.5999999999999998E-2</v>
      </c>
      <c r="E28" s="1850">
        <v>9.1999999999999998E-2</v>
      </c>
      <c r="F28" s="1852"/>
    </row>
    <row r="29" spans="1:6" ht="15" thickBot="1">
      <c r="A29" s="1840" t="s">
        <v>1324</v>
      </c>
      <c r="B29" s="1841" t="s">
        <v>2087</v>
      </c>
      <c r="C29" s="1842">
        <v>6.4000000000000001E-2</v>
      </c>
      <c r="D29" s="1842">
        <v>6.5000000000000002E-2</v>
      </c>
      <c r="E29" s="1842">
        <v>6.9000000000000006E-2</v>
      </c>
      <c r="F29" s="1843">
        <v>0.1</v>
      </c>
    </row>
    <row r="30" spans="1:6" ht="15" thickBot="1">
      <c r="A30" s="1840" t="s">
        <v>1324</v>
      </c>
      <c r="B30" s="1847" t="s">
        <v>1070</v>
      </c>
      <c r="C30" s="1845">
        <v>6.4000000000000001E-2</v>
      </c>
      <c r="D30" s="1845">
        <v>9.9000000000000005E-2</v>
      </c>
      <c r="E30" s="1845">
        <v>0.1</v>
      </c>
      <c r="F30" s="1846">
        <v>0.1</v>
      </c>
    </row>
    <row r="31" spans="1:6" ht="15" thickBot="1">
      <c r="A31" s="1840" t="s">
        <v>1324</v>
      </c>
      <c r="B31" s="1847" t="s">
        <v>1084</v>
      </c>
      <c r="C31" s="1845">
        <v>0.1</v>
      </c>
      <c r="D31" s="1845">
        <v>9.5000000000000001E-2</v>
      </c>
      <c r="E31" s="1845">
        <v>8.8999999999999996E-2</v>
      </c>
      <c r="F31" s="1846">
        <v>0.1</v>
      </c>
    </row>
    <row r="32" spans="1:6" ht="15" thickBot="1">
      <c r="A32" s="1840" t="s">
        <v>1324</v>
      </c>
      <c r="B32" s="1847" t="s">
        <v>1097</v>
      </c>
      <c r="C32" s="1845">
        <v>0.05</v>
      </c>
      <c r="D32" s="1845">
        <v>0.05</v>
      </c>
      <c r="E32" s="1845">
        <v>8.7999999999999995E-2</v>
      </c>
      <c r="F32" s="1846">
        <v>0.1</v>
      </c>
    </row>
    <row r="33" spans="1:6" ht="15" thickBot="1">
      <c r="A33" s="1840" t="s">
        <v>1324</v>
      </c>
      <c r="B33" s="1847" t="s">
        <v>1111</v>
      </c>
      <c r="C33" s="1845">
        <v>7.4999999999999997E-2</v>
      </c>
      <c r="D33" s="1845">
        <v>9.4E-2</v>
      </c>
      <c r="E33" s="1845">
        <v>9.7000000000000003E-2</v>
      </c>
      <c r="F33" s="1846">
        <v>0.1</v>
      </c>
    </row>
    <row r="34" spans="1:6" ht="15" thickBot="1">
      <c r="A34" s="1840" t="s">
        <v>1324</v>
      </c>
      <c r="B34" s="1847" t="s">
        <v>1122</v>
      </c>
      <c r="C34" s="1845">
        <v>9.8000000000000004E-2</v>
      </c>
      <c r="D34" s="1845">
        <v>8.5999999999999993E-2</v>
      </c>
      <c r="E34" s="1845">
        <v>9.7000000000000003E-2</v>
      </c>
      <c r="F34" s="1846">
        <v>0.1</v>
      </c>
    </row>
    <row r="35" spans="1:6" ht="15" thickBot="1">
      <c r="A35" s="1840" t="s">
        <v>1324</v>
      </c>
      <c r="B35" s="1847" t="s">
        <v>1133</v>
      </c>
      <c r="C35" s="1845">
        <v>5.8999999999999997E-2</v>
      </c>
      <c r="D35" s="1845">
        <v>6.5000000000000002E-2</v>
      </c>
      <c r="E35" s="1845">
        <v>7.0000000000000007E-2</v>
      </c>
      <c r="F35" s="1846">
        <v>0.1</v>
      </c>
    </row>
    <row r="36" spans="1:6" ht="15" thickBot="1">
      <c r="A36" s="1840" t="s">
        <v>1324</v>
      </c>
      <c r="B36" s="1847" t="s">
        <v>1144</v>
      </c>
      <c r="C36" s="1845">
        <v>6.3E-2</v>
      </c>
      <c r="D36" s="1845">
        <v>0.1</v>
      </c>
      <c r="E36" s="1845">
        <v>0.1</v>
      </c>
      <c r="F36" s="1846">
        <v>0.1</v>
      </c>
    </row>
    <row r="37" spans="1:6" ht="15" thickBot="1">
      <c r="A37" s="1840" t="s">
        <v>1324</v>
      </c>
      <c r="B37" s="1847" t="s">
        <v>1156</v>
      </c>
      <c r="C37" s="1845">
        <v>7.3999999999999996E-2</v>
      </c>
      <c r="D37" s="1845">
        <v>0.1</v>
      </c>
      <c r="E37" s="1845">
        <v>0.1</v>
      </c>
      <c r="F37" s="1846">
        <v>0.1</v>
      </c>
    </row>
    <row r="38" spans="1:6" ht="15" thickBot="1">
      <c r="A38" s="1840" t="s">
        <v>1324</v>
      </c>
      <c r="B38" s="1847" t="s">
        <v>1166</v>
      </c>
      <c r="C38" s="1845">
        <v>0.1</v>
      </c>
      <c r="D38" s="1845">
        <v>9.6000000000000002E-2</v>
      </c>
      <c r="E38" s="1845">
        <v>9.6000000000000002E-2</v>
      </c>
      <c r="F38" s="1853"/>
    </row>
    <row r="39" spans="1:6" ht="15" thickBot="1">
      <c r="A39" s="1840" t="s">
        <v>1324</v>
      </c>
      <c r="B39" s="1847" t="s">
        <v>1176</v>
      </c>
      <c r="C39" s="1845">
        <v>0.1</v>
      </c>
      <c r="D39" s="1845">
        <v>9.6000000000000002E-2</v>
      </c>
      <c r="E39" s="1845">
        <v>9.6000000000000002E-2</v>
      </c>
      <c r="F39" s="1853"/>
    </row>
    <row r="40" spans="1:6" ht="15" thickBot="1">
      <c r="A40" s="1840" t="s">
        <v>1324</v>
      </c>
      <c r="B40" s="1847" t="s">
        <v>1186</v>
      </c>
      <c r="C40" s="1845">
        <v>9.6000000000000002E-2</v>
      </c>
      <c r="D40" s="1845">
        <v>0.1</v>
      </c>
      <c r="E40" s="1845">
        <v>9.9000000000000005E-2</v>
      </c>
      <c r="F40" s="1853"/>
    </row>
    <row r="41" spans="1:6" ht="15" thickBot="1">
      <c r="A41" s="1840" t="s">
        <v>1324</v>
      </c>
      <c r="B41" s="1847" t="s">
        <v>1196</v>
      </c>
      <c r="C41" s="1845">
        <v>9.6000000000000002E-2</v>
      </c>
      <c r="D41" s="1845">
        <v>9.8000000000000004E-2</v>
      </c>
      <c r="E41" s="1845">
        <v>9.8000000000000004E-2</v>
      </c>
      <c r="F41" s="1853"/>
    </row>
    <row r="42" spans="1:6" ht="15" thickBot="1">
      <c r="A42" s="1840" t="s">
        <v>1324</v>
      </c>
      <c r="B42" s="1847" t="s">
        <v>1206</v>
      </c>
      <c r="C42" s="1845">
        <v>0.1</v>
      </c>
      <c r="D42" s="1845">
        <v>8.7999999999999995E-2</v>
      </c>
      <c r="E42" s="1845">
        <v>0.1</v>
      </c>
      <c r="F42" s="1853"/>
    </row>
    <row r="43" spans="1:6" ht="15" thickBot="1">
      <c r="A43" s="1840" t="s">
        <v>1324</v>
      </c>
      <c r="B43" s="1847" t="s">
        <v>1216</v>
      </c>
      <c r="C43" s="1845">
        <v>9.8000000000000004E-2</v>
      </c>
      <c r="D43" s="1845">
        <v>9.7000000000000003E-2</v>
      </c>
      <c r="E43" s="1845">
        <v>9.6000000000000002E-2</v>
      </c>
      <c r="F43" s="1853"/>
    </row>
    <row r="44" spans="1:6" ht="15" thickBot="1">
      <c r="A44" s="1840" t="s">
        <v>1324</v>
      </c>
      <c r="B44" s="1847" t="s">
        <v>1226</v>
      </c>
      <c r="C44" s="1845">
        <v>8.5999999999999993E-2</v>
      </c>
      <c r="D44" s="1845">
        <v>7.9000000000000001E-2</v>
      </c>
      <c r="E44" s="1845">
        <v>7.0999999999999994E-2</v>
      </c>
      <c r="F44" s="1853"/>
    </row>
    <row r="45" spans="1:6" ht="15" thickBot="1">
      <c r="A45" s="1840" t="s">
        <v>1324</v>
      </c>
      <c r="B45" s="1847" t="s">
        <v>1236</v>
      </c>
      <c r="C45" s="1845">
        <v>9.8000000000000004E-2</v>
      </c>
      <c r="D45" s="1845">
        <v>9.6000000000000002E-2</v>
      </c>
      <c r="E45" s="1845">
        <v>9.6000000000000002E-2</v>
      </c>
      <c r="F45" s="1853"/>
    </row>
    <row r="46" spans="1:6" ht="15" thickBot="1">
      <c r="A46" s="1840" t="s">
        <v>1324</v>
      </c>
      <c r="B46" s="1847" t="s">
        <v>1246</v>
      </c>
      <c r="C46" s="1845">
        <v>8.5999999999999993E-2</v>
      </c>
      <c r="D46" s="1845">
        <v>9.8000000000000004E-2</v>
      </c>
      <c r="E46" s="1845">
        <v>8.7999999999999995E-2</v>
      </c>
      <c r="F46" s="1853"/>
    </row>
    <row r="47" spans="1:6" ht="15" thickBot="1">
      <c r="A47" s="1840" t="s">
        <v>1324</v>
      </c>
      <c r="B47" s="1847" t="s">
        <v>1256</v>
      </c>
      <c r="C47" s="1845">
        <v>9.6000000000000002E-2</v>
      </c>
      <c r="D47" s="1854"/>
      <c r="E47" s="1845">
        <v>6.9000000000000006E-2</v>
      </c>
      <c r="F47" s="1853"/>
    </row>
    <row r="48" spans="1:6" ht="15" thickBot="1">
      <c r="A48" s="1848" t="s">
        <v>1324</v>
      </c>
      <c r="B48" s="1849" t="s">
        <v>1265</v>
      </c>
      <c r="C48" s="1850">
        <v>9.8000000000000004E-2</v>
      </c>
      <c r="D48" s="1851"/>
      <c r="E48" s="1850">
        <v>9.5000000000000001E-2</v>
      </c>
      <c r="F48" s="1852"/>
    </row>
    <row r="49" spans="1:6" ht="15" thickBot="1">
      <c r="A49" s="1840" t="s">
        <v>923</v>
      </c>
      <c r="B49" s="1841" t="s">
        <v>2088</v>
      </c>
      <c r="C49" s="1842">
        <v>9.7000000000000003E-2</v>
      </c>
      <c r="D49" s="1842">
        <v>9.5000000000000001E-2</v>
      </c>
      <c r="E49" s="1842">
        <v>9.7000000000000003E-2</v>
      </c>
      <c r="F49" s="1843">
        <v>0.1</v>
      </c>
    </row>
    <row r="50" spans="1:6" ht="15" thickBot="1">
      <c r="A50" s="1840" t="s">
        <v>923</v>
      </c>
      <c r="B50" s="1844" t="s">
        <v>1071</v>
      </c>
      <c r="C50" s="1845">
        <v>7.4999999999999997E-2</v>
      </c>
      <c r="D50" s="1845">
        <v>9.5000000000000001E-2</v>
      </c>
      <c r="E50" s="1845">
        <v>0.1</v>
      </c>
      <c r="F50" s="1846">
        <v>0.1</v>
      </c>
    </row>
    <row r="51" spans="1:6" ht="15" thickBot="1">
      <c r="A51" s="1840" t="s">
        <v>923</v>
      </c>
      <c r="B51" s="1844" t="s">
        <v>1085</v>
      </c>
      <c r="C51" s="1845">
        <v>9.8000000000000004E-2</v>
      </c>
      <c r="D51" s="1845">
        <v>8.8999999999999996E-2</v>
      </c>
      <c r="E51" s="1845">
        <v>0.1</v>
      </c>
      <c r="F51" s="1846">
        <v>0.1</v>
      </c>
    </row>
    <row r="52" spans="1:6" ht="15" thickBot="1">
      <c r="A52" s="1840" t="s">
        <v>923</v>
      </c>
      <c r="B52" s="1844" t="s">
        <v>1098</v>
      </c>
      <c r="C52" s="1845">
        <v>9.8000000000000004E-2</v>
      </c>
      <c r="D52" s="1845">
        <v>9.7000000000000003E-2</v>
      </c>
      <c r="E52" s="1845">
        <v>8.1000000000000003E-2</v>
      </c>
      <c r="F52" s="1846">
        <v>0.1</v>
      </c>
    </row>
    <row r="53" spans="1:6" ht="15" thickBot="1">
      <c r="A53" s="1840" t="s">
        <v>923</v>
      </c>
      <c r="B53" s="1844" t="s">
        <v>1112</v>
      </c>
      <c r="C53" s="1845">
        <v>9.7000000000000003E-2</v>
      </c>
      <c r="D53" s="1845">
        <v>7.5999999999999998E-2</v>
      </c>
      <c r="E53" s="1845">
        <v>7.0999999999999994E-2</v>
      </c>
      <c r="F53" s="1846">
        <v>0.1</v>
      </c>
    </row>
    <row r="54" spans="1:6" ht="15" thickBot="1">
      <c r="A54" s="1840" t="s">
        <v>923</v>
      </c>
      <c r="B54" s="1844" t="s">
        <v>1123</v>
      </c>
      <c r="C54" s="1845">
        <v>7.5999999999999998E-2</v>
      </c>
      <c r="D54" s="1845">
        <v>0.1</v>
      </c>
      <c r="E54" s="1845">
        <v>9.9000000000000005E-2</v>
      </c>
      <c r="F54" s="1846">
        <v>0.1</v>
      </c>
    </row>
    <row r="55" spans="1:6" ht="15" thickBot="1">
      <c r="A55" s="1840" t="s">
        <v>923</v>
      </c>
      <c r="B55" s="1844" t="s">
        <v>1134</v>
      </c>
      <c r="C55" s="1845">
        <v>0.1</v>
      </c>
      <c r="D55" s="1845">
        <v>0.1</v>
      </c>
      <c r="E55" s="1845">
        <v>9.6000000000000002E-2</v>
      </c>
      <c r="F55" s="1846">
        <v>0.1</v>
      </c>
    </row>
    <row r="56" spans="1:6" ht="15" thickBot="1">
      <c r="A56" s="1840" t="s">
        <v>923</v>
      </c>
      <c r="B56" s="1844" t="s">
        <v>1145</v>
      </c>
      <c r="C56" s="1845">
        <v>0.1</v>
      </c>
      <c r="D56" s="1845">
        <v>9.6000000000000002E-2</v>
      </c>
      <c r="E56" s="1845">
        <v>5.1999999999999998E-2</v>
      </c>
      <c r="F56" s="1846">
        <v>0.1</v>
      </c>
    </row>
    <row r="57" spans="1:6" ht="15" thickBot="1">
      <c r="A57" s="1840" t="s">
        <v>923</v>
      </c>
      <c r="B57" s="1844" t="s">
        <v>1157</v>
      </c>
      <c r="C57" s="1845">
        <v>9.7000000000000003E-2</v>
      </c>
      <c r="D57" s="1845">
        <v>9.6000000000000002E-2</v>
      </c>
      <c r="E57" s="1845">
        <v>9.6000000000000002E-2</v>
      </c>
      <c r="F57" s="1846">
        <v>0.1</v>
      </c>
    </row>
    <row r="58" spans="1:6" ht="15" thickBot="1">
      <c r="A58" s="1840" t="s">
        <v>923</v>
      </c>
      <c r="B58" s="1844" t="s">
        <v>1167</v>
      </c>
      <c r="C58" s="1845">
        <v>9.6000000000000002E-2</v>
      </c>
      <c r="D58" s="1845">
        <v>9.9000000000000005E-2</v>
      </c>
      <c r="E58" s="1845">
        <v>9.6000000000000002E-2</v>
      </c>
      <c r="F58" s="1846">
        <v>0.1</v>
      </c>
    </row>
    <row r="59" spans="1:6" ht="15" thickBot="1">
      <c r="A59" s="1840" t="s">
        <v>923</v>
      </c>
      <c r="B59" s="1844" t="s">
        <v>1177</v>
      </c>
      <c r="C59" s="1845">
        <v>7.1999999999999995E-2</v>
      </c>
      <c r="D59" s="1845">
        <v>9.6000000000000002E-2</v>
      </c>
      <c r="E59" s="1845">
        <v>7.0999999999999994E-2</v>
      </c>
      <c r="F59" s="1846">
        <v>0.1</v>
      </c>
    </row>
    <row r="60" spans="1:6" ht="15" thickBot="1">
      <c r="A60" s="1840" t="s">
        <v>923</v>
      </c>
      <c r="B60" s="1844" t="s">
        <v>1187</v>
      </c>
      <c r="C60" s="1845">
        <v>9.6000000000000002E-2</v>
      </c>
      <c r="D60" s="1845">
        <v>8.8999999999999996E-2</v>
      </c>
      <c r="E60" s="1845">
        <v>9.6000000000000002E-2</v>
      </c>
      <c r="F60" s="1846">
        <v>0.1</v>
      </c>
    </row>
    <row r="61" spans="1:6" ht="15" thickBot="1">
      <c r="A61" s="1840" t="s">
        <v>923</v>
      </c>
      <c r="B61" s="1844" t="s">
        <v>1197</v>
      </c>
      <c r="C61" s="1845">
        <v>8.8999999999999996E-2</v>
      </c>
      <c r="D61" s="1845">
        <v>9.8000000000000004E-2</v>
      </c>
      <c r="E61" s="1845">
        <v>8.7999999999999995E-2</v>
      </c>
      <c r="F61" s="1853"/>
    </row>
    <row r="62" spans="1:6" ht="15" thickBot="1">
      <c r="A62" s="1840" t="s">
        <v>923</v>
      </c>
      <c r="B62" s="1844" t="s">
        <v>1207</v>
      </c>
      <c r="C62" s="1845">
        <v>9.8000000000000004E-2</v>
      </c>
      <c r="D62" s="1845">
        <v>9.2999999999999999E-2</v>
      </c>
      <c r="E62" s="1845">
        <v>9.7000000000000003E-2</v>
      </c>
      <c r="F62" s="1853"/>
    </row>
    <row r="63" spans="1:6" ht="15" thickBot="1">
      <c r="A63" s="1840" t="s">
        <v>923</v>
      </c>
      <c r="B63" s="1844" t="s">
        <v>1217</v>
      </c>
      <c r="C63" s="1845">
        <v>9.6000000000000002E-2</v>
      </c>
      <c r="D63" s="1845">
        <v>9.8000000000000004E-2</v>
      </c>
      <c r="E63" s="1845">
        <v>0.09</v>
      </c>
      <c r="F63" s="1853"/>
    </row>
    <row r="64" spans="1:6" ht="15" thickBot="1">
      <c r="A64" s="1840" t="s">
        <v>923</v>
      </c>
      <c r="B64" s="1844" t="s">
        <v>1227</v>
      </c>
      <c r="C64" s="1845">
        <v>9.9000000000000005E-2</v>
      </c>
      <c r="D64" s="1845">
        <v>9.7000000000000003E-2</v>
      </c>
      <c r="E64" s="1845">
        <v>9.9000000000000005E-2</v>
      </c>
      <c r="F64" s="1853"/>
    </row>
    <row r="65" spans="1:6" ht="15" thickBot="1">
      <c r="A65" s="1840" t="s">
        <v>923</v>
      </c>
      <c r="B65" s="1844" t="s">
        <v>1237</v>
      </c>
      <c r="C65" s="1845">
        <v>9.8000000000000004E-2</v>
      </c>
      <c r="D65" s="1845">
        <v>9.6000000000000002E-2</v>
      </c>
      <c r="E65" s="1845">
        <v>9.6000000000000002E-2</v>
      </c>
      <c r="F65" s="1853"/>
    </row>
    <row r="66" spans="1:6" ht="15" thickBot="1">
      <c r="A66" s="1840" t="s">
        <v>923</v>
      </c>
      <c r="B66" s="1844" t="s">
        <v>1247</v>
      </c>
      <c r="C66" s="1845">
        <v>9.6000000000000002E-2</v>
      </c>
      <c r="D66" s="1845">
        <v>9.1999999999999998E-2</v>
      </c>
      <c r="E66" s="1845">
        <v>9.6000000000000002E-2</v>
      </c>
      <c r="F66" s="1853"/>
    </row>
    <row r="67" spans="1:6" ht="15" thickBot="1">
      <c r="A67" s="1840" t="s">
        <v>923</v>
      </c>
      <c r="B67" s="1844" t="s">
        <v>1257</v>
      </c>
      <c r="C67" s="1845">
        <v>9.4E-2</v>
      </c>
      <c r="D67" s="1845">
        <v>0.1</v>
      </c>
      <c r="E67" s="1845">
        <v>8.7999999999999995E-2</v>
      </c>
      <c r="F67" s="1853"/>
    </row>
    <row r="68" spans="1:6" ht="15" thickBot="1">
      <c r="A68" s="1840" t="s">
        <v>923</v>
      </c>
      <c r="B68" s="1844" t="s">
        <v>1266</v>
      </c>
      <c r="C68" s="1845">
        <v>0.1</v>
      </c>
      <c r="D68" s="1845">
        <v>8.7999999999999995E-2</v>
      </c>
      <c r="E68" s="1845">
        <v>9.7000000000000003E-2</v>
      </c>
      <c r="F68" s="1853"/>
    </row>
    <row r="69" spans="1:6" ht="15" thickBot="1">
      <c r="A69" s="1840" t="s">
        <v>923</v>
      </c>
      <c r="B69" s="1844" t="s">
        <v>1275</v>
      </c>
      <c r="C69" s="1845">
        <v>6.4000000000000001E-2</v>
      </c>
      <c r="D69" s="1845">
        <v>0.1</v>
      </c>
      <c r="E69" s="1845">
        <v>0.1</v>
      </c>
      <c r="F69" s="1853"/>
    </row>
    <row r="70" spans="1:6" ht="15" thickBot="1">
      <c r="A70" s="1840" t="s">
        <v>923</v>
      </c>
      <c r="B70" s="1844" t="s">
        <v>1283</v>
      </c>
      <c r="C70" s="1845">
        <v>9.0999999999999998E-2</v>
      </c>
      <c r="D70" s="1854"/>
      <c r="E70" s="1854"/>
      <c r="F70" s="1853"/>
    </row>
    <row r="71" spans="1:6" ht="15" thickBot="1">
      <c r="A71" s="1840" t="s">
        <v>923</v>
      </c>
      <c r="B71" s="1844" t="s">
        <v>1290</v>
      </c>
      <c r="C71" s="1845">
        <v>0.1</v>
      </c>
      <c r="D71" s="1854"/>
      <c r="E71" s="1854"/>
      <c r="F71" s="1853"/>
    </row>
    <row r="72" spans="1:6" ht="24.6" thickBot="1">
      <c r="A72" s="1840" t="s">
        <v>923</v>
      </c>
      <c r="B72" s="1844" t="s">
        <v>2089</v>
      </c>
      <c r="C72" s="1854"/>
      <c r="D72" s="1854"/>
      <c r="E72" s="1854"/>
      <c r="F72" s="1846">
        <v>0.05</v>
      </c>
    </row>
    <row r="73" spans="1:6" ht="24.6" thickBot="1">
      <c r="A73" s="1840" t="s">
        <v>923</v>
      </c>
      <c r="B73" s="1844" t="s">
        <v>2090</v>
      </c>
      <c r="C73" s="1854"/>
      <c r="D73" s="1854"/>
      <c r="E73" s="1854"/>
      <c r="F73" s="1846">
        <v>0.05</v>
      </c>
    </row>
    <row r="74" spans="1:6" ht="24.6" thickBot="1">
      <c r="A74" s="1840" t="s">
        <v>923</v>
      </c>
      <c r="B74" s="1844" t="s">
        <v>2091</v>
      </c>
      <c r="C74" s="1854"/>
      <c r="D74" s="1854"/>
      <c r="E74" s="1854"/>
      <c r="F74" s="1846">
        <v>0.05</v>
      </c>
    </row>
    <row r="75" spans="1:6" ht="24.6" thickBot="1">
      <c r="A75" s="1848" t="s">
        <v>923</v>
      </c>
      <c r="B75" s="1855" t="s">
        <v>2092</v>
      </c>
      <c r="C75" s="1851"/>
      <c r="D75" s="1851"/>
      <c r="E75" s="1851"/>
      <c r="F75" s="1856">
        <v>0.05</v>
      </c>
    </row>
    <row r="76" spans="1:6" ht="15" thickBot="1">
      <c r="A76" s="1840" t="s">
        <v>1405</v>
      </c>
      <c r="B76" s="1841" t="s">
        <v>2093</v>
      </c>
      <c r="C76" s="1842">
        <v>0.1</v>
      </c>
      <c r="D76" s="1842">
        <v>0.1</v>
      </c>
      <c r="E76" s="1842">
        <v>0.1</v>
      </c>
      <c r="F76" s="1843">
        <v>0.1</v>
      </c>
    </row>
    <row r="77" spans="1:6" ht="15" thickBot="1">
      <c r="A77" s="1840" t="s">
        <v>1405</v>
      </c>
      <c r="B77" s="1844" t="s">
        <v>1072</v>
      </c>
      <c r="C77" s="1845">
        <v>8.7999999999999995E-2</v>
      </c>
      <c r="D77" s="1845">
        <v>8.6999999999999994E-2</v>
      </c>
      <c r="E77" s="1845">
        <v>7.9000000000000001E-2</v>
      </c>
      <c r="F77" s="1846">
        <v>0.1</v>
      </c>
    </row>
    <row r="78" spans="1:6" ht="15" thickBot="1">
      <c r="A78" s="1840" t="s">
        <v>1405</v>
      </c>
      <c r="B78" s="1844" t="s">
        <v>1086</v>
      </c>
      <c r="C78" s="1845">
        <v>8.6999999999999994E-2</v>
      </c>
      <c r="D78" s="1845">
        <v>8.4000000000000005E-2</v>
      </c>
      <c r="E78" s="1845">
        <v>9.6000000000000002E-2</v>
      </c>
      <c r="F78" s="1846">
        <v>0.1</v>
      </c>
    </row>
    <row r="79" spans="1:6" ht="15" thickBot="1">
      <c r="A79" s="1840" t="s">
        <v>1405</v>
      </c>
      <c r="B79" s="1844" t="s">
        <v>1099</v>
      </c>
      <c r="C79" s="1845">
        <v>9.8000000000000004E-2</v>
      </c>
      <c r="D79" s="1845">
        <v>9.8000000000000004E-2</v>
      </c>
      <c r="E79" s="1845">
        <v>9.0999999999999998E-2</v>
      </c>
      <c r="F79" s="1846">
        <v>0.1</v>
      </c>
    </row>
    <row r="80" spans="1:6" ht="15" thickBot="1">
      <c r="A80" s="1840" t="s">
        <v>1405</v>
      </c>
      <c r="B80" s="1844" t="s">
        <v>1113</v>
      </c>
      <c r="C80" s="1845">
        <v>9.6000000000000002E-2</v>
      </c>
      <c r="D80" s="1845">
        <v>9.6000000000000002E-2</v>
      </c>
      <c r="E80" s="1845">
        <v>0.1</v>
      </c>
      <c r="F80" s="1846">
        <v>0.1</v>
      </c>
    </row>
    <row r="81" spans="1:6" ht="15" thickBot="1">
      <c r="A81" s="1840" t="s">
        <v>1405</v>
      </c>
      <c r="B81" s="1844" t="s">
        <v>1124</v>
      </c>
      <c r="C81" s="1845">
        <v>9.9000000000000005E-2</v>
      </c>
      <c r="D81" s="1845">
        <v>9.9000000000000005E-2</v>
      </c>
      <c r="E81" s="1845">
        <v>9.8000000000000004E-2</v>
      </c>
      <c r="F81" s="1846">
        <v>0.1</v>
      </c>
    </row>
    <row r="82" spans="1:6" ht="15" thickBot="1">
      <c r="A82" s="1840" t="s">
        <v>1405</v>
      </c>
      <c r="B82" s="1844" t="s">
        <v>1135</v>
      </c>
      <c r="C82" s="1845">
        <v>9.9000000000000005E-2</v>
      </c>
      <c r="D82" s="1845">
        <v>9.9000000000000005E-2</v>
      </c>
      <c r="E82" s="1845">
        <v>9.7000000000000003E-2</v>
      </c>
      <c r="F82" s="1846">
        <v>0.1</v>
      </c>
    </row>
    <row r="83" spans="1:6" ht="15" thickBot="1">
      <c r="A83" s="1840" t="s">
        <v>1405</v>
      </c>
      <c r="B83" s="1844" t="s">
        <v>1146</v>
      </c>
      <c r="C83" s="1845">
        <v>9.8000000000000004E-2</v>
      </c>
      <c r="D83" s="1845">
        <v>9.8000000000000004E-2</v>
      </c>
      <c r="E83" s="1845">
        <v>9.8000000000000004E-2</v>
      </c>
      <c r="F83" s="1846">
        <v>0.1</v>
      </c>
    </row>
    <row r="84" spans="1:6" ht="15" thickBot="1">
      <c r="A84" s="1840" t="s">
        <v>1405</v>
      </c>
      <c r="B84" s="1844" t="s">
        <v>1158</v>
      </c>
      <c r="C84" s="1845">
        <v>9.9000000000000005E-2</v>
      </c>
      <c r="D84" s="1845">
        <v>9.9000000000000005E-2</v>
      </c>
      <c r="E84" s="1845">
        <v>9.9000000000000005E-2</v>
      </c>
      <c r="F84" s="1846">
        <v>0.1</v>
      </c>
    </row>
    <row r="85" spans="1:6" ht="15" thickBot="1">
      <c r="A85" s="1840" t="s">
        <v>1405</v>
      </c>
      <c r="B85" s="1844" t="s">
        <v>1168</v>
      </c>
      <c r="C85" s="1845">
        <v>9.9000000000000005E-2</v>
      </c>
      <c r="D85" s="1845">
        <v>9.9000000000000005E-2</v>
      </c>
      <c r="E85" s="1845">
        <v>9.9000000000000005E-2</v>
      </c>
      <c r="F85" s="1846">
        <v>0.1</v>
      </c>
    </row>
    <row r="86" spans="1:6" ht="15" thickBot="1">
      <c r="A86" s="1840" t="s">
        <v>1405</v>
      </c>
      <c r="B86" s="1844" t="s">
        <v>1178</v>
      </c>
      <c r="C86" s="1845">
        <v>0.1</v>
      </c>
      <c r="D86" s="1845">
        <v>0.1</v>
      </c>
      <c r="E86" s="1845">
        <v>7.6999999999999999E-2</v>
      </c>
      <c r="F86" s="1846">
        <v>0.1</v>
      </c>
    </row>
    <row r="87" spans="1:6" ht="15" thickBot="1">
      <c r="A87" s="1840" t="s">
        <v>1405</v>
      </c>
      <c r="B87" s="1844" t="s">
        <v>1188</v>
      </c>
      <c r="C87" s="1845">
        <v>0.1</v>
      </c>
      <c r="D87" s="1845">
        <v>0.1</v>
      </c>
      <c r="E87" s="1845">
        <v>9.8000000000000004E-2</v>
      </c>
      <c r="F87" s="1853"/>
    </row>
    <row r="88" spans="1:6" ht="15" thickBot="1">
      <c r="A88" s="1840" t="s">
        <v>1405</v>
      </c>
      <c r="B88" s="1844" t="s">
        <v>1198</v>
      </c>
      <c r="C88" s="1845">
        <v>9.1999999999999998E-2</v>
      </c>
      <c r="D88" s="1845">
        <v>8.5000000000000006E-2</v>
      </c>
      <c r="E88" s="1845">
        <v>9.6000000000000002E-2</v>
      </c>
      <c r="F88" s="1853"/>
    </row>
    <row r="89" spans="1:6" ht="15" thickBot="1">
      <c r="A89" s="1840" t="s">
        <v>1405</v>
      </c>
      <c r="B89" s="1844" t="s">
        <v>1208</v>
      </c>
      <c r="C89" s="1845">
        <v>0.1</v>
      </c>
      <c r="D89" s="1845">
        <v>0.1</v>
      </c>
      <c r="E89" s="1845">
        <v>9.7000000000000003E-2</v>
      </c>
      <c r="F89" s="1853"/>
    </row>
    <row r="90" spans="1:6" ht="15" thickBot="1">
      <c r="A90" s="1840" t="s">
        <v>1405</v>
      </c>
      <c r="B90" s="1844" t="s">
        <v>1218</v>
      </c>
      <c r="C90" s="1845">
        <v>9.8000000000000004E-2</v>
      </c>
      <c r="D90" s="1845">
        <v>9.8000000000000004E-2</v>
      </c>
      <c r="E90" s="1845">
        <v>8.7999999999999995E-2</v>
      </c>
      <c r="F90" s="1853"/>
    </row>
    <row r="91" spans="1:6" ht="15" thickBot="1">
      <c r="A91" s="1840" t="s">
        <v>1405</v>
      </c>
      <c r="B91" s="1844" t="s">
        <v>1228</v>
      </c>
      <c r="C91" s="1845">
        <v>9.9000000000000005E-2</v>
      </c>
      <c r="D91" s="1845">
        <v>9.9000000000000005E-2</v>
      </c>
      <c r="E91" s="1845">
        <v>9.0999999999999998E-2</v>
      </c>
      <c r="F91" s="1853"/>
    </row>
    <row r="92" spans="1:6" ht="15" thickBot="1">
      <c r="A92" s="1840" t="s">
        <v>1405</v>
      </c>
      <c r="B92" s="1844" t="s">
        <v>1238</v>
      </c>
      <c r="C92" s="1845">
        <v>9.6000000000000002E-2</v>
      </c>
      <c r="D92" s="1845">
        <v>9.6000000000000002E-2</v>
      </c>
      <c r="E92" s="1845">
        <v>7.2999999999999995E-2</v>
      </c>
      <c r="F92" s="1853"/>
    </row>
    <row r="93" spans="1:6" ht="15" thickBot="1">
      <c r="A93" s="1840" t="s">
        <v>1405</v>
      </c>
      <c r="B93" s="1844" t="s">
        <v>1248</v>
      </c>
      <c r="C93" s="1845">
        <v>9.6000000000000002E-2</v>
      </c>
      <c r="D93" s="1845">
        <v>9.6000000000000002E-2</v>
      </c>
      <c r="E93" s="1845">
        <v>9.9000000000000005E-2</v>
      </c>
      <c r="F93" s="1853"/>
    </row>
    <row r="94" spans="1:6" ht="15" thickBot="1">
      <c r="A94" s="1840" t="s">
        <v>1405</v>
      </c>
      <c r="B94" s="1844" t="s">
        <v>1258</v>
      </c>
      <c r="C94" s="1845">
        <v>7.5999999999999998E-2</v>
      </c>
      <c r="D94" s="1845">
        <v>7.3999999999999996E-2</v>
      </c>
      <c r="E94" s="1845">
        <v>9.7000000000000003E-2</v>
      </c>
      <c r="F94" s="1853"/>
    </row>
    <row r="95" spans="1:6" ht="15" thickBot="1">
      <c r="A95" s="1840" t="s">
        <v>1405</v>
      </c>
      <c r="B95" s="1844" t="s">
        <v>1267</v>
      </c>
      <c r="C95" s="1845">
        <v>9.9000000000000005E-2</v>
      </c>
      <c r="D95" s="1845">
        <v>9.4E-2</v>
      </c>
      <c r="E95" s="1845">
        <v>9.6000000000000002E-2</v>
      </c>
      <c r="F95" s="1853"/>
    </row>
    <row r="96" spans="1:6" ht="15" thickBot="1">
      <c r="A96" s="1840" t="s">
        <v>1405</v>
      </c>
      <c r="B96" s="1844" t="s">
        <v>1276</v>
      </c>
      <c r="C96" s="1845">
        <v>9.9000000000000005E-2</v>
      </c>
      <c r="D96" s="1845">
        <v>9.9000000000000005E-2</v>
      </c>
      <c r="E96" s="1845">
        <v>9.9000000000000005E-2</v>
      </c>
      <c r="F96" s="1853"/>
    </row>
    <row r="97" spans="1:6" ht="15" thickBot="1">
      <c r="A97" s="1840" t="s">
        <v>1405</v>
      </c>
      <c r="B97" s="1844" t="s">
        <v>1284</v>
      </c>
      <c r="C97" s="1845">
        <v>9.8000000000000004E-2</v>
      </c>
      <c r="D97" s="1845">
        <v>9.8000000000000004E-2</v>
      </c>
      <c r="E97" s="1845">
        <v>9.7000000000000003E-2</v>
      </c>
      <c r="F97" s="1853"/>
    </row>
    <row r="98" spans="1:6" ht="15" thickBot="1">
      <c r="A98" s="1840" t="s">
        <v>1405</v>
      </c>
      <c r="B98" s="1844" t="s">
        <v>1291</v>
      </c>
      <c r="C98" s="1845">
        <v>0.1</v>
      </c>
      <c r="D98" s="1845">
        <v>0.1</v>
      </c>
      <c r="E98" s="1845">
        <v>9.7000000000000003E-2</v>
      </c>
      <c r="F98" s="1853"/>
    </row>
    <row r="99" spans="1:6" ht="15" thickBot="1">
      <c r="A99" s="1840" t="s">
        <v>1405</v>
      </c>
      <c r="B99" s="1844" t="s">
        <v>1298</v>
      </c>
      <c r="C99" s="1845">
        <v>0.1</v>
      </c>
      <c r="D99" s="1845">
        <v>0.1</v>
      </c>
      <c r="E99" s="1854"/>
      <c r="F99" s="1853"/>
    </row>
    <row r="100" spans="1:6" ht="15" thickBot="1">
      <c r="A100" s="1840" t="s">
        <v>1405</v>
      </c>
      <c r="B100" s="1844" t="s">
        <v>1305</v>
      </c>
      <c r="C100" s="1845">
        <v>0.09</v>
      </c>
      <c r="D100" s="1845">
        <v>8.8999999999999996E-2</v>
      </c>
      <c r="E100" s="1854"/>
      <c r="F100" s="1853"/>
    </row>
    <row r="101" spans="1:6" ht="15" thickBot="1">
      <c r="A101" s="1840" t="s">
        <v>1405</v>
      </c>
      <c r="B101" s="1844" t="s">
        <v>1312</v>
      </c>
      <c r="C101" s="1845">
        <v>9.8000000000000004E-2</v>
      </c>
      <c r="D101" s="1845">
        <v>9.7000000000000003E-2</v>
      </c>
      <c r="E101" s="1854"/>
      <c r="F101" s="1853"/>
    </row>
    <row r="102" spans="1:6" ht="24.6" thickBot="1">
      <c r="A102" s="1840" t="s">
        <v>1405</v>
      </c>
      <c r="B102" s="1844" t="s">
        <v>2094</v>
      </c>
      <c r="C102" s="1854"/>
      <c r="D102" s="1854"/>
      <c r="E102" s="1854"/>
      <c r="F102" s="1846">
        <v>0.05</v>
      </c>
    </row>
    <row r="103" spans="1:6" ht="24.6" thickBot="1">
      <c r="A103" s="1840" t="s">
        <v>1405</v>
      </c>
      <c r="B103" s="1844" t="s">
        <v>2095</v>
      </c>
      <c r="C103" s="1854"/>
      <c r="D103" s="1854"/>
      <c r="E103" s="1854"/>
      <c r="F103" s="1846">
        <v>0.05</v>
      </c>
    </row>
    <row r="104" spans="1:6" ht="15" thickBot="1">
      <c r="A104" s="1840" t="s">
        <v>1405</v>
      </c>
      <c r="B104" s="1844" t="s">
        <v>2096</v>
      </c>
      <c r="C104" s="1854"/>
      <c r="D104" s="1854"/>
      <c r="E104" s="1854"/>
      <c r="F104" s="1846">
        <v>0.05</v>
      </c>
    </row>
    <row r="105" spans="1:6" ht="24.6" thickBot="1">
      <c r="A105" s="1840" t="s">
        <v>1405</v>
      </c>
      <c r="B105" s="1844" t="s">
        <v>2097</v>
      </c>
      <c r="C105" s="1854"/>
      <c r="D105" s="1854"/>
      <c r="E105" s="1854"/>
      <c r="F105" s="1846">
        <v>0.05</v>
      </c>
    </row>
    <row r="106" spans="1:6" ht="24.6" thickBot="1">
      <c r="A106" s="1840" t="s">
        <v>1405</v>
      </c>
      <c r="B106" s="1844" t="s">
        <v>2098</v>
      </c>
      <c r="C106" s="1854"/>
      <c r="D106" s="1854"/>
      <c r="E106" s="1854"/>
      <c r="F106" s="1846">
        <v>0.05</v>
      </c>
    </row>
    <row r="107" spans="1:6" ht="24.6" thickBot="1">
      <c r="A107" s="1840" t="s">
        <v>1405</v>
      </c>
      <c r="B107" s="1844" t="s">
        <v>2099</v>
      </c>
      <c r="C107" s="1854"/>
      <c r="D107" s="1854"/>
      <c r="E107" s="1854"/>
      <c r="F107" s="1846">
        <v>0.05</v>
      </c>
    </row>
    <row r="108" spans="1:6" ht="24.6" thickBot="1">
      <c r="A108" s="1840" t="s">
        <v>1405</v>
      </c>
      <c r="B108" s="1844" t="s">
        <v>2100</v>
      </c>
      <c r="C108" s="1854"/>
      <c r="D108" s="1854"/>
      <c r="E108" s="1854"/>
      <c r="F108" s="1846">
        <v>0.05</v>
      </c>
    </row>
    <row r="109" spans="1:6" ht="24.6" thickBot="1">
      <c r="A109" s="1848" t="s">
        <v>1405</v>
      </c>
      <c r="B109" s="1855" t="s">
        <v>2101</v>
      </c>
      <c r="C109" s="1851"/>
      <c r="D109" s="1851"/>
      <c r="E109" s="1851"/>
      <c r="F109" s="1856">
        <v>0.05</v>
      </c>
    </row>
    <row r="110" spans="1:6" ht="15" thickBot="1">
      <c r="A110" s="1840" t="s">
        <v>1407</v>
      </c>
      <c r="B110" s="1841" t="s">
        <v>2102</v>
      </c>
      <c r="C110" s="1842">
        <v>0.129</v>
      </c>
      <c r="D110" s="1842">
        <v>0.129</v>
      </c>
      <c r="E110" s="1842">
        <v>0.126</v>
      </c>
      <c r="F110" s="1843">
        <v>0.13</v>
      </c>
    </row>
    <row r="111" spans="1:6" ht="15" thickBot="1">
      <c r="A111" s="1840" t="s">
        <v>1407</v>
      </c>
      <c r="B111" s="1844" t="s">
        <v>1073</v>
      </c>
      <c r="C111" s="1845">
        <v>0.11</v>
      </c>
      <c r="D111" s="1845">
        <v>0.11</v>
      </c>
      <c r="E111" s="1845">
        <v>9.9000000000000005E-2</v>
      </c>
      <c r="F111" s="1846">
        <v>0.128</v>
      </c>
    </row>
    <row r="112" spans="1:6" ht="15" thickBot="1">
      <c r="A112" s="1840" t="s">
        <v>1407</v>
      </c>
      <c r="B112" s="1844" t="s">
        <v>1087</v>
      </c>
      <c r="C112" s="1845">
        <v>0.125</v>
      </c>
      <c r="D112" s="1845">
        <v>0.125</v>
      </c>
      <c r="E112" s="1845">
        <v>0.12</v>
      </c>
      <c r="F112" s="1846">
        <v>0.125</v>
      </c>
    </row>
    <row r="113" spans="1:6" ht="15" thickBot="1">
      <c r="A113" s="1840" t="s">
        <v>1407</v>
      </c>
      <c r="B113" s="1844" t="s">
        <v>1100</v>
      </c>
      <c r="C113" s="1845">
        <v>0.13</v>
      </c>
      <c r="D113" s="1845">
        <v>0.13</v>
      </c>
      <c r="E113" s="1845">
        <v>0.13</v>
      </c>
      <c r="F113" s="1846">
        <v>0.13</v>
      </c>
    </row>
    <row r="114" spans="1:6" ht="15" thickBot="1">
      <c r="A114" s="1840" t="s">
        <v>1407</v>
      </c>
      <c r="B114" s="1844" t="s">
        <v>1114</v>
      </c>
      <c r="C114" s="1845">
        <v>0.123</v>
      </c>
      <c r="D114" s="1845">
        <v>0.123</v>
      </c>
      <c r="E114" s="1845">
        <v>0.12</v>
      </c>
      <c r="F114" s="1846">
        <v>0.13</v>
      </c>
    </row>
    <row r="115" spans="1:6" ht="15" thickBot="1">
      <c r="A115" s="1840" t="s">
        <v>1407</v>
      </c>
      <c r="B115" s="1844" t="s">
        <v>1125</v>
      </c>
      <c r="C115" s="1845">
        <v>0.125</v>
      </c>
      <c r="D115" s="1845">
        <v>0.125</v>
      </c>
      <c r="E115" s="1845">
        <v>0.11700000000000001</v>
      </c>
      <c r="F115" s="1846">
        <v>0.13</v>
      </c>
    </row>
    <row r="116" spans="1:6" ht="15" thickBot="1">
      <c r="A116" s="1840" t="s">
        <v>1407</v>
      </c>
      <c r="B116" s="1844" t="s">
        <v>1136</v>
      </c>
      <c r="C116" s="1845">
        <v>0.11700000000000001</v>
      </c>
      <c r="D116" s="1845">
        <v>0.11700000000000001</v>
      </c>
      <c r="E116" s="1845">
        <v>8.7999999999999995E-2</v>
      </c>
      <c r="F116" s="1846">
        <v>0.13</v>
      </c>
    </row>
    <row r="117" spans="1:6" ht="15" thickBot="1">
      <c r="A117" s="1840" t="s">
        <v>1407</v>
      </c>
      <c r="B117" s="1844" t="s">
        <v>1147</v>
      </c>
      <c r="C117" s="1845">
        <v>0.13</v>
      </c>
      <c r="D117" s="1845">
        <v>0.13</v>
      </c>
      <c r="E117" s="1845">
        <v>0.129</v>
      </c>
      <c r="F117" s="1846">
        <v>0.13</v>
      </c>
    </row>
    <row r="118" spans="1:6" ht="15" thickBot="1">
      <c r="A118" s="1840" t="s">
        <v>1407</v>
      </c>
      <c r="B118" s="1844" t="s">
        <v>1159</v>
      </c>
      <c r="C118" s="1845">
        <v>0.123</v>
      </c>
      <c r="D118" s="1845">
        <v>0.123</v>
      </c>
      <c r="E118" s="1845">
        <v>0.11600000000000001</v>
      </c>
      <c r="F118" s="1846">
        <v>0.13</v>
      </c>
    </row>
    <row r="119" spans="1:6" ht="15" thickBot="1">
      <c r="A119" s="1840" t="s">
        <v>1407</v>
      </c>
      <c r="B119" s="1844" t="s">
        <v>1169</v>
      </c>
      <c r="C119" s="1845">
        <v>0.127</v>
      </c>
      <c r="D119" s="1845">
        <v>0.127</v>
      </c>
      <c r="E119" s="1845">
        <v>0.124</v>
      </c>
      <c r="F119" s="1846">
        <v>0.13</v>
      </c>
    </row>
    <row r="120" spans="1:6" ht="15" thickBot="1">
      <c r="A120" s="1840" t="s">
        <v>1407</v>
      </c>
      <c r="B120" s="1844" t="s">
        <v>1179</v>
      </c>
      <c r="C120" s="1845">
        <v>0.125</v>
      </c>
      <c r="D120" s="1845">
        <v>0.125</v>
      </c>
      <c r="E120" s="1845">
        <v>0.122</v>
      </c>
      <c r="F120" s="1846">
        <v>0.13</v>
      </c>
    </row>
    <row r="121" spans="1:6" ht="15" thickBot="1">
      <c r="A121" s="1840" t="s">
        <v>1407</v>
      </c>
      <c r="B121" s="1844" t="s">
        <v>1189</v>
      </c>
      <c r="C121" s="1845">
        <v>0.13</v>
      </c>
      <c r="D121" s="1845">
        <v>0.13</v>
      </c>
      <c r="E121" s="1845">
        <v>0.13</v>
      </c>
      <c r="F121" s="1846">
        <v>0.13</v>
      </c>
    </row>
    <row r="122" spans="1:6" ht="15" thickBot="1">
      <c r="A122" s="1840" t="s">
        <v>1407</v>
      </c>
      <c r="B122" s="1844" t="s">
        <v>1199</v>
      </c>
      <c r="C122" s="1845">
        <v>0.13</v>
      </c>
      <c r="D122" s="1845">
        <v>0.13</v>
      </c>
      <c r="E122" s="1845">
        <v>0.125</v>
      </c>
      <c r="F122" s="1846">
        <v>0.13</v>
      </c>
    </row>
    <row r="123" spans="1:6" ht="15" thickBot="1">
      <c r="A123" s="1840" t="s">
        <v>1407</v>
      </c>
      <c r="B123" s="1844" t="s">
        <v>1209</v>
      </c>
      <c r="C123" s="1845">
        <v>0.129</v>
      </c>
      <c r="D123" s="1845">
        <v>0.129</v>
      </c>
      <c r="E123" s="1845">
        <v>0.123</v>
      </c>
      <c r="F123" s="1846">
        <v>0.13</v>
      </c>
    </row>
    <row r="124" spans="1:6" ht="15" thickBot="1">
      <c r="A124" s="1840" t="s">
        <v>1407</v>
      </c>
      <c r="B124" s="1844" t="s">
        <v>1219</v>
      </c>
      <c r="C124" s="1845">
        <v>0.10199999999999999</v>
      </c>
      <c r="D124" s="1845">
        <v>0.10100000000000001</v>
      </c>
      <c r="E124" s="1845">
        <v>0.08</v>
      </c>
      <c r="F124" s="1853"/>
    </row>
    <row r="125" spans="1:6" ht="15" thickBot="1">
      <c r="A125" s="1840" t="s">
        <v>1407</v>
      </c>
      <c r="B125" s="1844" t="s">
        <v>1229</v>
      </c>
      <c r="C125" s="1845">
        <v>0.13</v>
      </c>
      <c r="D125" s="1845">
        <v>0.13</v>
      </c>
      <c r="E125" s="1845">
        <v>0.129</v>
      </c>
      <c r="F125" s="1853"/>
    </row>
    <row r="126" spans="1:6" ht="15" thickBot="1">
      <c r="A126" s="1840" t="s">
        <v>1407</v>
      </c>
      <c r="B126" s="1844" t="s">
        <v>1239</v>
      </c>
      <c r="C126" s="1845">
        <v>0.13</v>
      </c>
      <c r="D126" s="1845">
        <v>0.13</v>
      </c>
      <c r="E126" s="1845">
        <v>0.126</v>
      </c>
      <c r="F126" s="1853"/>
    </row>
    <row r="127" spans="1:6" ht="15" thickBot="1">
      <c r="A127" s="1840" t="s">
        <v>1407</v>
      </c>
      <c r="B127" s="1844" t="s">
        <v>1249</v>
      </c>
      <c r="C127" s="1845">
        <v>0.125</v>
      </c>
      <c r="D127" s="1845">
        <v>0.125</v>
      </c>
      <c r="E127" s="1845">
        <v>0.121</v>
      </c>
      <c r="F127" s="1853"/>
    </row>
    <row r="128" spans="1:6" ht="15" thickBot="1">
      <c r="A128" s="1840" t="s">
        <v>1407</v>
      </c>
      <c r="B128" s="1844" t="s">
        <v>1259</v>
      </c>
      <c r="C128" s="1845">
        <v>0.12</v>
      </c>
      <c r="D128" s="1845">
        <v>0.12</v>
      </c>
      <c r="E128" s="1845">
        <v>0.105</v>
      </c>
      <c r="F128" s="1853"/>
    </row>
    <row r="129" spans="1:6" ht="15" thickBot="1">
      <c r="A129" s="1840" t="s">
        <v>1407</v>
      </c>
      <c r="B129" s="1844" t="s">
        <v>1268</v>
      </c>
      <c r="C129" s="1845">
        <v>0.13</v>
      </c>
      <c r="D129" s="1845">
        <v>0.13</v>
      </c>
      <c r="E129" s="1845">
        <v>0.126</v>
      </c>
      <c r="F129" s="1853"/>
    </row>
    <row r="130" spans="1:6" ht="15" thickBot="1">
      <c r="A130" s="1840" t="s">
        <v>1407</v>
      </c>
      <c r="B130" s="1844" t="s">
        <v>1277</v>
      </c>
      <c r="C130" s="1845">
        <v>0.125</v>
      </c>
      <c r="D130" s="1845">
        <v>0.125</v>
      </c>
      <c r="E130" s="1845">
        <v>0.122</v>
      </c>
      <c r="F130" s="1853"/>
    </row>
    <row r="131" spans="1:6" ht="15" thickBot="1">
      <c r="A131" s="1840" t="s">
        <v>1407</v>
      </c>
      <c r="B131" s="1844" t="s">
        <v>1285</v>
      </c>
      <c r="C131" s="1845">
        <v>0.127</v>
      </c>
      <c r="D131" s="1845">
        <v>0.126</v>
      </c>
      <c r="E131" s="1845">
        <v>0.123</v>
      </c>
      <c r="F131" s="1853"/>
    </row>
    <row r="132" spans="1:6" ht="15" thickBot="1">
      <c r="A132" s="1840" t="s">
        <v>1407</v>
      </c>
      <c r="B132" s="1844" t="s">
        <v>1292</v>
      </c>
      <c r="C132" s="1845">
        <v>9.0999999999999998E-2</v>
      </c>
      <c r="D132" s="1845">
        <v>0.121</v>
      </c>
      <c r="E132" s="1845">
        <v>9.9000000000000005E-2</v>
      </c>
      <c r="F132" s="1853"/>
    </row>
    <row r="133" spans="1:6" ht="15" thickBot="1">
      <c r="A133" s="1840" t="s">
        <v>1407</v>
      </c>
      <c r="B133" s="1844" t="s">
        <v>1299</v>
      </c>
      <c r="C133" s="1845">
        <v>0.13</v>
      </c>
      <c r="D133" s="1845">
        <v>0.13</v>
      </c>
      <c r="E133" s="1845">
        <v>0.129</v>
      </c>
      <c r="F133" s="1853"/>
    </row>
    <row r="134" spans="1:6" ht="15" thickBot="1">
      <c r="A134" s="1840" t="s">
        <v>1407</v>
      </c>
      <c r="B134" s="1844" t="s">
        <v>2103</v>
      </c>
      <c r="C134" s="1845">
        <v>6.8000000000000005E-2</v>
      </c>
      <c r="D134" s="1845">
        <v>6.5000000000000002E-2</v>
      </c>
      <c r="E134" s="1845">
        <v>6.5000000000000002E-2</v>
      </c>
      <c r="F134" s="1846">
        <v>0.13</v>
      </c>
    </row>
    <row r="135" spans="1:6" ht="15" thickBot="1">
      <c r="A135" s="1840" t="s">
        <v>1407</v>
      </c>
      <c r="B135" s="1844" t="s">
        <v>1313</v>
      </c>
      <c r="C135" s="1845">
        <v>0.123</v>
      </c>
      <c r="D135" s="1845">
        <v>0.123</v>
      </c>
      <c r="E135" s="1845">
        <v>0.11</v>
      </c>
      <c r="F135" s="1853"/>
    </row>
    <row r="136" spans="1:6" ht="15" thickBot="1">
      <c r="A136" s="1840" t="s">
        <v>1407</v>
      </c>
      <c r="B136" s="1844" t="s">
        <v>1320</v>
      </c>
      <c r="C136" s="1845">
        <v>0.13</v>
      </c>
      <c r="D136" s="1845">
        <v>0.13</v>
      </c>
      <c r="E136" s="1845">
        <v>0.125</v>
      </c>
      <c r="F136" s="1853"/>
    </row>
    <row r="137" spans="1:6" ht="15" thickBot="1">
      <c r="A137" s="1840" t="s">
        <v>1407</v>
      </c>
      <c r="B137" s="1844" t="s">
        <v>1327</v>
      </c>
      <c r="C137" s="1845">
        <v>0.121</v>
      </c>
      <c r="D137" s="1845">
        <v>0.122</v>
      </c>
      <c r="E137" s="1845">
        <v>0.115</v>
      </c>
      <c r="F137" s="1853"/>
    </row>
    <row r="138" spans="1:6" ht="15" thickBot="1">
      <c r="A138" s="1840" t="s">
        <v>1407</v>
      </c>
      <c r="B138" s="1844" t="s">
        <v>2104</v>
      </c>
      <c r="C138" s="1845">
        <v>0.105</v>
      </c>
      <c r="D138" s="1845">
        <v>0.125</v>
      </c>
      <c r="E138" s="1845">
        <v>0.112</v>
      </c>
      <c r="F138" s="1853"/>
    </row>
    <row r="139" spans="1:6" ht="15" thickBot="1">
      <c r="A139" s="1840" t="s">
        <v>1407</v>
      </c>
      <c r="B139" s="1844" t="s">
        <v>2105</v>
      </c>
      <c r="C139" s="1845">
        <v>0.127</v>
      </c>
      <c r="D139" s="1845">
        <v>0.127</v>
      </c>
      <c r="E139" s="1845">
        <v>0.122</v>
      </c>
      <c r="F139" s="1846">
        <v>0.13</v>
      </c>
    </row>
    <row r="140" spans="1:6" ht="15" thickBot="1">
      <c r="A140" s="1840" t="s">
        <v>1407</v>
      </c>
      <c r="B140" s="1844" t="s">
        <v>2106</v>
      </c>
      <c r="C140" s="1845">
        <v>0.125</v>
      </c>
      <c r="D140" s="1845">
        <v>0.125</v>
      </c>
      <c r="E140" s="1845">
        <v>0.11899999999999999</v>
      </c>
      <c r="F140" s="1846">
        <v>0.13</v>
      </c>
    </row>
    <row r="141" spans="1:6" ht="15" thickBot="1">
      <c r="A141" s="1840" t="s">
        <v>1407</v>
      </c>
      <c r="B141" s="1844" t="s">
        <v>1346</v>
      </c>
      <c r="C141" s="1845">
        <v>0.125</v>
      </c>
      <c r="D141" s="1845">
        <v>0.125</v>
      </c>
      <c r="E141" s="1845">
        <v>0.11700000000000001</v>
      </c>
      <c r="F141" s="1853"/>
    </row>
    <row r="142" spans="1:6" ht="15" thickBot="1">
      <c r="A142" s="1840" t="s">
        <v>1407</v>
      </c>
      <c r="B142" s="1844" t="s">
        <v>1351</v>
      </c>
      <c r="C142" s="1845">
        <v>0.125</v>
      </c>
      <c r="D142" s="1845">
        <v>0.125</v>
      </c>
      <c r="E142" s="1845">
        <v>0.115</v>
      </c>
      <c r="F142" s="1853"/>
    </row>
    <row r="143" spans="1:6" ht="15" thickBot="1">
      <c r="A143" s="1840" t="s">
        <v>1407</v>
      </c>
      <c r="B143" s="1844" t="s">
        <v>1356</v>
      </c>
      <c r="C143" s="1845">
        <v>0.121</v>
      </c>
      <c r="D143" s="1845">
        <v>0.121</v>
      </c>
      <c r="E143" s="1845">
        <v>0.108</v>
      </c>
      <c r="F143" s="1853"/>
    </row>
    <row r="144" spans="1:6" ht="15" thickBot="1">
      <c r="A144" s="1840" t="s">
        <v>1407</v>
      </c>
      <c r="B144" s="1857" t="s">
        <v>2107</v>
      </c>
      <c r="C144" s="1858">
        <v>0.126</v>
      </c>
      <c r="D144" s="1858">
        <v>0.126</v>
      </c>
      <c r="E144" s="1858">
        <v>0.121</v>
      </c>
      <c r="F144" s="1853"/>
    </row>
    <row r="145" spans="1:6" ht="15" thickBot="1">
      <c r="A145" s="1848" t="s">
        <v>1407</v>
      </c>
      <c r="B145" s="1859" t="s">
        <v>2108</v>
      </c>
      <c r="C145" s="1860"/>
      <c r="D145" s="1860"/>
      <c r="E145" s="1860"/>
      <c r="F145" s="1861">
        <v>0.05</v>
      </c>
    </row>
    <row r="146" spans="1:6" ht="24.6" thickBot="1">
      <c r="A146" s="1862" t="s">
        <v>1407</v>
      </c>
      <c r="B146" s="1847" t="s">
        <v>2109</v>
      </c>
      <c r="C146" s="1854"/>
      <c r="D146" s="1854"/>
      <c r="E146" s="1854"/>
      <c r="F146" s="1863">
        <v>0.05</v>
      </c>
    </row>
    <row r="147" spans="1:6" ht="24.6" thickBot="1">
      <c r="A147" s="1840" t="s">
        <v>1407</v>
      </c>
      <c r="B147" s="1844" t="s">
        <v>2110</v>
      </c>
      <c r="C147" s="1854"/>
      <c r="D147" s="1854"/>
      <c r="E147" s="1854"/>
      <c r="F147" s="1846">
        <v>0.05</v>
      </c>
    </row>
    <row r="148" spans="1:6" ht="24.6" thickBot="1">
      <c r="A148" s="1840" t="s">
        <v>1407</v>
      </c>
      <c r="B148" s="1844" t="s">
        <v>2111</v>
      </c>
      <c r="C148" s="1854"/>
      <c r="D148" s="1854"/>
      <c r="E148" s="1854"/>
      <c r="F148" s="1846">
        <v>0.05</v>
      </c>
    </row>
    <row r="149" spans="1:6" ht="24.6" thickBot="1">
      <c r="A149" s="1840" t="s">
        <v>1407</v>
      </c>
      <c r="B149" s="1844" t="s">
        <v>2112</v>
      </c>
      <c r="C149" s="1854"/>
      <c r="D149" s="1854"/>
      <c r="E149" s="1854"/>
      <c r="F149" s="1846">
        <v>0.05</v>
      </c>
    </row>
    <row r="150" spans="1:6" ht="24.6" thickBot="1">
      <c r="A150" s="1840" t="s">
        <v>1407</v>
      </c>
      <c r="B150" s="1844" t="s">
        <v>2113</v>
      </c>
      <c r="C150" s="1854"/>
      <c r="D150" s="1854"/>
      <c r="E150" s="1854"/>
      <c r="F150" s="1846">
        <v>0.05</v>
      </c>
    </row>
    <row r="151" spans="1:6" ht="24.6" thickBot="1">
      <c r="A151" s="1840" t="s">
        <v>1407</v>
      </c>
      <c r="B151" s="1844" t="s">
        <v>2114</v>
      </c>
      <c r="C151" s="1854"/>
      <c r="D151" s="1854"/>
      <c r="E151" s="1854"/>
      <c r="F151" s="1846">
        <v>0.05</v>
      </c>
    </row>
    <row r="152" spans="1:6" ht="24.6" thickBot="1">
      <c r="A152" s="1840" t="s">
        <v>1407</v>
      </c>
      <c r="B152" s="1844" t="s">
        <v>1389</v>
      </c>
      <c r="C152" s="1854"/>
      <c r="D152" s="1854"/>
      <c r="E152" s="1854"/>
      <c r="F152" s="1846">
        <v>0.05</v>
      </c>
    </row>
    <row r="153" spans="1:6" ht="15" thickBot="1">
      <c r="A153" s="1840" t="s">
        <v>1407</v>
      </c>
      <c r="B153" s="1844" t="s">
        <v>2115</v>
      </c>
      <c r="C153" s="1854"/>
      <c r="D153" s="1854"/>
      <c r="E153" s="1854"/>
      <c r="F153" s="1846">
        <v>0.05</v>
      </c>
    </row>
    <row r="154" spans="1:6" ht="15" thickBot="1">
      <c r="A154" s="1840" t="s">
        <v>1407</v>
      </c>
      <c r="B154" s="1844" t="s">
        <v>2116</v>
      </c>
      <c r="C154" s="1854"/>
      <c r="D154" s="1854"/>
      <c r="E154" s="1854"/>
      <c r="F154" s="1846">
        <v>0.05</v>
      </c>
    </row>
    <row r="155" spans="1:6" ht="24.6" thickBot="1">
      <c r="A155" s="1840" t="s">
        <v>1407</v>
      </c>
      <c r="B155" s="1844" t="s">
        <v>2117</v>
      </c>
      <c r="C155" s="1854"/>
      <c r="D155" s="1854"/>
      <c r="E155" s="1854"/>
      <c r="F155" s="1846">
        <v>0.05</v>
      </c>
    </row>
    <row r="156" spans="1:6" ht="24.6" thickBot="1">
      <c r="A156" s="1840" t="s">
        <v>1407</v>
      </c>
      <c r="B156" s="1844" t="s">
        <v>2118</v>
      </c>
      <c r="C156" s="1854"/>
      <c r="D156" s="1854"/>
      <c r="E156" s="1854"/>
      <c r="F156" s="1846">
        <v>0.05</v>
      </c>
    </row>
    <row r="157" spans="1:6" ht="24.6" thickBot="1">
      <c r="A157" s="1848" t="s">
        <v>1407</v>
      </c>
      <c r="B157" s="1855" t="s">
        <v>2119</v>
      </c>
      <c r="C157" s="1851"/>
      <c r="D157" s="1851"/>
      <c r="E157" s="1851"/>
      <c r="F157" s="1856">
        <v>0.05</v>
      </c>
    </row>
    <row r="158" spans="1:6" ht="15" thickBot="1">
      <c r="A158" s="1840" t="s">
        <v>1409</v>
      </c>
      <c r="B158" s="1841" t="s">
        <v>2120</v>
      </c>
      <c r="C158" s="1842">
        <v>0.13</v>
      </c>
      <c r="D158" s="1842">
        <v>0.13</v>
      </c>
      <c r="E158" s="1842">
        <v>0.13</v>
      </c>
      <c r="F158" s="1843">
        <v>0.13</v>
      </c>
    </row>
    <row r="159" spans="1:6" ht="15" thickBot="1">
      <c r="A159" s="1840" t="s">
        <v>1409</v>
      </c>
      <c r="B159" s="1844" t="s">
        <v>1074</v>
      </c>
      <c r="C159" s="1845">
        <v>0.13</v>
      </c>
      <c r="D159" s="1845">
        <v>0.13</v>
      </c>
      <c r="E159" s="1845">
        <v>0.13</v>
      </c>
      <c r="F159" s="1846">
        <v>0.13</v>
      </c>
    </row>
    <row r="160" spans="1:6" ht="15" thickBot="1">
      <c r="A160" s="1840" t="s">
        <v>1409</v>
      </c>
      <c r="B160" s="1844" t="s">
        <v>1088</v>
      </c>
      <c r="C160" s="1845">
        <v>0.13</v>
      </c>
      <c r="D160" s="1845">
        <v>0.13</v>
      </c>
      <c r="E160" s="1845">
        <v>0.129</v>
      </c>
      <c r="F160" s="1846">
        <v>0.13</v>
      </c>
    </row>
    <row r="161" spans="1:6" ht="15" thickBot="1">
      <c r="A161" s="1840" t="s">
        <v>1409</v>
      </c>
      <c r="B161" s="1844" t="s">
        <v>1101</v>
      </c>
      <c r="C161" s="1845">
        <v>0.128</v>
      </c>
      <c r="D161" s="1845">
        <v>0.128</v>
      </c>
      <c r="E161" s="1845">
        <v>0.125</v>
      </c>
      <c r="F161" s="1846">
        <v>0.13</v>
      </c>
    </row>
    <row r="162" spans="1:6" ht="15" thickBot="1">
      <c r="A162" s="1840" t="s">
        <v>1409</v>
      </c>
      <c r="B162" s="1844" t="s">
        <v>1115</v>
      </c>
      <c r="C162" s="1845">
        <v>0.122</v>
      </c>
      <c r="D162" s="1845">
        <v>0.122</v>
      </c>
      <c r="E162" s="1845">
        <v>0.126</v>
      </c>
      <c r="F162" s="1846">
        <v>0.122</v>
      </c>
    </row>
    <row r="163" spans="1:6" ht="15" thickBot="1">
      <c r="A163" s="1840" t="s">
        <v>1409</v>
      </c>
      <c r="B163" s="1844" t="s">
        <v>1126</v>
      </c>
      <c r="C163" s="1845">
        <v>0.13</v>
      </c>
      <c r="D163" s="1845">
        <v>0.13</v>
      </c>
      <c r="E163" s="1845">
        <v>0.125</v>
      </c>
      <c r="F163" s="1846">
        <v>0.13</v>
      </c>
    </row>
    <row r="164" spans="1:6" ht="15" thickBot="1">
      <c r="A164" s="1840" t="s">
        <v>1409</v>
      </c>
      <c r="B164" s="1844" t="s">
        <v>1137</v>
      </c>
      <c r="C164" s="1845">
        <v>0.13</v>
      </c>
      <c r="D164" s="1845">
        <v>0.13</v>
      </c>
      <c r="E164" s="1845">
        <v>0.13</v>
      </c>
      <c r="F164" s="1846">
        <v>0.13</v>
      </c>
    </row>
    <row r="165" spans="1:6" ht="15" thickBot="1">
      <c r="A165" s="1840" t="s">
        <v>1409</v>
      </c>
      <c r="B165" s="1844" t="s">
        <v>1148</v>
      </c>
      <c r="C165" s="1845">
        <v>0.13</v>
      </c>
      <c r="D165" s="1845">
        <v>0.13</v>
      </c>
      <c r="E165" s="1845">
        <v>0.124</v>
      </c>
      <c r="F165" s="1846">
        <v>0.13</v>
      </c>
    </row>
    <row r="166" spans="1:6" ht="15" thickBot="1">
      <c r="A166" s="1840" t="s">
        <v>1409</v>
      </c>
      <c r="B166" s="1844" t="s">
        <v>1160</v>
      </c>
      <c r="C166" s="1845">
        <v>0.13</v>
      </c>
      <c r="D166" s="1845">
        <v>0.13</v>
      </c>
      <c r="E166" s="1845">
        <v>0.13</v>
      </c>
      <c r="F166" s="1846">
        <v>0.13</v>
      </c>
    </row>
    <row r="167" spans="1:6" ht="15" thickBot="1">
      <c r="A167" s="1840" t="s">
        <v>1409</v>
      </c>
      <c r="B167" s="1844" t="s">
        <v>1170</v>
      </c>
      <c r="C167" s="1845">
        <v>0.125</v>
      </c>
      <c r="D167" s="1845">
        <v>0.125</v>
      </c>
      <c r="E167" s="1845">
        <v>0.121</v>
      </c>
      <c r="F167" s="1853"/>
    </row>
    <row r="168" spans="1:6" ht="15" thickBot="1">
      <c r="A168" s="1840" t="s">
        <v>1409</v>
      </c>
      <c r="B168" s="1844" t="s">
        <v>1180</v>
      </c>
      <c r="C168" s="1845">
        <v>0.13</v>
      </c>
      <c r="D168" s="1845">
        <v>0.13</v>
      </c>
      <c r="E168" s="1845">
        <v>0.126</v>
      </c>
      <c r="F168" s="1853"/>
    </row>
    <row r="169" spans="1:6" ht="15" thickBot="1">
      <c r="A169" s="1840" t="s">
        <v>1409</v>
      </c>
      <c r="B169" s="1844" t="s">
        <v>1190</v>
      </c>
      <c r="C169" s="1845">
        <v>0.128</v>
      </c>
      <c r="D169" s="1845">
        <v>0.129</v>
      </c>
      <c r="E169" s="1845">
        <v>0.13</v>
      </c>
      <c r="F169" s="1853"/>
    </row>
    <row r="170" spans="1:6" ht="15" thickBot="1">
      <c r="A170" s="1840" t="s">
        <v>1409</v>
      </c>
      <c r="B170" s="1844" t="s">
        <v>1200</v>
      </c>
      <c r="C170" s="1845">
        <v>0.14099999999999999</v>
      </c>
      <c r="D170" s="1845">
        <v>0.13</v>
      </c>
      <c r="E170" s="1845">
        <v>0.125</v>
      </c>
      <c r="F170" s="1853"/>
    </row>
    <row r="171" spans="1:6" ht="15" thickBot="1">
      <c r="A171" s="1840" t="s">
        <v>1409</v>
      </c>
      <c r="B171" s="1844" t="s">
        <v>2121</v>
      </c>
      <c r="C171" s="1845">
        <v>0.127</v>
      </c>
      <c r="D171" s="1845">
        <v>0.126</v>
      </c>
      <c r="E171" s="1845">
        <v>0.126</v>
      </c>
      <c r="F171" s="1846">
        <v>0.11799999999999999</v>
      </c>
    </row>
    <row r="172" spans="1:6" ht="15" thickBot="1">
      <c r="A172" s="1840" t="s">
        <v>1409</v>
      </c>
      <c r="B172" s="1844" t="s">
        <v>2122</v>
      </c>
      <c r="C172" s="1845">
        <v>0.13</v>
      </c>
      <c r="D172" s="1845">
        <v>0.13</v>
      </c>
      <c r="E172" s="1845">
        <v>0.13</v>
      </c>
      <c r="F172" s="1853"/>
    </row>
    <row r="173" spans="1:6" ht="15" thickBot="1">
      <c r="A173" s="1840" t="s">
        <v>1409</v>
      </c>
      <c r="B173" s="1844" t="s">
        <v>1230</v>
      </c>
      <c r="C173" s="1845">
        <v>0.13</v>
      </c>
      <c r="D173" s="1845">
        <v>0.13</v>
      </c>
      <c r="E173" s="1845">
        <v>0.13</v>
      </c>
      <c r="F173" s="1853"/>
    </row>
    <row r="174" spans="1:6" ht="15" thickBot="1">
      <c r="A174" s="1840" t="s">
        <v>1409</v>
      </c>
      <c r="B174" s="1844" t="s">
        <v>2123</v>
      </c>
      <c r="C174" s="1845">
        <v>0.13</v>
      </c>
      <c r="D174" s="1845">
        <v>0.13</v>
      </c>
      <c r="E174" s="1845">
        <v>0.13</v>
      </c>
      <c r="F174" s="1846">
        <v>0.13</v>
      </c>
    </row>
    <row r="175" spans="1:6" ht="15" thickBot="1">
      <c r="A175" s="1840" t="s">
        <v>1409</v>
      </c>
      <c r="B175" s="1844" t="s">
        <v>2124</v>
      </c>
      <c r="C175" s="1845">
        <v>0.13</v>
      </c>
      <c r="D175" s="1845">
        <v>0.13</v>
      </c>
      <c r="E175" s="1845">
        <v>0.13</v>
      </c>
      <c r="F175" s="1846">
        <v>0.13</v>
      </c>
    </row>
    <row r="176" spans="1:6" ht="15" thickBot="1">
      <c r="A176" s="1840" t="s">
        <v>1409</v>
      </c>
      <c r="B176" s="1844" t="s">
        <v>1260</v>
      </c>
      <c r="C176" s="1845">
        <v>0.13</v>
      </c>
      <c r="D176" s="1845">
        <v>0.13</v>
      </c>
      <c r="E176" s="1845">
        <v>0.13</v>
      </c>
      <c r="F176" s="1846">
        <v>0.13</v>
      </c>
    </row>
    <row r="177" spans="1:6" ht="15" thickBot="1">
      <c r="A177" s="1840" t="s">
        <v>1409</v>
      </c>
      <c r="B177" s="1844" t="s">
        <v>2125</v>
      </c>
      <c r="C177" s="1845">
        <v>0.13</v>
      </c>
      <c r="D177" s="1845">
        <v>0.13</v>
      </c>
      <c r="E177" s="1845">
        <v>0.13</v>
      </c>
      <c r="F177" s="1846">
        <v>0.13</v>
      </c>
    </row>
    <row r="178" spans="1:6" ht="15" thickBot="1">
      <c r="A178" s="1840" t="s">
        <v>1409</v>
      </c>
      <c r="B178" s="1844" t="s">
        <v>1278</v>
      </c>
      <c r="C178" s="1845">
        <v>0.13</v>
      </c>
      <c r="D178" s="1845">
        <v>0.13</v>
      </c>
      <c r="E178" s="1845">
        <v>0.13</v>
      </c>
      <c r="F178" s="1846">
        <v>0.127</v>
      </c>
    </row>
    <row r="179" spans="1:6" ht="15" thickBot="1">
      <c r="A179" s="1840" t="s">
        <v>1409</v>
      </c>
      <c r="B179" s="1844" t="s">
        <v>1286</v>
      </c>
      <c r="C179" s="1845">
        <v>0.13</v>
      </c>
      <c r="D179" s="1845">
        <v>0.13</v>
      </c>
      <c r="E179" s="1845">
        <v>0.13</v>
      </c>
      <c r="F179" s="1853"/>
    </row>
    <row r="180" spans="1:6" ht="15" thickBot="1">
      <c r="A180" s="1840" t="s">
        <v>1409</v>
      </c>
      <c r="B180" s="1844" t="s">
        <v>2126</v>
      </c>
      <c r="C180" s="1845">
        <v>0.13</v>
      </c>
      <c r="D180" s="1845">
        <v>0.13</v>
      </c>
      <c r="E180" s="1845">
        <v>0.125</v>
      </c>
      <c r="F180" s="1846">
        <v>0.13</v>
      </c>
    </row>
    <row r="181" spans="1:6" ht="15" thickBot="1">
      <c r="A181" s="1840" t="s">
        <v>1409</v>
      </c>
      <c r="B181" s="1844" t="s">
        <v>1300</v>
      </c>
      <c r="C181" s="1845">
        <v>0.122</v>
      </c>
      <c r="D181" s="1845">
        <v>0.123</v>
      </c>
      <c r="E181" s="1845">
        <v>0.126</v>
      </c>
      <c r="F181" s="1846">
        <v>0.121</v>
      </c>
    </row>
    <row r="182" spans="1:6" ht="15" thickBot="1">
      <c r="A182" s="1840" t="s">
        <v>1409</v>
      </c>
      <c r="B182" s="1844" t="s">
        <v>1307</v>
      </c>
      <c r="C182" s="1845">
        <v>0.125</v>
      </c>
      <c r="D182" s="1845">
        <v>0.125</v>
      </c>
      <c r="E182" s="1845">
        <v>0.11700000000000001</v>
      </c>
      <c r="F182" s="1846">
        <v>0.13</v>
      </c>
    </row>
    <row r="183" spans="1:6" ht="15" thickBot="1">
      <c r="A183" s="1840" t="s">
        <v>1409</v>
      </c>
      <c r="B183" s="1844" t="s">
        <v>1314</v>
      </c>
      <c r="C183" s="1845">
        <v>0.127</v>
      </c>
      <c r="D183" s="1845">
        <v>0.127</v>
      </c>
      <c r="E183" s="1845">
        <v>0.128</v>
      </c>
      <c r="F183" s="1853"/>
    </row>
    <row r="184" spans="1:6" ht="15" thickBot="1">
      <c r="A184" s="1840" t="s">
        <v>1409</v>
      </c>
      <c r="B184" s="1844" t="s">
        <v>1321</v>
      </c>
      <c r="C184" s="1845">
        <v>0.125</v>
      </c>
      <c r="D184" s="1845">
        <v>0.125</v>
      </c>
      <c r="E184" s="1845">
        <v>0.127</v>
      </c>
      <c r="F184" s="1853"/>
    </row>
    <row r="185" spans="1:6" ht="15" thickBot="1">
      <c r="A185" s="1840" t="s">
        <v>1409</v>
      </c>
      <c r="B185" s="1844" t="s">
        <v>2127</v>
      </c>
      <c r="C185" s="1845">
        <v>0.127</v>
      </c>
      <c r="D185" s="1845">
        <v>0.127</v>
      </c>
      <c r="E185" s="1845">
        <v>0.128</v>
      </c>
      <c r="F185" s="1846">
        <v>0.13</v>
      </c>
    </row>
    <row r="186" spans="1:6" ht="24.6" thickBot="1">
      <c r="A186" s="1840" t="s">
        <v>1409</v>
      </c>
      <c r="B186" s="1844" t="s">
        <v>2128</v>
      </c>
      <c r="C186" s="1854"/>
      <c r="D186" s="1854"/>
      <c r="E186" s="1854"/>
      <c r="F186" s="1846">
        <v>0.05</v>
      </c>
    </row>
    <row r="187" spans="1:6" ht="15" thickBot="1">
      <c r="A187" s="1840" t="s">
        <v>1409</v>
      </c>
      <c r="B187" s="1844" t="s">
        <v>2129</v>
      </c>
      <c r="C187" s="1854"/>
      <c r="D187" s="1854"/>
      <c r="E187" s="1854"/>
      <c r="F187" s="1846">
        <v>0.05</v>
      </c>
    </row>
    <row r="188" spans="1:6" ht="24.6" thickBot="1">
      <c r="A188" s="1840" t="s">
        <v>1409</v>
      </c>
      <c r="B188" s="1844" t="s">
        <v>2130</v>
      </c>
      <c r="C188" s="1854"/>
      <c r="D188" s="1854"/>
      <c r="E188" s="1854"/>
      <c r="F188" s="1846">
        <v>0.05</v>
      </c>
    </row>
    <row r="189" spans="1:6" ht="24.6" thickBot="1">
      <c r="A189" s="1840" t="s">
        <v>1409</v>
      </c>
      <c r="B189" s="1844" t="s">
        <v>2131</v>
      </c>
      <c r="C189" s="1854"/>
      <c r="D189" s="1854"/>
      <c r="E189" s="1854"/>
      <c r="F189" s="1846">
        <v>0.05</v>
      </c>
    </row>
    <row r="190" spans="1:6" ht="24.6" thickBot="1">
      <c r="A190" s="1840" t="s">
        <v>1409</v>
      </c>
      <c r="B190" s="1844" t="s">
        <v>2132</v>
      </c>
      <c r="C190" s="1854"/>
      <c r="D190" s="1854"/>
      <c r="E190" s="1854"/>
      <c r="F190" s="1846">
        <v>0.05</v>
      </c>
    </row>
    <row r="191" spans="1:6" ht="24.6" thickBot="1">
      <c r="A191" s="1840" t="s">
        <v>1409</v>
      </c>
      <c r="B191" s="1844" t="s">
        <v>2133</v>
      </c>
      <c r="C191" s="1854"/>
      <c r="D191" s="1854"/>
      <c r="E191" s="1854"/>
      <c r="F191" s="1846">
        <v>0.05</v>
      </c>
    </row>
    <row r="192" spans="1:6" ht="24.6" thickBot="1">
      <c r="A192" s="1840" t="s">
        <v>1409</v>
      </c>
      <c r="B192" s="1844" t="s">
        <v>2134</v>
      </c>
      <c r="C192" s="1854"/>
      <c r="D192" s="1854"/>
      <c r="E192" s="1854"/>
      <c r="F192" s="1846">
        <v>0.05</v>
      </c>
    </row>
    <row r="193" spans="1:6" ht="24.6" thickBot="1">
      <c r="A193" s="1840" t="s">
        <v>1409</v>
      </c>
      <c r="B193" s="1844" t="s">
        <v>2135</v>
      </c>
      <c r="C193" s="1854"/>
      <c r="D193" s="1854"/>
      <c r="E193" s="1854"/>
      <c r="F193" s="1846">
        <v>0.05</v>
      </c>
    </row>
    <row r="194" spans="1:6" ht="24.6" thickBot="1">
      <c r="A194" s="1840" t="s">
        <v>1409</v>
      </c>
      <c r="B194" s="1844" t="s">
        <v>2136</v>
      </c>
      <c r="C194" s="1854"/>
      <c r="D194" s="1854"/>
      <c r="E194" s="1854"/>
      <c r="F194" s="1846">
        <v>0.05</v>
      </c>
    </row>
    <row r="195" spans="1:6" ht="15" thickBot="1">
      <c r="A195" s="1840" t="s">
        <v>1409</v>
      </c>
      <c r="B195" s="1844" t="s">
        <v>2137</v>
      </c>
      <c r="C195" s="1854"/>
      <c r="D195" s="1854"/>
      <c r="E195" s="1854"/>
      <c r="F195" s="1846">
        <v>0.05</v>
      </c>
    </row>
    <row r="196" spans="1:6" ht="24.6" thickBot="1">
      <c r="A196" s="1840" t="s">
        <v>1409</v>
      </c>
      <c r="B196" s="1844" t="s">
        <v>2138</v>
      </c>
      <c r="C196" s="1854"/>
      <c r="D196" s="1854"/>
      <c r="E196" s="1854"/>
      <c r="F196" s="1846">
        <v>0.05</v>
      </c>
    </row>
    <row r="197" spans="1:6" ht="24.6" thickBot="1">
      <c r="A197" s="1840" t="s">
        <v>1409</v>
      </c>
      <c r="B197" s="1844" t="s">
        <v>2139</v>
      </c>
      <c r="C197" s="1854"/>
      <c r="D197" s="1854"/>
      <c r="E197" s="1854"/>
      <c r="F197" s="1846">
        <v>0.05</v>
      </c>
    </row>
    <row r="198" spans="1:6" ht="24.6" thickBot="1">
      <c r="A198" s="1840" t="s">
        <v>1409</v>
      </c>
      <c r="B198" s="1844" t="s">
        <v>2140</v>
      </c>
      <c r="C198" s="1854"/>
      <c r="D198" s="1854"/>
      <c r="E198" s="1854"/>
      <c r="F198" s="1846">
        <v>0.05</v>
      </c>
    </row>
    <row r="199" spans="1:6" ht="24.6" thickBot="1">
      <c r="A199" s="1840" t="s">
        <v>1409</v>
      </c>
      <c r="B199" s="1844" t="s">
        <v>2141</v>
      </c>
      <c r="C199" s="1854"/>
      <c r="D199" s="1854"/>
      <c r="E199" s="1854"/>
      <c r="F199" s="1846">
        <v>0.05</v>
      </c>
    </row>
    <row r="200" spans="1:6" ht="24.6" thickBot="1">
      <c r="A200" s="1840" t="s">
        <v>1409</v>
      </c>
      <c r="B200" s="1844" t="s">
        <v>2142</v>
      </c>
      <c r="C200" s="1854"/>
      <c r="D200" s="1854"/>
      <c r="E200" s="1854"/>
      <c r="F200" s="1846">
        <v>0.05</v>
      </c>
    </row>
    <row r="201" spans="1:6" ht="24.6" thickBot="1">
      <c r="A201" s="1840" t="s">
        <v>1409</v>
      </c>
      <c r="B201" s="1844" t="s">
        <v>2143</v>
      </c>
      <c r="C201" s="1854"/>
      <c r="D201" s="1854"/>
      <c r="E201" s="1854"/>
      <c r="F201" s="1846">
        <v>0.05</v>
      </c>
    </row>
    <row r="202" spans="1:6" ht="24.6" thickBot="1">
      <c r="A202" s="1840" t="s">
        <v>1409</v>
      </c>
      <c r="B202" s="1844" t="s">
        <v>2144</v>
      </c>
      <c r="C202" s="1854"/>
      <c r="D202" s="1854"/>
      <c r="E202" s="1854"/>
      <c r="F202" s="1846">
        <v>0.05</v>
      </c>
    </row>
    <row r="203" spans="1:6" ht="24.6" thickBot="1">
      <c r="A203" s="1840" t="s">
        <v>1409</v>
      </c>
      <c r="B203" s="1844" t="s">
        <v>2145</v>
      </c>
      <c r="C203" s="1854"/>
      <c r="D203" s="1854"/>
      <c r="E203" s="1854"/>
      <c r="F203" s="1846">
        <v>0.05</v>
      </c>
    </row>
    <row r="204" spans="1:6" ht="15" thickBot="1">
      <c r="A204" s="1840" t="s">
        <v>1409</v>
      </c>
      <c r="B204" s="1844" t="s">
        <v>2146</v>
      </c>
      <c r="C204" s="1854"/>
      <c r="D204" s="1854"/>
      <c r="E204" s="1854"/>
      <c r="F204" s="1846">
        <v>0.05</v>
      </c>
    </row>
    <row r="205" spans="1:6" ht="15" thickBot="1">
      <c r="A205" s="1848" t="s">
        <v>1409</v>
      </c>
      <c r="B205" s="1855" t="s">
        <v>2147</v>
      </c>
      <c r="C205" s="1851"/>
      <c r="D205" s="1851"/>
      <c r="E205" s="1851"/>
      <c r="F205" s="1856">
        <v>0.05</v>
      </c>
    </row>
    <row r="206" spans="1:6" ht="15" thickBot="1">
      <c r="A206" s="1840" t="s">
        <v>1411</v>
      </c>
      <c r="B206" s="1841" t="s">
        <v>2148</v>
      </c>
      <c r="C206" s="1842">
        <v>0.15</v>
      </c>
      <c r="D206" s="1842">
        <v>0.15</v>
      </c>
      <c r="E206" s="1842">
        <v>0.15</v>
      </c>
      <c r="F206" s="1843">
        <v>0.15</v>
      </c>
    </row>
    <row r="207" spans="1:6" ht="15" thickBot="1">
      <c r="A207" s="1840" t="s">
        <v>1411</v>
      </c>
      <c r="B207" s="1844" t="s">
        <v>1075</v>
      </c>
      <c r="C207" s="1845">
        <v>0.15</v>
      </c>
      <c r="D207" s="1845">
        <v>0.15</v>
      </c>
      <c r="E207" s="1845">
        <v>0.15</v>
      </c>
      <c r="F207" s="1846">
        <v>0.14399999999999999</v>
      </c>
    </row>
    <row r="208" spans="1:6" ht="15" thickBot="1">
      <c r="A208" s="1840" t="s">
        <v>1411</v>
      </c>
      <c r="B208" s="1844" t="s">
        <v>1089</v>
      </c>
      <c r="C208" s="1845">
        <v>0.15</v>
      </c>
      <c r="D208" s="1845">
        <v>0.15</v>
      </c>
      <c r="E208" s="1845">
        <v>0.15</v>
      </c>
      <c r="F208" s="1846">
        <v>0.15</v>
      </c>
    </row>
    <row r="209" spans="1:6" ht="15" thickBot="1">
      <c r="A209" s="1840" t="s">
        <v>1411</v>
      </c>
      <c r="B209" s="1844" t="s">
        <v>1102</v>
      </c>
      <c r="C209" s="1845">
        <v>0.13700000000000001</v>
      </c>
      <c r="D209" s="1845">
        <v>0.13700000000000001</v>
      </c>
      <c r="E209" s="1845">
        <v>0.14000000000000001</v>
      </c>
      <c r="F209" s="1846">
        <v>0.11700000000000001</v>
      </c>
    </row>
    <row r="210" spans="1:6" ht="15" thickBot="1">
      <c r="A210" s="1840" t="s">
        <v>1411</v>
      </c>
      <c r="B210" s="1844" t="s">
        <v>2149</v>
      </c>
      <c r="C210" s="1845">
        <v>0.15</v>
      </c>
      <c r="D210" s="1845">
        <v>0.15</v>
      </c>
      <c r="E210" s="1845">
        <v>0.15</v>
      </c>
      <c r="F210" s="1846">
        <v>0.13800000000000001</v>
      </c>
    </row>
    <row r="211" spans="1:6" ht="15" thickBot="1">
      <c r="A211" s="1840" t="s">
        <v>1411</v>
      </c>
      <c r="B211" s="1844" t="s">
        <v>2150</v>
      </c>
      <c r="C211" s="1845">
        <v>0.13700000000000001</v>
      </c>
      <c r="D211" s="1845">
        <v>0.13500000000000001</v>
      </c>
      <c r="E211" s="1845">
        <v>0.13600000000000001</v>
      </c>
      <c r="F211" s="1846">
        <v>0.1</v>
      </c>
    </row>
    <row r="212" spans="1:6" ht="15" thickBot="1">
      <c r="A212" s="1840" t="s">
        <v>1411</v>
      </c>
      <c r="B212" s="1844" t="s">
        <v>2151</v>
      </c>
      <c r="C212" s="1845">
        <v>0.15</v>
      </c>
      <c r="D212" s="1845">
        <v>0.15</v>
      </c>
      <c r="E212" s="1845">
        <v>0.14799999999999999</v>
      </c>
      <c r="F212" s="1846">
        <v>0.13600000000000001</v>
      </c>
    </row>
    <row r="213" spans="1:6" ht="15" thickBot="1">
      <c r="A213" s="1840" t="s">
        <v>1411</v>
      </c>
      <c r="B213" s="1844" t="s">
        <v>1149</v>
      </c>
      <c r="C213" s="1845">
        <v>0.15</v>
      </c>
      <c r="D213" s="1845">
        <v>0.15</v>
      </c>
      <c r="E213" s="1845">
        <v>0.15</v>
      </c>
      <c r="F213" s="1846">
        <v>0.13800000000000001</v>
      </c>
    </row>
    <row r="214" spans="1:6" ht="15" thickBot="1">
      <c r="A214" s="1840" t="s">
        <v>1411</v>
      </c>
      <c r="B214" s="1844" t="s">
        <v>1161</v>
      </c>
      <c r="C214" s="1845">
        <v>9.0999999999999998E-2</v>
      </c>
      <c r="D214" s="1845">
        <v>0.09</v>
      </c>
      <c r="E214" s="1845">
        <v>9.1999999999999998E-2</v>
      </c>
      <c r="F214" s="1853"/>
    </row>
    <row r="215" spans="1:6" ht="15" thickBot="1">
      <c r="A215" s="1840" t="s">
        <v>1411</v>
      </c>
      <c r="B215" s="1844" t="s">
        <v>2152</v>
      </c>
      <c r="C215" s="1845">
        <v>0.15</v>
      </c>
      <c r="D215" s="1845">
        <v>0.15</v>
      </c>
      <c r="E215" s="1845">
        <v>0.15</v>
      </c>
      <c r="F215" s="1846">
        <v>0.15</v>
      </c>
    </row>
    <row r="216" spans="1:6" ht="15" thickBot="1">
      <c r="A216" s="1840" t="s">
        <v>1411</v>
      </c>
      <c r="B216" s="1844" t="s">
        <v>1181</v>
      </c>
      <c r="C216" s="1845">
        <v>0.14699999999999999</v>
      </c>
      <c r="D216" s="1845">
        <v>0.14699999999999999</v>
      </c>
      <c r="E216" s="1845">
        <v>0.15</v>
      </c>
      <c r="F216" s="1846">
        <v>0.14000000000000001</v>
      </c>
    </row>
    <row r="217" spans="1:6" ht="15" thickBot="1">
      <c r="A217" s="1840" t="s">
        <v>1411</v>
      </c>
      <c r="B217" s="1844" t="s">
        <v>1191</v>
      </c>
      <c r="C217" s="1845">
        <v>0.15</v>
      </c>
      <c r="D217" s="1845">
        <v>0.15</v>
      </c>
      <c r="E217" s="1845">
        <v>0.15</v>
      </c>
      <c r="F217" s="1846">
        <v>0.15</v>
      </c>
    </row>
    <row r="218" spans="1:6" ht="15" thickBot="1">
      <c r="A218" s="1840" t="s">
        <v>1411</v>
      </c>
      <c r="B218" s="1844" t="s">
        <v>2153</v>
      </c>
      <c r="C218" s="1845">
        <v>0.15</v>
      </c>
      <c r="D218" s="1845">
        <v>0.15</v>
      </c>
      <c r="E218" s="1845">
        <v>0.15</v>
      </c>
      <c r="F218" s="1846">
        <v>0.15</v>
      </c>
    </row>
    <row r="219" spans="1:6" ht="15" thickBot="1">
      <c r="A219" s="1840" t="s">
        <v>1411</v>
      </c>
      <c r="B219" s="1844" t="s">
        <v>1211</v>
      </c>
      <c r="C219" s="1845">
        <v>0.15</v>
      </c>
      <c r="D219" s="1845">
        <v>0.15</v>
      </c>
      <c r="E219" s="1845">
        <v>0.15</v>
      </c>
      <c r="F219" s="1846">
        <v>0.14799999999999999</v>
      </c>
    </row>
    <row r="220" spans="1:6" ht="15" thickBot="1">
      <c r="A220" s="1840" t="s">
        <v>1411</v>
      </c>
      <c r="B220" s="1844" t="s">
        <v>2154</v>
      </c>
      <c r="C220" s="1845">
        <v>0.15</v>
      </c>
      <c r="D220" s="1845">
        <v>0.15</v>
      </c>
      <c r="E220" s="1845">
        <v>0.15</v>
      </c>
      <c r="F220" s="1846">
        <v>0.15</v>
      </c>
    </row>
    <row r="221" spans="1:6" ht="15" thickBot="1">
      <c r="A221" s="1840" t="s">
        <v>1411</v>
      </c>
      <c r="B221" s="1844" t="s">
        <v>1231</v>
      </c>
      <c r="C221" s="1845"/>
      <c r="D221" s="1854"/>
      <c r="E221" s="1854"/>
      <c r="F221" s="1846">
        <v>0.14799999999999999</v>
      </c>
    </row>
    <row r="222" spans="1:6" ht="15" thickBot="1">
      <c r="A222" s="1840" t="s">
        <v>1411</v>
      </c>
      <c r="B222" s="1844" t="s">
        <v>1241</v>
      </c>
      <c r="C222" s="1845"/>
      <c r="D222" s="1854"/>
      <c r="E222" s="1854"/>
      <c r="F222" s="1846">
        <v>0.1</v>
      </c>
    </row>
    <row r="223" spans="1:6" ht="15" thickBot="1">
      <c r="A223" s="1840" t="s">
        <v>1411</v>
      </c>
      <c r="B223" s="1844" t="s">
        <v>1251</v>
      </c>
      <c r="C223" s="1845"/>
      <c r="D223" s="1854"/>
      <c r="E223" s="1854"/>
      <c r="F223" s="1846">
        <v>0.15</v>
      </c>
    </row>
    <row r="224" spans="1:6" ht="15" thickBot="1">
      <c r="A224" s="1840" t="s">
        <v>1411</v>
      </c>
      <c r="B224" s="1844" t="s">
        <v>1261</v>
      </c>
      <c r="C224" s="1845"/>
      <c r="D224" s="1854"/>
      <c r="E224" s="1854"/>
      <c r="F224" s="1846">
        <v>0.15</v>
      </c>
    </row>
    <row r="225" spans="1:6" ht="15" thickBot="1">
      <c r="A225" s="1840" t="s">
        <v>1411</v>
      </c>
      <c r="B225" s="1844" t="s">
        <v>2155</v>
      </c>
      <c r="C225" s="1845">
        <v>0.15</v>
      </c>
      <c r="D225" s="1845">
        <v>0.15</v>
      </c>
      <c r="E225" s="1845">
        <v>0.15</v>
      </c>
      <c r="F225" s="1846">
        <v>0.15</v>
      </c>
    </row>
    <row r="226" spans="1:6" ht="15" thickBot="1">
      <c r="A226" s="1840" t="s">
        <v>1411</v>
      </c>
      <c r="B226" s="1844" t="s">
        <v>1279</v>
      </c>
      <c r="C226" s="1845">
        <v>0.15</v>
      </c>
      <c r="D226" s="1845">
        <v>0.15</v>
      </c>
      <c r="E226" s="1845">
        <v>0.15</v>
      </c>
      <c r="F226" s="1846">
        <v>0.14799999999999999</v>
      </c>
    </row>
    <row r="227" spans="1:6" ht="15" thickBot="1">
      <c r="A227" s="1840" t="s">
        <v>1411</v>
      </c>
      <c r="B227" s="1844" t="s">
        <v>2156</v>
      </c>
      <c r="C227" s="1845">
        <v>0.15</v>
      </c>
      <c r="D227" s="1845">
        <v>0.15</v>
      </c>
      <c r="E227" s="1845">
        <v>0.15</v>
      </c>
      <c r="F227" s="1846">
        <v>0.15</v>
      </c>
    </row>
    <row r="228" spans="1:6" ht="15" thickBot="1">
      <c r="A228" s="1840" t="s">
        <v>1411</v>
      </c>
      <c r="B228" s="1844" t="s">
        <v>1294</v>
      </c>
      <c r="C228" s="1845">
        <v>0.15</v>
      </c>
      <c r="D228" s="1845">
        <v>0.15</v>
      </c>
      <c r="E228" s="1845">
        <v>0.15</v>
      </c>
      <c r="F228" s="1846">
        <v>0.15</v>
      </c>
    </row>
    <row r="229" spans="1:6" ht="15" thickBot="1">
      <c r="A229" s="1840" t="s">
        <v>1411</v>
      </c>
      <c r="B229" s="1844" t="s">
        <v>1301</v>
      </c>
      <c r="C229" s="1845">
        <v>0.15</v>
      </c>
      <c r="D229" s="1845">
        <v>0.15</v>
      </c>
      <c r="E229" s="1845">
        <v>0.15</v>
      </c>
      <c r="F229" s="1853"/>
    </row>
    <row r="230" spans="1:6" ht="15" thickBot="1">
      <c r="A230" s="1840" t="s">
        <v>1411</v>
      </c>
      <c r="B230" s="1844" t="s">
        <v>1308</v>
      </c>
      <c r="C230" s="1845">
        <v>0.14499999999999999</v>
      </c>
      <c r="D230" s="1845">
        <v>0.14499999999999999</v>
      </c>
      <c r="E230" s="1845">
        <v>0.14399999999999999</v>
      </c>
      <c r="F230" s="1853"/>
    </row>
    <row r="231" spans="1:6" ht="15" thickBot="1">
      <c r="A231" s="1840" t="s">
        <v>1411</v>
      </c>
      <c r="B231" s="1844" t="s">
        <v>2157</v>
      </c>
      <c r="C231" s="1845">
        <v>0.128</v>
      </c>
      <c r="D231" s="1845">
        <v>0.125</v>
      </c>
      <c r="E231" s="1845">
        <v>0.13200000000000001</v>
      </c>
      <c r="F231" s="1853"/>
    </row>
    <row r="232" spans="1:6" ht="15" thickBot="1">
      <c r="A232" s="1840" t="s">
        <v>1411</v>
      </c>
      <c r="B232" s="1844" t="s">
        <v>2158</v>
      </c>
      <c r="C232" s="1845">
        <v>0.14499999999999999</v>
      </c>
      <c r="D232" s="1845">
        <v>0.14399999999999999</v>
      </c>
      <c r="E232" s="1845">
        <v>0.14599999999999999</v>
      </c>
      <c r="F232" s="1846">
        <v>0.13800000000000001</v>
      </c>
    </row>
    <row r="233" spans="1:6" ht="15" thickBot="1">
      <c r="A233" s="1840" t="s">
        <v>1411</v>
      </c>
      <c r="B233" s="1844" t="s">
        <v>2159</v>
      </c>
      <c r="C233" s="1845">
        <v>0.14499999999999999</v>
      </c>
      <c r="D233" s="1845">
        <v>0.14299999999999999</v>
      </c>
      <c r="E233" s="1845">
        <v>0.14199999999999999</v>
      </c>
      <c r="F233" s="1853"/>
    </row>
    <row r="234" spans="1:6" ht="15" thickBot="1">
      <c r="A234" s="1840" t="s">
        <v>1411</v>
      </c>
      <c r="B234" s="1844" t="s">
        <v>2160</v>
      </c>
      <c r="C234" s="1845">
        <v>0.14000000000000001</v>
      </c>
      <c r="D234" s="1845">
        <v>0.14000000000000001</v>
      </c>
      <c r="E234" s="1845">
        <v>0.14399999999999999</v>
      </c>
      <c r="F234" s="1853"/>
    </row>
    <row r="235" spans="1:6" ht="15" thickBot="1">
      <c r="A235" s="1840" t="s">
        <v>1411</v>
      </c>
      <c r="B235" s="1844" t="s">
        <v>2161</v>
      </c>
      <c r="C235" s="1845">
        <v>0.14099999999999999</v>
      </c>
      <c r="D235" s="1845">
        <v>0.14199999999999999</v>
      </c>
      <c r="E235" s="1845">
        <v>0.14499999999999999</v>
      </c>
      <c r="F235" s="1846">
        <v>0.15</v>
      </c>
    </row>
    <row r="236" spans="1:6" ht="15" thickBot="1">
      <c r="A236" s="1840" t="s">
        <v>1411</v>
      </c>
      <c r="B236" s="1844" t="s">
        <v>1343</v>
      </c>
      <c r="C236" s="1854"/>
      <c r="D236" s="1854"/>
      <c r="E236" s="1854"/>
      <c r="F236" s="1846">
        <v>0.14299999999999999</v>
      </c>
    </row>
    <row r="237" spans="1:6" ht="24.6" thickBot="1">
      <c r="A237" s="1840" t="s">
        <v>1411</v>
      </c>
      <c r="B237" s="1844" t="s">
        <v>2162</v>
      </c>
      <c r="C237" s="1854"/>
      <c r="D237" s="1854"/>
      <c r="E237" s="1854"/>
      <c r="F237" s="1846">
        <v>0.05</v>
      </c>
    </row>
    <row r="238" spans="1:6" ht="24.6" thickBot="1">
      <c r="A238" s="1840" t="s">
        <v>1411</v>
      </c>
      <c r="B238" s="1844" t="s">
        <v>2163</v>
      </c>
      <c r="C238" s="1854"/>
      <c r="D238" s="1854"/>
      <c r="E238" s="1854"/>
      <c r="F238" s="1846">
        <v>0.05</v>
      </c>
    </row>
    <row r="239" spans="1:6" ht="24.6" thickBot="1">
      <c r="A239" s="1840" t="s">
        <v>1411</v>
      </c>
      <c r="B239" s="1844" t="s">
        <v>2164</v>
      </c>
      <c r="C239" s="1854"/>
      <c r="D239" s="1854"/>
      <c r="E239" s="1854"/>
      <c r="F239" s="1846">
        <v>0.05</v>
      </c>
    </row>
    <row r="240" spans="1:6" ht="24.6" thickBot="1">
      <c r="A240" s="1840" t="s">
        <v>1411</v>
      </c>
      <c r="B240" s="1844" t="s">
        <v>2165</v>
      </c>
      <c r="C240" s="1854"/>
      <c r="D240" s="1854"/>
      <c r="E240" s="1854"/>
      <c r="F240" s="1846">
        <v>0.05</v>
      </c>
    </row>
    <row r="241" spans="1:6" ht="24.6" thickBot="1">
      <c r="A241" s="1840" t="s">
        <v>1411</v>
      </c>
      <c r="B241" s="1844" t="s">
        <v>2166</v>
      </c>
      <c r="C241" s="1854"/>
      <c r="D241" s="1854"/>
      <c r="E241" s="1854"/>
      <c r="F241" s="1846">
        <v>0.05</v>
      </c>
    </row>
    <row r="242" spans="1:6" ht="24.6" thickBot="1">
      <c r="A242" s="1840" t="s">
        <v>1411</v>
      </c>
      <c r="B242" s="1844" t="s">
        <v>2167</v>
      </c>
      <c r="C242" s="1854"/>
      <c r="D242" s="1854"/>
      <c r="E242" s="1854"/>
      <c r="F242" s="1846">
        <v>0.05</v>
      </c>
    </row>
    <row r="243" spans="1:6" ht="24.6" thickBot="1">
      <c r="A243" s="1840" t="s">
        <v>1411</v>
      </c>
      <c r="B243" s="1844" t="s">
        <v>2168</v>
      </c>
      <c r="C243" s="1854"/>
      <c r="D243" s="1854"/>
      <c r="E243" s="1854"/>
      <c r="F243" s="1846">
        <v>0.05</v>
      </c>
    </row>
    <row r="244" spans="1:6" ht="24.6" thickBot="1">
      <c r="A244" s="1848" t="s">
        <v>1411</v>
      </c>
      <c r="B244" s="1855" t="s">
        <v>2169</v>
      </c>
      <c r="C244" s="1851"/>
      <c r="D244" s="1851"/>
      <c r="E244" s="1851"/>
      <c r="F244" s="1856">
        <v>0.05</v>
      </c>
    </row>
    <row r="245" spans="1:6" ht="15" thickBot="1">
      <c r="A245" s="1840" t="s">
        <v>1413</v>
      </c>
      <c r="B245" s="1841" t="s">
        <v>2170</v>
      </c>
      <c r="C245" s="1842">
        <v>0.15</v>
      </c>
      <c r="D245" s="1842">
        <v>0.15</v>
      </c>
      <c r="E245" s="1842">
        <v>0.15</v>
      </c>
      <c r="F245" s="1843">
        <v>0.14299999999999999</v>
      </c>
    </row>
    <row r="246" spans="1:6" ht="15" thickBot="1">
      <c r="A246" s="1840" t="s">
        <v>1413</v>
      </c>
      <c r="B246" s="1844" t="s">
        <v>1076</v>
      </c>
      <c r="C246" s="1845">
        <v>0.15</v>
      </c>
      <c r="D246" s="1845">
        <v>0.15</v>
      </c>
      <c r="E246" s="1845">
        <v>0.15</v>
      </c>
      <c r="F246" s="1846">
        <v>0.114</v>
      </c>
    </row>
    <row r="247" spans="1:6" ht="15" thickBot="1">
      <c r="A247" s="1840" t="s">
        <v>1413</v>
      </c>
      <c r="B247" s="1844" t="s">
        <v>2171</v>
      </c>
      <c r="C247" s="1845">
        <v>0.15</v>
      </c>
      <c r="D247" s="1845">
        <v>0.15</v>
      </c>
      <c r="E247" s="1845">
        <v>0.15</v>
      </c>
      <c r="F247" s="1846">
        <v>0.15</v>
      </c>
    </row>
    <row r="248" spans="1:6" ht="15" thickBot="1">
      <c r="A248" s="1840" t="s">
        <v>1413</v>
      </c>
      <c r="B248" s="1844" t="s">
        <v>2172</v>
      </c>
      <c r="C248" s="1845">
        <v>0.15</v>
      </c>
      <c r="D248" s="1845">
        <v>0.15</v>
      </c>
      <c r="E248" s="1845">
        <v>0.15</v>
      </c>
      <c r="F248" s="1846">
        <v>0.14000000000000001</v>
      </c>
    </row>
    <row r="249" spans="1:6" ht="15" thickBot="1">
      <c r="A249" s="1840" t="s">
        <v>1413</v>
      </c>
      <c r="B249" s="1844" t="s">
        <v>2173</v>
      </c>
      <c r="C249" s="1845">
        <v>0.15</v>
      </c>
      <c r="D249" s="1845">
        <v>0.14899999999999999</v>
      </c>
      <c r="E249" s="1845">
        <v>0.15</v>
      </c>
      <c r="F249" s="1846">
        <v>0.1</v>
      </c>
    </row>
    <row r="250" spans="1:6" ht="15" thickBot="1">
      <c r="A250" s="1840" t="s">
        <v>1413</v>
      </c>
      <c r="B250" s="1844" t="s">
        <v>2174</v>
      </c>
      <c r="C250" s="1845">
        <v>0.15</v>
      </c>
      <c r="D250" s="1845">
        <v>0.15</v>
      </c>
      <c r="E250" s="1845">
        <v>0.15</v>
      </c>
      <c r="F250" s="1846">
        <v>0.14399999999999999</v>
      </c>
    </row>
    <row r="251" spans="1:6" ht="15" thickBot="1">
      <c r="A251" s="1840" t="s">
        <v>1413</v>
      </c>
      <c r="B251" s="1844" t="s">
        <v>1139</v>
      </c>
      <c r="C251" s="1845">
        <v>0.15</v>
      </c>
      <c r="D251" s="1845">
        <v>0.15</v>
      </c>
      <c r="E251" s="1845">
        <v>0.15</v>
      </c>
      <c r="F251" s="1846">
        <v>0.14299999999999999</v>
      </c>
    </row>
    <row r="252" spans="1:6" ht="15" thickBot="1">
      <c r="A252" s="1840" t="s">
        <v>1413</v>
      </c>
      <c r="B252" s="1844" t="s">
        <v>1150</v>
      </c>
      <c r="C252" s="1845">
        <v>0.15</v>
      </c>
      <c r="D252" s="1845">
        <v>0.15</v>
      </c>
      <c r="E252" s="1845">
        <v>0.15</v>
      </c>
      <c r="F252" s="1846">
        <v>0.1</v>
      </c>
    </row>
    <row r="253" spans="1:6" ht="15" thickBot="1">
      <c r="A253" s="1840" t="s">
        <v>1413</v>
      </c>
      <c r="B253" s="1844" t="s">
        <v>1162</v>
      </c>
      <c r="C253" s="1845">
        <v>0.15</v>
      </c>
      <c r="D253" s="1845">
        <v>0.15</v>
      </c>
      <c r="E253" s="1845">
        <v>0.15</v>
      </c>
      <c r="F253" s="1846">
        <v>0.1</v>
      </c>
    </row>
    <row r="254" spans="1:6" ht="15" thickBot="1">
      <c r="A254" s="1840" t="s">
        <v>1413</v>
      </c>
      <c r="B254" s="1844" t="s">
        <v>1172</v>
      </c>
      <c r="C254" s="1854"/>
      <c r="D254" s="1854"/>
      <c r="E254" s="1854"/>
      <c r="F254" s="1846">
        <v>0.15</v>
      </c>
    </row>
    <row r="255" spans="1:6" ht="15" thickBot="1">
      <c r="A255" s="1840" t="s">
        <v>1413</v>
      </c>
      <c r="B255" s="1844" t="s">
        <v>1182</v>
      </c>
      <c r="C255" s="1854"/>
      <c r="D255" s="1854"/>
      <c r="E255" s="1854"/>
      <c r="F255" s="1846">
        <v>0.14299999999999999</v>
      </c>
    </row>
    <row r="256" spans="1:6" ht="15" thickBot="1">
      <c r="A256" s="1840" t="s">
        <v>1413</v>
      </c>
      <c r="B256" s="1844" t="s">
        <v>2175</v>
      </c>
      <c r="C256" s="1845">
        <v>0.14599999999999999</v>
      </c>
      <c r="D256" s="1845">
        <v>0.14699999999999999</v>
      </c>
      <c r="E256" s="1845">
        <v>0.15</v>
      </c>
      <c r="F256" s="1846">
        <v>0.13200000000000001</v>
      </c>
    </row>
    <row r="257" spans="1:6" ht="15" thickBot="1">
      <c r="A257" s="1840" t="s">
        <v>1413</v>
      </c>
      <c r="B257" s="1844" t="s">
        <v>1202</v>
      </c>
      <c r="C257" s="1845">
        <v>0.15</v>
      </c>
      <c r="D257" s="1845">
        <v>0.15</v>
      </c>
      <c r="E257" s="1845">
        <v>0.15</v>
      </c>
      <c r="F257" s="1846">
        <v>0.13900000000000001</v>
      </c>
    </row>
    <row r="258" spans="1:6" ht="15" thickBot="1">
      <c r="A258" s="1840" t="s">
        <v>1413</v>
      </c>
      <c r="B258" s="1844" t="s">
        <v>1212</v>
      </c>
      <c r="C258" s="1845">
        <v>0.15</v>
      </c>
      <c r="D258" s="1845">
        <v>0.15</v>
      </c>
      <c r="E258" s="1845">
        <v>0.15</v>
      </c>
      <c r="F258" s="1846">
        <v>0.13</v>
      </c>
    </row>
    <row r="259" spans="1:6" ht="15" thickBot="1">
      <c r="A259" s="1840" t="s">
        <v>1413</v>
      </c>
      <c r="B259" s="1844" t="s">
        <v>2176</v>
      </c>
      <c r="C259" s="1845">
        <v>0.14799999999999999</v>
      </c>
      <c r="D259" s="1845">
        <v>0.14899999999999999</v>
      </c>
      <c r="E259" s="1845">
        <v>0.15</v>
      </c>
      <c r="F259" s="1846">
        <v>0.13700000000000001</v>
      </c>
    </row>
    <row r="260" spans="1:6" ht="15" thickBot="1">
      <c r="A260" s="1840" t="s">
        <v>1413</v>
      </c>
      <c r="B260" s="1844" t="s">
        <v>1232</v>
      </c>
      <c r="C260" s="1845">
        <v>0.15</v>
      </c>
      <c r="D260" s="1845">
        <v>0.15</v>
      </c>
      <c r="E260" s="1845">
        <v>0.15</v>
      </c>
      <c r="F260" s="1846">
        <v>0.14199999999999999</v>
      </c>
    </row>
    <row r="261" spans="1:6" ht="15" thickBot="1">
      <c r="A261" s="1840" t="s">
        <v>1413</v>
      </c>
      <c r="B261" s="1844" t="s">
        <v>1242</v>
      </c>
      <c r="C261" s="1845">
        <v>0.15</v>
      </c>
      <c r="D261" s="1845">
        <v>0.15</v>
      </c>
      <c r="E261" s="1845">
        <v>0.14899999999999999</v>
      </c>
      <c r="F261" s="1846">
        <v>0.14799999999999999</v>
      </c>
    </row>
    <row r="262" spans="1:6" ht="15" thickBot="1">
      <c r="A262" s="1840" t="s">
        <v>1413</v>
      </c>
      <c r="B262" s="1844" t="s">
        <v>1252</v>
      </c>
      <c r="C262" s="1845">
        <v>0.15</v>
      </c>
      <c r="D262" s="1845">
        <v>0.15</v>
      </c>
      <c r="E262" s="1845">
        <v>0.15</v>
      </c>
      <c r="F262" s="1853"/>
    </row>
    <row r="263" spans="1:6" ht="15" thickBot="1">
      <c r="A263" s="1840" t="s">
        <v>1413</v>
      </c>
      <c r="B263" s="1844" t="s">
        <v>2177</v>
      </c>
      <c r="C263" s="1845">
        <v>0.14899999999999999</v>
      </c>
      <c r="D263" s="1845">
        <v>0.14899999999999999</v>
      </c>
      <c r="E263" s="1845">
        <v>0.15</v>
      </c>
      <c r="F263" s="1846">
        <v>0.13</v>
      </c>
    </row>
    <row r="264" spans="1:6" ht="15" thickBot="1">
      <c r="A264" s="1840" t="s">
        <v>1413</v>
      </c>
      <c r="B264" s="1844" t="s">
        <v>1271</v>
      </c>
      <c r="C264" s="1845">
        <v>0.14799999999999999</v>
      </c>
      <c r="D264" s="1845">
        <v>0.14699999999999999</v>
      </c>
      <c r="E264" s="1845">
        <v>0.15</v>
      </c>
      <c r="F264" s="1846">
        <v>7.8E-2</v>
      </c>
    </row>
    <row r="265" spans="1:6" ht="15" thickBot="1">
      <c r="A265" s="1840" t="s">
        <v>1413</v>
      </c>
      <c r="B265" s="1844" t="s">
        <v>1280</v>
      </c>
      <c r="C265" s="1845">
        <v>0.15</v>
      </c>
      <c r="D265" s="1845">
        <v>0.15</v>
      </c>
      <c r="E265" s="1845">
        <v>0.15</v>
      </c>
      <c r="F265" s="1846">
        <v>7.3999999999999996E-2</v>
      </c>
    </row>
    <row r="266" spans="1:6" ht="15" thickBot="1">
      <c r="A266" s="1840" t="s">
        <v>1413</v>
      </c>
      <c r="B266" s="1844" t="s">
        <v>1288</v>
      </c>
      <c r="C266" s="1845">
        <v>0.14699999999999999</v>
      </c>
      <c r="D266" s="1845">
        <v>0.14699999999999999</v>
      </c>
      <c r="E266" s="1845">
        <v>0.15</v>
      </c>
      <c r="F266" s="1846">
        <v>0.14299999999999999</v>
      </c>
    </row>
    <row r="267" spans="1:6" ht="15" thickBot="1">
      <c r="A267" s="1840" t="s">
        <v>1413</v>
      </c>
      <c r="B267" s="1844" t="s">
        <v>1295</v>
      </c>
      <c r="C267" s="1845">
        <v>0.14199999999999999</v>
      </c>
      <c r="D267" s="1845">
        <v>0.14299999999999999</v>
      </c>
      <c r="E267" s="1845">
        <v>0.15</v>
      </c>
      <c r="F267" s="1853"/>
    </row>
    <row r="268" spans="1:6" ht="15" thickBot="1">
      <c r="A268" s="1840" t="s">
        <v>1413</v>
      </c>
      <c r="B268" s="1844" t="s">
        <v>2178</v>
      </c>
      <c r="C268" s="1845">
        <v>0.15</v>
      </c>
      <c r="D268" s="1845">
        <v>0.15</v>
      </c>
      <c r="E268" s="1845">
        <v>0.15</v>
      </c>
      <c r="F268" s="1846">
        <v>0.13</v>
      </c>
    </row>
    <row r="269" spans="1:6" ht="15" thickBot="1">
      <c r="A269" s="1840" t="s">
        <v>1413</v>
      </c>
      <c r="B269" s="1844" t="s">
        <v>1309</v>
      </c>
      <c r="C269" s="1845">
        <v>0.15</v>
      </c>
      <c r="D269" s="1845">
        <v>0.15</v>
      </c>
      <c r="E269" s="1845">
        <v>0.15</v>
      </c>
      <c r="F269" s="1846">
        <v>0.14299999999999999</v>
      </c>
    </row>
    <row r="270" spans="1:6" ht="15" thickBot="1">
      <c r="A270" s="1840" t="s">
        <v>1413</v>
      </c>
      <c r="B270" s="1844" t="s">
        <v>1316</v>
      </c>
      <c r="C270" s="1845">
        <v>0.14499999999999999</v>
      </c>
      <c r="D270" s="1845">
        <v>0.14499999999999999</v>
      </c>
      <c r="E270" s="1845">
        <v>0.15</v>
      </c>
      <c r="F270" s="1846">
        <v>0.14699999999999999</v>
      </c>
    </row>
    <row r="271" spans="1:6" ht="15" thickBot="1">
      <c r="A271" s="1840" t="s">
        <v>1413</v>
      </c>
      <c r="B271" s="1844" t="s">
        <v>1323</v>
      </c>
      <c r="C271" s="1845">
        <v>0.15</v>
      </c>
      <c r="D271" s="1845">
        <v>0.15</v>
      </c>
      <c r="E271" s="1845">
        <v>0.15</v>
      </c>
      <c r="F271" s="1846">
        <v>0.13800000000000001</v>
      </c>
    </row>
    <row r="272" spans="1:6" ht="15" thickBot="1">
      <c r="A272" s="1840" t="s">
        <v>1413</v>
      </c>
      <c r="B272" s="1844" t="s">
        <v>1330</v>
      </c>
      <c r="C272" s="1854"/>
      <c r="D272" s="1854"/>
      <c r="E272" s="1854"/>
      <c r="F272" s="1846">
        <v>0.14000000000000001</v>
      </c>
    </row>
    <row r="273" spans="1:6" ht="15" thickBot="1">
      <c r="A273" s="1840" t="s">
        <v>1413</v>
      </c>
      <c r="B273" s="1844" t="s">
        <v>2179</v>
      </c>
      <c r="C273" s="1845">
        <v>0.14199999999999999</v>
      </c>
      <c r="D273" s="1845">
        <v>0.14299999999999999</v>
      </c>
      <c r="E273" s="1845">
        <v>0.15</v>
      </c>
      <c r="F273" s="1846">
        <v>0.1</v>
      </c>
    </row>
    <row r="274" spans="1:6" ht="15" thickBot="1">
      <c r="A274" s="1840" t="s">
        <v>1413</v>
      </c>
      <c r="B274" s="1844" t="s">
        <v>2180</v>
      </c>
      <c r="C274" s="1845">
        <v>0.14799999999999999</v>
      </c>
      <c r="D274" s="1845">
        <v>0.14799999999999999</v>
      </c>
      <c r="E274" s="1845">
        <v>0.15</v>
      </c>
      <c r="F274" s="1846">
        <v>6.7000000000000004E-2</v>
      </c>
    </row>
    <row r="275" spans="1:6" ht="15" thickBot="1">
      <c r="A275" s="1840" t="s">
        <v>1413</v>
      </c>
      <c r="B275" s="1844" t="s">
        <v>2181</v>
      </c>
      <c r="C275" s="1845">
        <v>0.15</v>
      </c>
      <c r="D275" s="1845">
        <v>0.15</v>
      </c>
      <c r="E275" s="1845">
        <v>0.15</v>
      </c>
      <c r="F275" s="1846">
        <v>0.15</v>
      </c>
    </row>
    <row r="276" spans="1:6" ht="15" thickBot="1">
      <c r="A276" s="1840" t="s">
        <v>1413</v>
      </c>
      <c r="B276" s="1844" t="s">
        <v>2182</v>
      </c>
      <c r="C276" s="1845">
        <v>0.14499999999999999</v>
      </c>
      <c r="D276" s="1845">
        <v>0.14299999999999999</v>
      </c>
      <c r="E276" s="1845">
        <v>0.15</v>
      </c>
      <c r="F276" s="1846">
        <v>5.8999999999999997E-2</v>
      </c>
    </row>
    <row r="277" spans="1:6" ht="15" thickBot="1">
      <c r="A277" s="1840" t="s">
        <v>1413</v>
      </c>
      <c r="B277" s="1844" t="s">
        <v>2183</v>
      </c>
      <c r="C277" s="1845">
        <v>0.15</v>
      </c>
      <c r="D277" s="1845">
        <v>0.15</v>
      </c>
      <c r="E277" s="1845">
        <v>0.15</v>
      </c>
      <c r="F277" s="1846">
        <v>0.121</v>
      </c>
    </row>
    <row r="278" spans="1:6" ht="15" thickBot="1">
      <c r="A278" s="1840" t="s">
        <v>1413</v>
      </c>
      <c r="B278" s="1844" t="s">
        <v>2184</v>
      </c>
      <c r="C278" s="1845">
        <v>0.15</v>
      </c>
      <c r="D278" s="1845">
        <v>0.15</v>
      </c>
      <c r="E278" s="1845">
        <v>0.15</v>
      </c>
      <c r="F278" s="1846">
        <v>0.13800000000000001</v>
      </c>
    </row>
    <row r="279" spans="1:6" ht="24.6" thickBot="1">
      <c r="A279" s="1840" t="s">
        <v>1413</v>
      </c>
      <c r="B279" s="1844" t="s">
        <v>2185</v>
      </c>
      <c r="C279" s="1854"/>
      <c r="D279" s="1854"/>
      <c r="E279" s="1854"/>
      <c r="F279" s="1846">
        <v>0.05</v>
      </c>
    </row>
    <row r="280" spans="1:6" ht="24.6" thickBot="1">
      <c r="A280" s="1840" t="s">
        <v>1413</v>
      </c>
      <c r="B280" s="1844" t="s">
        <v>2186</v>
      </c>
      <c r="C280" s="1854"/>
      <c r="D280" s="1854"/>
      <c r="E280" s="1854"/>
      <c r="F280" s="1846">
        <v>0.05</v>
      </c>
    </row>
    <row r="281" spans="1:6" ht="24.6" thickBot="1">
      <c r="A281" s="1840" t="s">
        <v>1413</v>
      </c>
      <c r="B281" s="1844" t="s">
        <v>2187</v>
      </c>
      <c r="C281" s="1854"/>
      <c r="D281" s="1854"/>
      <c r="E281" s="1854"/>
      <c r="F281" s="1846">
        <v>0.05</v>
      </c>
    </row>
    <row r="282" spans="1:6" ht="24.6" thickBot="1">
      <c r="A282" s="1840" t="s">
        <v>1413</v>
      </c>
      <c r="B282" s="1844" t="s">
        <v>2188</v>
      </c>
      <c r="C282" s="1854"/>
      <c r="D282" s="1854"/>
      <c r="E282" s="1854"/>
      <c r="F282" s="1846">
        <v>0.05</v>
      </c>
    </row>
    <row r="283" spans="1:6" ht="24.6" thickBot="1">
      <c r="A283" s="1840" t="s">
        <v>1413</v>
      </c>
      <c r="B283" s="1844" t="s">
        <v>2189</v>
      </c>
      <c r="C283" s="1854"/>
      <c r="D283" s="1854"/>
      <c r="E283" s="1854"/>
      <c r="F283" s="1846">
        <v>0.05</v>
      </c>
    </row>
    <row r="284" spans="1:6" ht="24.6" thickBot="1">
      <c r="A284" s="1840" t="s">
        <v>1413</v>
      </c>
      <c r="B284" s="1844" t="s">
        <v>2190</v>
      </c>
      <c r="C284" s="1854"/>
      <c r="D284" s="1854"/>
      <c r="E284" s="1854"/>
      <c r="F284" s="1846">
        <v>0.05</v>
      </c>
    </row>
    <row r="285" spans="1:6" ht="24.6" thickBot="1">
      <c r="A285" s="1840" t="s">
        <v>1413</v>
      </c>
      <c r="B285" s="1844" t="s">
        <v>2191</v>
      </c>
      <c r="C285" s="1854"/>
      <c r="D285" s="1854"/>
      <c r="E285" s="1854"/>
      <c r="F285" s="1846">
        <v>0.05</v>
      </c>
    </row>
    <row r="286" spans="1:6" ht="24.6" thickBot="1">
      <c r="A286" s="1840" t="s">
        <v>1413</v>
      </c>
      <c r="B286" s="1844" t="s">
        <v>2192</v>
      </c>
      <c r="C286" s="1854"/>
      <c r="D286" s="1854"/>
      <c r="E286" s="1854"/>
      <c r="F286" s="1846">
        <v>0.05</v>
      </c>
    </row>
    <row r="287" spans="1:6" ht="24.6" thickBot="1">
      <c r="A287" s="1840" t="s">
        <v>1413</v>
      </c>
      <c r="B287" s="1844" t="s">
        <v>2193</v>
      </c>
      <c r="C287" s="1854"/>
      <c r="D287" s="1854"/>
      <c r="E287" s="1854"/>
      <c r="F287" s="1846">
        <v>0.05</v>
      </c>
    </row>
    <row r="288" spans="1:6" ht="24.6" thickBot="1">
      <c r="A288" s="1840" t="s">
        <v>1413</v>
      </c>
      <c r="B288" s="1844" t="s">
        <v>2194</v>
      </c>
      <c r="C288" s="1854"/>
      <c r="D288" s="1854"/>
      <c r="E288" s="1854"/>
      <c r="F288" s="1846">
        <v>0.05</v>
      </c>
    </row>
    <row r="289" spans="1:6" ht="24.6" thickBot="1">
      <c r="A289" s="1848" t="s">
        <v>1413</v>
      </c>
      <c r="B289" s="1855" t="s">
        <v>2195</v>
      </c>
      <c r="C289" s="1851"/>
      <c r="D289" s="1851"/>
      <c r="E289" s="1851"/>
      <c r="F289" s="1856">
        <v>0.05</v>
      </c>
    </row>
    <row r="290" spans="1:6" ht="15" thickBot="1">
      <c r="A290" s="1840" t="s">
        <v>1417</v>
      </c>
      <c r="B290" s="1841" t="s">
        <v>2196</v>
      </c>
      <c r="C290" s="1842">
        <v>0.15</v>
      </c>
      <c r="D290" s="1842">
        <v>0.15</v>
      </c>
      <c r="E290" s="1842">
        <v>0.15</v>
      </c>
      <c r="F290" s="1864"/>
    </row>
    <row r="291" spans="1:6" ht="15" thickBot="1">
      <c r="A291" s="1840" t="s">
        <v>1417</v>
      </c>
      <c r="B291" s="1844" t="s">
        <v>1077</v>
      </c>
      <c r="C291" s="1845">
        <v>0.15</v>
      </c>
      <c r="D291" s="1845">
        <v>0.15</v>
      </c>
      <c r="E291" s="1845">
        <v>0.15</v>
      </c>
      <c r="F291" s="1853"/>
    </row>
    <row r="292" spans="1:6" ht="15" thickBot="1">
      <c r="A292" s="1840" t="s">
        <v>1417</v>
      </c>
      <c r="B292" s="1844" t="s">
        <v>2197</v>
      </c>
      <c r="C292" s="1845">
        <v>0.15</v>
      </c>
      <c r="D292" s="1845">
        <v>0.15</v>
      </c>
      <c r="E292" s="1845">
        <v>0.15</v>
      </c>
      <c r="F292" s="1846">
        <v>0.14699999999999999</v>
      </c>
    </row>
    <row r="293" spans="1:6" ht="15" thickBot="1">
      <c r="A293" s="1840" t="s">
        <v>1417</v>
      </c>
      <c r="B293" s="1844" t="s">
        <v>2198</v>
      </c>
      <c r="C293" s="1854"/>
      <c r="D293" s="1854"/>
      <c r="E293" s="1854"/>
      <c r="F293" s="1846">
        <v>0.1</v>
      </c>
    </row>
    <row r="294" spans="1:6" ht="15" thickBot="1">
      <c r="A294" s="1840" t="s">
        <v>1417</v>
      </c>
      <c r="B294" s="1844" t="s">
        <v>2199</v>
      </c>
      <c r="C294" s="1845">
        <v>0.15</v>
      </c>
      <c r="D294" s="1845">
        <v>0.15</v>
      </c>
      <c r="E294" s="1845">
        <v>0.15</v>
      </c>
      <c r="F294" s="1846">
        <v>0.15</v>
      </c>
    </row>
    <row r="295" spans="1:6" ht="15" thickBot="1">
      <c r="A295" s="1840" t="s">
        <v>1417</v>
      </c>
      <c r="B295" s="1844" t="s">
        <v>1118</v>
      </c>
      <c r="C295" s="1845">
        <v>0.15</v>
      </c>
      <c r="D295" s="1845">
        <v>0.15</v>
      </c>
      <c r="E295" s="1845">
        <v>0.15</v>
      </c>
      <c r="F295" s="1846">
        <v>0.15</v>
      </c>
    </row>
    <row r="296" spans="1:6" ht="15" thickBot="1">
      <c r="A296" s="1840" t="s">
        <v>1417</v>
      </c>
      <c r="B296" s="1844" t="s">
        <v>2200</v>
      </c>
      <c r="C296" s="1845">
        <v>0.15</v>
      </c>
      <c r="D296" s="1845">
        <v>0.15</v>
      </c>
      <c r="E296" s="1845">
        <v>0.15</v>
      </c>
      <c r="F296" s="1846">
        <v>0.15</v>
      </c>
    </row>
    <row r="297" spans="1:6" ht="15" thickBot="1">
      <c r="A297" s="1840" t="s">
        <v>1417</v>
      </c>
      <c r="B297" s="1844" t="s">
        <v>2201</v>
      </c>
      <c r="C297" s="1845">
        <v>0.14799999999999999</v>
      </c>
      <c r="D297" s="1845">
        <v>0.14899999999999999</v>
      </c>
      <c r="E297" s="1845">
        <v>0.15</v>
      </c>
      <c r="F297" s="1846">
        <v>0.13700000000000001</v>
      </c>
    </row>
    <row r="298" spans="1:6" ht="15" thickBot="1">
      <c r="A298" s="1840" t="s">
        <v>1417</v>
      </c>
      <c r="B298" s="1844" t="s">
        <v>1151</v>
      </c>
      <c r="C298" s="1845">
        <v>0.13400000000000001</v>
      </c>
      <c r="D298" s="1845">
        <v>0.13400000000000001</v>
      </c>
      <c r="E298" s="1845">
        <v>0.14499999999999999</v>
      </c>
      <c r="F298" s="1846">
        <v>0.14799999999999999</v>
      </c>
    </row>
    <row r="299" spans="1:6" ht="15" thickBot="1">
      <c r="A299" s="1840" t="s">
        <v>1417</v>
      </c>
      <c r="B299" s="1844" t="s">
        <v>1163</v>
      </c>
      <c r="C299" s="1845">
        <v>0.15</v>
      </c>
      <c r="D299" s="1845">
        <v>0.15</v>
      </c>
      <c r="E299" s="1845">
        <v>0.15</v>
      </c>
      <c r="F299" s="1853"/>
    </row>
    <row r="300" spans="1:6" ht="15" thickBot="1">
      <c r="A300" s="1840" t="s">
        <v>1417</v>
      </c>
      <c r="B300" s="1844" t="s">
        <v>2202</v>
      </c>
      <c r="C300" s="1845">
        <v>0.15</v>
      </c>
      <c r="D300" s="1845">
        <v>0.15</v>
      </c>
      <c r="E300" s="1845">
        <v>0.15</v>
      </c>
      <c r="F300" s="1846">
        <v>0.15</v>
      </c>
    </row>
    <row r="301" spans="1:6" ht="15" thickBot="1">
      <c r="A301" s="1840" t="s">
        <v>1417</v>
      </c>
      <c r="B301" s="1844" t="s">
        <v>1183</v>
      </c>
      <c r="C301" s="1845">
        <v>0.15</v>
      </c>
      <c r="D301" s="1845">
        <v>0.15</v>
      </c>
      <c r="E301" s="1845">
        <v>0.15</v>
      </c>
      <c r="F301" s="1853"/>
    </row>
    <row r="302" spans="1:6" ht="15" thickBot="1">
      <c r="A302" s="1840" t="s">
        <v>1417</v>
      </c>
      <c r="B302" s="1844" t="s">
        <v>2203</v>
      </c>
      <c r="C302" s="1845">
        <v>0.15</v>
      </c>
      <c r="D302" s="1845">
        <v>0.15</v>
      </c>
      <c r="E302" s="1845">
        <v>0.15</v>
      </c>
      <c r="F302" s="1846">
        <v>0.15</v>
      </c>
    </row>
    <row r="303" spans="1:6" ht="15" thickBot="1">
      <c r="A303" s="1840" t="s">
        <v>1417</v>
      </c>
      <c r="B303" s="1844" t="s">
        <v>1203</v>
      </c>
      <c r="C303" s="1845">
        <v>0.15</v>
      </c>
      <c r="D303" s="1845">
        <v>0.15</v>
      </c>
      <c r="E303" s="1845">
        <v>0.15</v>
      </c>
      <c r="F303" s="1846">
        <v>0.15</v>
      </c>
    </row>
    <row r="304" spans="1:6" ht="15" thickBot="1">
      <c r="A304" s="1840" t="s">
        <v>1417</v>
      </c>
      <c r="B304" s="1844" t="s">
        <v>1213</v>
      </c>
      <c r="C304" s="1845">
        <v>0.15</v>
      </c>
      <c r="D304" s="1845">
        <v>0.15</v>
      </c>
      <c r="E304" s="1845">
        <v>0.15</v>
      </c>
      <c r="F304" s="1853"/>
    </row>
    <row r="305" spans="1:6" ht="15" thickBot="1">
      <c r="A305" s="1840" t="s">
        <v>1417</v>
      </c>
      <c r="B305" s="1844" t="s">
        <v>2204</v>
      </c>
      <c r="C305" s="1845">
        <v>0.15</v>
      </c>
      <c r="D305" s="1845">
        <v>0.15</v>
      </c>
      <c r="E305" s="1845">
        <v>0.15</v>
      </c>
      <c r="F305" s="1846">
        <v>0.14000000000000001</v>
      </c>
    </row>
    <row r="306" spans="1:6" ht="15" thickBot="1">
      <c r="A306" s="1840" t="s">
        <v>1417</v>
      </c>
      <c r="B306" s="1844" t="s">
        <v>1233</v>
      </c>
      <c r="C306" s="1845">
        <v>0.15</v>
      </c>
      <c r="D306" s="1845">
        <v>0.15</v>
      </c>
      <c r="E306" s="1845">
        <v>0.15</v>
      </c>
      <c r="F306" s="1853"/>
    </row>
    <row r="307" spans="1:6" ht="15" thickBot="1">
      <c r="A307" s="1840" t="s">
        <v>1417</v>
      </c>
      <c r="B307" s="1844" t="s">
        <v>2205</v>
      </c>
      <c r="C307" s="1845">
        <v>0.15</v>
      </c>
      <c r="D307" s="1845">
        <v>0.15</v>
      </c>
      <c r="E307" s="1845">
        <v>0.15</v>
      </c>
      <c r="F307" s="1846">
        <v>0.14299999999999999</v>
      </c>
    </row>
    <row r="308" spans="1:6" ht="15" thickBot="1">
      <c r="A308" s="1840" t="s">
        <v>1417</v>
      </c>
      <c r="B308" s="1844" t="s">
        <v>1253</v>
      </c>
      <c r="C308" s="1845">
        <v>0.15</v>
      </c>
      <c r="D308" s="1845">
        <v>0.15</v>
      </c>
      <c r="E308" s="1845">
        <v>0.15</v>
      </c>
      <c r="F308" s="1846">
        <v>0.15</v>
      </c>
    </row>
    <row r="309" spans="1:6" ht="15" thickBot="1">
      <c r="A309" s="1840" t="s">
        <v>1417</v>
      </c>
      <c r="B309" s="1844" t="s">
        <v>1263</v>
      </c>
      <c r="C309" s="1845">
        <v>0.15</v>
      </c>
      <c r="D309" s="1845">
        <v>0.15</v>
      </c>
      <c r="E309" s="1845">
        <v>0.15</v>
      </c>
      <c r="F309" s="1853"/>
    </row>
    <row r="310" spans="1:6" ht="15" thickBot="1">
      <c r="A310" s="1840" t="s">
        <v>1417</v>
      </c>
      <c r="B310" s="1844" t="s">
        <v>2206</v>
      </c>
      <c r="C310" s="1845">
        <v>0.15</v>
      </c>
      <c r="D310" s="1845">
        <v>0.15</v>
      </c>
      <c r="E310" s="1845">
        <v>0.15</v>
      </c>
      <c r="F310" s="1846">
        <v>0.13700000000000001</v>
      </c>
    </row>
    <row r="311" spans="1:6" ht="15" thickBot="1">
      <c r="A311" s="1840" t="s">
        <v>1417</v>
      </c>
      <c r="B311" s="1844" t="s">
        <v>2207</v>
      </c>
      <c r="C311" s="1845">
        <v>0.15</v>
      </c>
      <c r="D311" s="1845">
        <v>0.15</v>
      </c>
      <c r="E311" s="1845">
        <v>0.15</v>
      </c>
      <c r="F311" s="1846">
        <v>0.15</v>
      </c>
    </row>
    <row r="312" spans="1:6" ht="15" thickBot="1">
      <c r="A312" s="1840" t="s">
        <v>1417</v>
      </c>
      <c r="B312" s="1844" t="s">
        <v>1289</v>
      </c>
      <c r="C312" s="1845">
        <v>0.15</v>
      </c>
      <c r="D312" s="1845">
        <v>0.15</v>
      </c>
      <c r="E312" s="1845">
        <v>0.15</v>
      </c>
      <c r="F312" s="1846">
        <v>0.1</v>
      </c>
    </row>
    <row r="313" spans="1:6" ht="15" thickBot="1">
      <c r="A313" s="1840" t="s">
        <v>1417</v>
      </c>
      <c r="B313" s="1844" t="s">
        <v>2208</v>
      </c>
      <c r="C313" s="1845">
        <v>0.15</v>
      </c>
      <c r="D313" s="1845">
        <v>0.15</v>
      </c>
      <c r="E313" s="1845">
        <v>0.15</v>
      </c>
      <c r="F313" s="1846">
        <v>0.15</v>
      </c>
    </row>
    <row r="314" spans="1:6" ht="24.6" thickBot="1">
      <c r="A314" s="1840" t="s">
        <v>1417</v>
      </c>
      <c r="B314" s="1844" t="s">
        <v>2209</v>
      </c>
      <c r="C314" s="1854"/>
      <c r="D314" s="1854"/>
      <c r="E314" s="1854"/>
      <c r="F314" s="1846">
        <v>0.05</v>
      </c>
    </row>
    <row r="315" spans="1:6" ht="24.6" thickBot="1">
      <c r="A315" s="1840" t="s">
        <v>1417</v>
      </c>
      <c r="B315" s="1844" t="s">
        <v>2210</v>
      </c>
      <c r="C315" s="1854"/>
      <c r="D315" s="1854"/>
      <c r="E315" s="1854"/>
      <c r="F315" s="1846">
        <v>0.05</v>
      </c>
    </row>
    <row r="316" spans="1:6" ht="24.6" thickBot="1">
      <c r="A316" s="1848" t="s">
        <v>1417</v>
      </c>
      <c r="B316" s="1855" t="s">
        <v>2211</v>
      </c>
      <c r="C316" s="1851"/>
      <c r="D316" s="1851"/>
      <c r="E316" s="1851"/>
      <c r="F316" s="1856">
        <v>0.05</v>
      </c>
    </row>
    <row r="317" spans="1:6" ht="15" thickBot="1">
      <c r="A317" s="1840" t="s">
        <v>2212</v>
      </c>
      <c r="B317" s="1841" t="s">
        <v>2213</v>
      </c>
      <c r="C317" s="1842">
        <v>0.15</v>
      </c>
      <c r="D317" s="1842">
        <v>0.15</v>
      </c>
      <c r="E317" s="1842">
        <v>0.15</v>
      </c>
      <c r="F317" s="1843">
        <v>0.15</v>
      </c>
    </row>
    <row r="318" spans="1:6" ht="15" thickBot="1">
      <c r="A318" s="1840" t="s">
        <v>2212</v>
      </c>
      <c r="B318" s="1844" t="s">
        <v>2214</v>
      </c>
      <c r="C318" s="1845">
        <v>0.107</v>
      </c>
      <c r="D318" s="1845">
        <v>0.11</v>
      </c>
      <c r="E318" s="1845">
        <v>0.112</v>
      </c>
      <c r="F318" s="1853"/>
    </row>
    <row r="319" spans="1:6" ht="15" thickBot="1">
      <c r="A319" s="1840" t="s">
        <v>2212</v>
      </c>
      <c r="B319" s="1844" t="s">
        <v>2215</v>
      </c>
      <c r="C319" s="1845">
        <v>0.15</v>
      </c>
      <c r="D319" s="1845">
        <v>0.15</v>
      </c>
      <c r="E319" s="1845">
        <v>0.15</v>
      </c>
      <c r="F319" s="1846">
        <v>0.15</v>
      </c>
    </row>
    <row r="320" spans="1:6" ht="15" thickBot="1">
      <c r="A320" s="1840" t="s">
        <v>2212</v>
      </c>
      <c r="B320" s="1844" t="s">
        <v>1105</v>
      </c>
      <c r="C320" s="1845">
        <v>0.15</v>
      </c>
      <c r="D320" s="1845">
        <v>0.15</v>
      </c>
      <c r="E320" s="1845">
        <v>0.15</v>
      </c>
      <c r="F320" s="1853"/>
    </row>
    <row r="321" spans="1:6" ht="15" thickBot="1">
      <c r="A321" s="1840" t="s">
        <v>2212</v>
      </c>
      <c r="B321" s="1844" t="s">
        <v>2216</v>
      </c>
      <c r="C321" s="1845">
        <v>0.15</v>
      </c>
      <c r="D321" s="1845">
        <v>0.15</v>
      </c>
      <c r="E321" s="1845">
        <v>0.15</v>
      </c>
      <c r="F321" s="1853"/>
    </row>
    <row r="322" spans="1:6" ht="15" thickBot="1">
      <c r="A322" s="1840" t="s">
        <v>2212</v>
      </c>
      <c r="B322" s="1844" t="s">
        <v>2217</v>
      </c>
      <c r="C322" s="1845">
        <v>0.15</v>
      </c>
      <c r="D322" s="1845">
        <v>0.15</v>
      </c>
      <c r="E322" s="1845">
        <v>0.15</v>
      </c>
      <c r="F322" s="1846">
        <v>0.15</v>
      </c>
    </row>
    <row r="323" spans="1:6" ht="15" thickBot="1">
      <c r="A323" s="1840" t="s">
        <v>2212</v>
      </c>
      <c r="B323" s="1844" t="s">
        <v>2218</v>
      </c>
      <c r="C323" s="1845">
        <v>0.15</v>
      </c>
      <c r="D323" s="1845">
        <v>0.15</v>
      </c>
      <c r="E323" s="1845">
        <v>0.15</v>
      </c>
      <c r="F323" s="1853"/>
    </row>
    <row r="324" spans="1:6" ht="15" thickBot="1">
      <c r="A324" s="1840" t="s">
        <v>2212</v>
      </c>
      <c r="B324" s="1844" t="s">
        <v>2219</v>
      </c>
      <c r="C324" s="1845">
        <v>0.15</v>
      </c>
      <c r="D324" s="1845">
        <v>0.15</v>
      </c>
      <c r="E324" s="1845">
        <v>0.15</v>
      </c>
      <c r="F324" s="1853"/>
    </row>
    <row r="325" spans="1:6" ht="15" thickBot="1">
      <c r="A325" s="1840" t="s">
        <v>2212</v>
      </c>
      <c r="B325" s="1844" t="s">
        <v>2220</v>
      </c>
      <c r="C325" s="1845">
        <v>0.15</v>
      </c>
      <c r="D325" s="1845">
        <v>0.15</v>
      </c>
      <c r="E325" s="1845">
        <v>0.15</v>
      </c>
      <c r="F325" s="1846">
        <v>0.14699999999999999</v>
      </c>
    </row>
    <row r="326" spans="1:6" ht="15" thickBot="1">
      <c r="A326" s="1840" t="s">
        <v>2212</v>
      </c>
      <c r="B326" s="1844" t="s">
        <v>1174</v>
      </c>
      <c r="C326" s="1845">
        <v>0.15</v>
      </c>
      <c r="D326" s="1845">
        <v>0.15</v>
      </c>
      <c r="E326" s="1845">
        <v>0.15</v>
      </c>
      <c r="F326" s="1853"/>
    </row>
    <row r="327" spans="1:6" ht="15" thickBot="1">
      <c r="A327" s="1840" t="s">
        <v>2212</v>
      </c>
      <c r="B327" s="1844" t="s">
        <v>2221</v>
      </c>
      <c r="C327" s="1845">
        <v>0.15</v>
      </c>
      <c r="D327" s="1845">
        <v>0.15</v>
      </c>
      <c r="E327" s="1845">
        <v>0.15</v>
      </c>
      <c r="F327" s="1846">
        <v>0.15</v>
      </c>
    </row>
    <row r="328" spans="1:6" ht="15" thickBot="1">
      <c r="A328" s="1840" t="s">
        <v>2212</v>
      </c>
      <c r="B328" s="1844" t="s">
        <v>1194</v>
      </c>
      <c r="C328" s="1845">
        <v>0.15</v>
      </c>
      <c r="D328" s="1845">
        <v>0.15</v>
      </c>
      <c r="E328" s="1845">
        <v>0.15</v>
      </c>
      <c r="F328" s="1846">
        <v>0.14099999999999999</v>
      </c>
    </row>
    <row r="329" spans="1:6" ht="15" thickBot="1">
      <c r="A329" s="1840" t="s">
        <v>2212</v>
      </c>
      <c r="B329" s="1844" t="s">
        <v>1204</v>
      </c>
      <c r="C329" s="1845">
        <v>0.15</v>
      </c>
      <c r="D329" s="1845">
        <v>0.15</v>
      </c>
      <c r="E329" s="1845">
        <v>0.15</v>
      </c>
      <c r="F329" s="1846">
        <v>0.15</v>
      </c>
    </row>
    <row r="330" spans="1:6" ht="15" thickBot="1">
      <c r="A330" s="1840" t="s">
        <v>2212</v>
      </c>
      <c r="B330" s="1844" t="s">
        <v>1214</v>
      </c>
      <c r="C330" s="1845">
        <v>0.15</v>
      </c>
      <c r="D330" s="1845">
        <v>0.15</v>
      </c>
      <c r="E330" s="1845">
        <v>0.15</v>
      </c>
      <c r="F330" s="1853"/>
    </row>
    <row r="331" spans="1:6" ht="15" thickBot="1">
      <c r="A331" s="1840" t="s">
        <v>2212</v>
      </c>
      <c r="B331" s="1844" t="s">
        <v>2222</v>
      </c>
      <c r="C331" s="1845">
        <v>0.15</v>
      </c>
      <c r="D331" s="1845">
        <v>0.15</v>
      </c>
      <c r="E331" s="1845">
        <v>0.15</v>
      </c>
      <c r="F331" s="1846">
        <v>0.15</v>
      </c>
    </row>
    <row r="332" spans="1:6" ht="15" thickBot="1">
      <c r="A332" s="1840" t="s">
        <v>2212</v>
      </c>
      <c r="B332" s="1844" t="s">
        <v>1234</v>
      </c>
      <c r="C332" s="1845">
        <v>0.15</v>
      </c>
      <c r="D332" s="1845">
        <v>0.15</v>
      </c>
      <c r="E332" s="1845">
        <v>0.15</v>
      </c>
      <c r="F332" s="1846">
        <v>0.15</v>
      </c>
    </row>
    <row r="333" spans="1:6" ht="15" thickBot="1">
      <c r="A333" s="1840" t="s">
        <v>2212</v>
      </c>
      <c r="B333" s="1844" t="s">
        <v>2223</v>
      </c>
      <c r="C333" s="1845">
        <v>0.15</v>
      </c>
      <c r="D333" s="1845">
        <v>0.15</v>
      </c>
      <c r="E333" s="1845">
        <v>0.15</v>
      </c>
      <c r="F333" s="1846">
        <v>0.14099999999999999</v>
      </c>
    </row>
    <row r="334" spans="1:6" ht="15" thickBot="1">
      <c r="A334" s="1840" t="s">
        <v>2212</v>
      </c>
      <c r="B334" s="1844" t="s">
        <v>1254</v>
      </c>
      <c r="C334" s="1845">
        <v>0.15</v>
      </c>
      <c r="D334" s="1845">
        <v>0.15</v>
      </c>
      <c r="E334" s="1845">
        <v>0.15</v>
      </c>
      <c r="F334" s="1846">
        <v>0.15</v>
      </c>
    </row>
    <row r="335" spans="1:6" ht="15" thickBot="1">
      <c r="A335" s="1840" t="s">
        <v>2212</v>
      </c>
      <c r="B335" s="1844" t="s">
        <v>1264</v>
      </c>
      <c r="C335" s="1845">
        <v>0.15</v>
      </c>
      <c r="D335" s="1845">
        <v>0.15</v>
      </c>
      <c r="E335" s="1845">
        <v>0.15</v>
      </c>
      <c r="F335" s="1853"/>
    </row>
    <row r="336" spans="1:6" ht="15" thickBot="1">
      <c r="A336" s="1840" t="s">
        <v>2212</v>
      </c>
      <c r="B336" s="1844" t="s">
        <v>2224</v>
      </c>
      <c r="C336" s="1845">
        <v>0.15</v>
      </c>
      <c r="D336" s="1845">
        <v>0.15</v>
      </c>
      <c r="E336" s="1845">
        <v>0.15</v>
      </c>
      <c r="F336" s="1846">
        <v>0.11799999999999999</v>
      </c>
    </row>
    <row r="337" spans="1:6" ht="15" thickBot="1">
      <c r="A337" s="1848" t="s">
        <v>2212</v>
      </c>
      <c r="B337" s="1855" t="s">
        <v>1282</v>
      </c>
      <c r="C337" s="1851"/>
      <c r="D337" s="1851"/>
      <c r="E337" s="1851"/>
      <c r="F337" s="1856">
        <v>0.14299999999999999</v>
      </c>
    </row>
    <row r="338" spans="1:6" ht="15" thickBot="1">
      <c r="A338" s="1840" t="s">
        <v>2225</v>
      </c>
      <c r="B338" s="1841" t="s">
        <v>2226</v>
      </c>
      <c r="C338" s="1842">
        <v>0.15</v>
      </c>
      <c r="D338" s="1842">
        <v>0.15</v>
      </c>
      <c r="E338" s="1842">
        <v>0.15</v>
      </c>
      <c r="F338" s="1864"/>
    </row>
    <row r="339" spans="1:6" ht="15" thickBot="1">
      <c r="A339" s="1840" t="s">
        <v>2225</v>
      </c>
      <c r="B339" s="1844" t="s">
        <v>2227</v>
      </c>
      <c r="C339" s="1845">
        <v>0.15</v>
      </c>
      <c r="D339" s="1845">
        <v>0.15</v>
      </c>
      <c r="E339" s="1845">
        <v>0.15</v>
      </c>
      <c r="F339" s="1853"/>
    </row>
    <row r="340" spans="1:6" ht="15" thickBot="1">
      <c r="A340" s="1840" t="s">
        <v>2225</v>
      </c>
      <c r="B340" s="1844" t="s">
        <v>2228</v>
      </c>
      <c r="C340" s="1845">
        <v>0.15</v>
      </c>
      <c r="D340" s="1845">
        <v>0.15</v>
      </c>
      <c r="E340" s="1845">
        <v>0.15</v>
      </c>
      <c r="F340" s="1853"/>
    </row>
    <row r="341" spans="1:6" ht="15" thickBot="1">
      <c r="A341" s="1840" t="s">
        <v>2229</v>
      </c>
      <c r="B341" s="1844" t="s">
        <v>2230</v>
      </c>
      <c r="C341" s="1845">
        <v>0.15</v>
      </c>
      <c r="D341" s="1845">
        <v>0.15</v>
      </c>
      <c r="E341" s="1845">
        <v>0.15</v>
      </c>
      <c r="F341" s="1846">
        <v>0.15</v>
      </c>
    </row>
    <row r="342" spans="1:6" ht="15" thickBot="1">
      <c r="A342" s="1840" t="s">
        <v>2225</v>
      </c>
      <c r="B342" s="1844" t="s">
        <v>2231</v>
      </c>
      <c r="C342" s="1845">
        <v>0.15</v>
      </c>
      <c r="D342" s="1845">
        <v>0.15</v>
      </c>
      <c r="E342" s="1845">
        <v>0.15</v>
      </c>
      <c r="F342" s="1846">
        <v>0.15</v>
      </c>
    </row>
    <row r="343" spans="1:6" ht="15" thickBot="1">
      <c r="A343" s="1840" t="s">
        <v>2225</v>
      </c>
      <c r="B343" s="1844" t="s">
        <v>2232</v>
      </c>
      <c r="C343" s="1845">
        <v>0.15</v>
      </c>
      <c r="D343" s="1845">
        <v>0.15</v>
      </c>
      <c r="E343" s="1845">
        <v>0.15</v>
      </c>
      <c r="F343" s="1846">
        <v>0.15</v>
      </c>
    </row>
    <row r="344" spans="1:6" ht="15" thickBot="1">
      <c r="A344" s="1848" t="s">
        <v>2225</v>
      </c>
      <c r="B344" s="1855" t="s">
        <v>2233</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20" sqref="W20"/>
    </sheetView>
  </sheetViews>
  <sheetFormatPr defaultColWidth="9" defaultRowHeight="13.2"/>
  <cols>
    <col min="1" max="1" width="9" style="2626"/>
    <col min="2" max="6" width="9" style="2626" customWidth="1"/>
    <col min="7" max="7" width="9" style="2642" customWidth="1"/>
    <col min="8" max="12" width="9" style="2626" customWidth="1"/>
    <col min="13" max="13" width="2.21875" style="2626" customWidth="1"/>
    <col min="14" max="14" width="9" style="2642" customWidth="1"/>
    <col min="15" max="17" width="9" style="2626" customWidth="1"/>
    <col min="18" max="18" width="2.33203125" style="2626" customWidth="1"/>
    <col min="19" max="19" width="7.109375" style="2642" customWidth="1"/>
    <col min="20" max="22" width="7.109375" style="2626" customWidth="1"/>
    <col min="23" max="23" width="24" style="2626" customWidth="1"/>
    <col min="24" max="25" width="9" style="2626"/>
    <col min="26" max="27" width="11.6640625" style="2626" customWidth="1"/>
    <col min="28" max="28" width="9" style="2626"/>
    <col min="29" max="29" width="2" style="2626" customWidth="1"/>
    <col min="30" max="16384" width="9" style="2626"/>
  </cols>
  <sheetData>
    <row r="1" spans="1:34" s="2617" customFormat="1">
      <c r="B1" s="3456" t="s">
        <v>2570</v>
      </c>
      <c r="C1" s="3456"/>
      <c r="D1" s="3456"/>
      <c r="E1" s="3456"/>
      <c r="F1" s="3456"/>
      <c r="G1" s="3455" t="s">
        <v>2571</v>
      </c>
      <c r="H1" s="3455"/>
      <c r="I1" s="3455"/>
      <c r="J1" s="3455"/>
      <c r="K1" s="3455"/>
      <c r="L1" s="3455"/>
      <c r="N1" s="3455" t="s">
        <v>2572</v>
      </c>
      <c r="O1" s="3455"/>
      <c r="P1" s="3455"/>
      <c r="Q1" s="3455"/>
      <c r="R1" s="2618"/>
      <c r="S1" s="3455" t="s">
        <v>2573</v>
      </c>
      <c r="T1" s="3455"/>
      <c r="U1" s="3455"/>
      <c r="V1" s="3455"/>
      <c r="X1" s="3454" t="s">
        <v>2633</v>
      </c>
      <c r="Y1" s="3455"/>
      <c r="Z1" s="3455"/>
      <c r="AA1" s="3455"/>
      <c r="AB1" s="3455"/>
      <c r="AD1" s="3454" t="s">
        <v>2637</v>
      </c>
      <c r="AE1" s="3455"/>
      <c r="AF1" s="3455"/>
      <c r="AG1" s="3455"/>
      <c r="AH1" s="3455"/>
    </row>
    <row r="2" spans="1:34" s="2719" customFormat="1" ht="15" thickBot="1">
      <c r="B2" s="2727" t="s">
        <v>2574</v>
      </c>
      <c r="C2" s="2727" t="s">
        <v>2635</v>
      </c>
      <c r="D2" s="2720" t="s">
        <v>1642</v>
      </c>
      <c r="E2" s="2720" t="s">
        <v>1945</v>
      </c>
      <c r="F2" s="2727" t="s">
        <v>2636</v>
      </c>
      <c r="G2" s="2723"/>
      <c r="H2" s="2722"/>
      <c r="I2" s="2727" t="s">
        <v>2951</v>
      </c>
      <c r="J2" s="2720" t="s">
        <v>2953</v>
      </c>
      <c r="K2" s="2720" t="s">
        <v>2954</v>
      </c>
      <c r="L2" s="2727" t="s">
        <v>2955</v>
      </c>
      <c r="N2" s="2727" t="s">
        <v>2574</v>
      </c>
      <c r="O2" s="2720" t="s">
        <v>2952</v>
      </c>
      <c r="P2" s="2720" t="s">
        <v>1945</v>
      </c>
      <c r="Q2" s="2727" t="s">
        <v>2636</v>
      </c>
      <c r="R2" s="2721"/>
      <c r="S2" s="2727" t="s">
        <v>2574</v>
      </c>
      <c r="T2" s="2720" t="s">
        <v>2952</v>
      </c>
      <c r="U2" s="2720" t="s">
        <v>1945</v>
      </c>
      <c r="V2" s="2727" t="s">
        <v>2636</v>
      </c>
      <c r="X2" s="2727" t="s">
        <v>2574</v>
      </c>
      <c r="Y2" s="2727" t="s">
        <v>2635</v>
      </c>
      <c r="Z2" s="2720" t="s">
        <v>1642</v>
      </c>
      <c r="AA2" s="2720" t="s">
        <v>1945</v>
      </c>
      <c r="AB2" s="2727" t="s">
        <v>2636</v>
      </c>
      <c r="AD2" s="2727" t="s">
        <v>2574</v>
      </c>
      <c r="AE2" s="2727" t="s">
        <v>2635</v>
      </c>
      <c r="AF2" s="2720" t="s">
        <v>1642</v>
      </c>
      <c r="AG2" s="2720" t="s">
        <v>1945</v>
      </c>
      <c r="AH2" s="2727" t="s">
        <v>2636</v>
      </c>
    </row>
    <row r="3" spans="1:34" s="3077" customFormat="1" ht="14.4">
      <c r="A3" s="3089" t="s">
        <v>2964</v>
      </c>
      <c r="B3" s="3078"/>
      <c r="C3" s="3078"/>
      <c r="D3" s="3079"/>
      <c r="E3" s="3079"/>
      <c r="F3" s="3078"/>
      <c r="G3" s="3080"/>
      <c r="H3" s="3081"/>
      <c r="I3" s="3088">
        <f>ROUND(AVERAGE($I4:$I30),2)</f>
        <v>1.85</v>
      </c>
      <c r="J3" s="3088">
        <f>ROUND(AVERAGE($J4:$J30),2)</f>
        <v>1.28</v>
      </c>
      <c r="K3" s="3088">
        <f>ROUND(AVERAGE($K4:$K30),2)</f>
        <v>2.0299999999999998</v>
      </c>
      <c r="L3" s="3088">
        <f>ROUND(AVERAGE($L4:$L30),2)</f>
        <v>1.31</v>
      </c>
      <c r="N3" s="3080"/>
      <c r="O3" s="3082"/>
      <c r="P3" s="3082"/>
      <c r="Q3" s="3082"/>
      <c r="R3" s="3082"/>
      <c r="S3" s="3080"/>
      <c r="T3" s="3082"/>
      <c r="U3" s="3082"/>
      <c r="V3" s="3082"/>
      <c r="W3" s="3085"/>
      <c r="X3" s="3083">
        <f>ROUND(SUMPRODUCT(PRODUCT(1+N3:N$29)),4)</f>
        <v>1.5605</v>
      </c>
      <c r="Y3" s="3083">
        <f>ROUND(SUMPRODUCT(PRODUCT(1+O3:O$29)),4)</f>
        <v>1.3577999999999999</v>
      </c>
      <c r="Z3" s="3083">
        <f t="shared" ref="Z3:Z27" si="0">Y3</f>
        <v>1.3577999999999999</v>
      </c>
      <c r="AA3" s="3083">
        <f>ROUND(SUMPRODUCT(PRODUCT(1+P3:P$29)),4)</f>
        <v>1.6254999999999999</v>
      </c>
      <c r="AB3" s="3083">
        <f>ROUND(SUMPRODUCT(PRODUCT(1+Q3:Q$29)),4)</f>
        <v>1.3815999999999999</v>
      </c>
      <c r="AD3" s="3084">
        <f>ROUND(AVERAGE(I3:I$30)/100,4)</f>
        <v>1.8499999999999999E-2</v>
      </c>
      <c r="AE3" s="3084">
        <f>ROUND(AVERAGE(J3:J$30)/100,4)</f>
        <v>1.2800000000000001E-2</v>
      </c>
      <c r="AF3" s="3084">
        <f t="shared" ref="AF3:AF28" si="1">AE3</f>
        <v>1.2800000000000001E-2</v>
      </c>
      <c r="AG3" s="3084">
        <f>ROUND(AVERAGE(K3:K$30)/100,4)</f>
        <v>2.0299999999999999E-2</v>
      </c>
      <c r="AH3" s="3084">
        <f>ROUND(AVERAGE(L3:L$30)/100,4)</f>
        <v>1.3100000000000001E-2</v>
      </c>
    </row>
    <row r="4" spans="1:34" s="2712" customFormat="1" ht="14.4">
      <c r="B4" s="2713"/>
      <c r="C4" s="2713"/>
      <c r="D4" s="2714"/>
      <c r="E4" s="2714"/>
      <c r="F4" s="2713"/>
      <c r="G4" s="2718"/>
      <c r="H4" s="2715"/>
      <c r="I4" s="3073"/>
      <c r="J4" s="3073"/>
      <c r="K4" s="3073"/>
      <c r="L4" s="3073"/>
      <c r="N4" s="2718"/>
      <c r="O4" s="2716"/>
      <c r="P4" s="2716"/>
      <c r="Q4" s="2716"/>
      <c r="R4" s="2716"/>
      <c r="S4" s="2718"/>
      <c r="T4" s="2716"/>
      <c r="U4" s="2716"/>
      <c r="V4" s="2716"/>
      <c r="W4" s="3086"/>
      <c r="X4" s="2717"/>
      <c r="Y4" s="2717"/>
      <c r="Z4" s="2717"/>
      <c r="AA4" s="2717"/>
      <c r="AB4" s="2717"/>
      <c r="AD4" s="2637"/>
      <c r="AE4" s="2637"/>
      <c r="AF4" s="2637"/>
      <c r="AG4" s="2637"/>
      <c r="AH4" s="2637"/>
    </row>
    <row r="5" spans="1:34" s="3061" customFormat="1">
      <c r="A5" s="3059" t="s">
        <v>2994</v>
      </c>
      <c r="B5" s="2751">
        <f t="shared" ref="B5" si="2">B6*(1+N5)</f>
        <v>479.92259063878413</v>
      </c>
      <c r="C5" s="2751">
        <f t="shared" ref="C5" si="3">C6*(1+O5)</f>
        <v>350.02082268341775</v>
      </c>
      <c r="D5" s="2751">
        <f t="shared" ref="D5" si="4">C5</f>
        <v>350.02082268341775</v>
      </c>
      <c r="E5" s="2751">
        <f t="shared" ref="E5" si="5">E6*(1+P5)</f>
        <v>687.42265944181099</v>
      </c>
      <c r="F5" s="2751">
        <f t="shared" ref="F5" si="6">F6*(1+Q5)</f>
        <v>317.63846657708956</v>
      </c>
      <c r="G5" s="2718">
        <v>2020</v>
      </c>
      <c r="H5" s="3060">
        <v>2</v>
      </c>
      <c r="I5" s="3074">
        <v>0</v>
      </c>
      <c r="J5" s="3074">
        <v>0</v>
      </c>
      <c r="K5" s="3074">
        <v>0</v>
      </c>
      <c r="L5" s="3074">
        <v>0</v>
      </c>
      <c r="N5" s="2725">
        <f t="shared" ref="N5" si="7">I5/100</f>
        <v>0</v>
      </c>
      <c r="O5" s="2725">
        <f t="shared" ref="O5" si="8">J5/100</f>
        <v>0</v>
      </c>
      <c r="P5" s="2725">
        <f t="shared" ref="P5" si="9">K5/100</f>
        <v>0</v>
      </c>
      <c r="Q5" s="2725">
        <f t="shared" ref="Q5" si="10">L5/100</f>
        <v>0</v>
      </c>
      <c r="R5" s="3062"/>
      <c r="S5" s="3063"/>
      <c r="T5" s="3062"/>
      <c r="U5" s="3062"/>
      <c r="V5" s="3062"/>
      <c r="W5" s="3087" t="s">
        <v>2965</v>
      </c>
      <c r="X5" s="3064">
        <f>ROUND(IF(项目基本情况!B8="出让",SUMPRODUCT(PRODUCT(1+N5:N$30)),SUMPRODUCT(PRODUCT(1+N5:N$29))),4)</f>
        <v>1.5605</v>
      </c>
      <c r="Y5" s="3064">
        <f>ROUND(IF(项目基本情况!B8="出让",SUMPRODUCT(PRODUCT(1+O5:O$30)),SUMPRODUCT(PRODUCT(1+O5:O$29))),4)</f>
        <v>1.3577999999999999</v>
      </c>
      <c r="Z5" s="3064">
        <f t="shared" ref="Z5" si="11">Y5</f>
        <v>1.3577999999999999</v>
      </c>
      <c r="AA5" s="3064">
        <f>ROUND(IF(项目基本情况!B8="出让",SUMPRODUCT(PRODUCT(1+P5:P$30)),SUMPRODUCT(PRODUCT(1+P5:P$29))),4)</f>
        <v>1.6254999999999999</v>
      </c>
      <c r="AB5" s="3064">
        <f>ROUND(IF(项目基本情况!B8="出让",SUMPRODUCT(PRODUCT(1+Q5:Q$30)),SUMPRODUCT(PRODUCT(1+Q5:Q$29))),4)</f>
        <v>1.3815999999999999</v>
      </c>
      <c r="AD5" s="3065">
        <f>ROUND(AVERAGE(I5:I$30)/100,4)</f>
        <v>1.8499999999999999E-2</v>
      </c>
      <c r="AE5" s="3065">
        <f>ROUND(AVERAGE(J5:J$30)/100,4)</f>
        <v>1.2800000000000001E-2</v>
      </c>
      <c r="AF5" s="3065">
        <f t="shared" ref="AF5" si="12">AE5</f>
        <v>1.2800000000000001E-2</v>
      </c>
      <c r="AG5" s="3065">
        <f>ROUND(AVERAGE(K5:K$30)/100,4)</f>
        <v>2.0299999999999999E-2</v>
      </c>
      <c r="AH5" s="3065">
        <f>ROUND(AVERAGE(L5:L$30)/100,4)</f>
        <v>1.3100000000000001E-2</v>
      </c>
    </row>
    <row r="6" spans="1:34" s="2724" customFormat="1">
      <c r="A6" s="2619" t="s">
        <v>2993</v>
      </c>
      <c r="B6" s="2632">
        <f t="shared" ref="B6" si="13">B7*(1+N6)</f>
        <v>479.92259063878413</v>
      </c>
      <c r="C6" s="2632">
        <f t="shared" ref="C6" si="14">C7*(1+O6)</f>
        <v>350.02082268341775</v>
      </c>
      <c r="D6" s="2632">
        <f t="shared" ref="D6" si="15">C6</f>
        <v>350.02082268341775</v>
      </c>
      <c r="E6" s="2632">
        <f t="shared" ref="E6" si="16">E7*(1+P6)</f>
        <v>687.42265944181099</v>
      </c>
      <c r="F6" s="2632">
        <f t="shared" ref="F6" si="17">F7*(1+Q6)</f>
        <v>317.63846657708956</v>
      </c>
      <c r="G6" s="2718">
        <v>2020</v>
      </c>
      <c r="H6" s="2622">
        <v>1</v>
      </c>
      <c r="I6" s="3176">
        <v>0.12</v>
      </c>
      <c r="J6" s="3176">
        <v>-0.4</v>
      </c>
      <c r="K6" s="3176">
        <v>0.21</v>
      </c>
      <c r="L6" s="3177">
        <v>0.27</v>
      </c>
      <c r="M6" s="2626"/>
      <c r="N6" s="2627">
        <f t="shared" ref="N6" si="18">I6/100</f>
        <v>1.1999999999999999E-3</v>
      </c>
      <c r="O6" s="2628">
        <f t="shared" ref="O6" si="19">J6/100</f>
        <v>-4.0000000000000001E-3</v>
      </c>
      <c r="P6" s="2628">
        <f t="shared" ref="P6" si="20">K6/100</f>
        <v>2.0999999999999999E-3</v>
      </c>
      <c r="Q6" s="2628">
        <f t="shared" ref="Q6" si="21">L6/100</f>
        <v>2.7000000000000001E-3</v>
      </c>
      <c r="R6" s="2629"/>
      <c r="S6" s="2635">
        <f>B6/B7-1</f>
        <v>1.2000000000000899E-3</v>
      </c>
      <c r="T6" s="2636">
        <f>C6/C7-1</f>
        <v>-4.0000000000000036E-3</v>
      </c>
      <c r="U6" s="2636">
        <f>E6/E7-1</f>
        <v>2.0999999999999908E-3</v>
      </c>
      <c r="V6" s="2636">
        <f>F6/F7-1</f>
        <v>2.6999999999999247E-3</v>
      </c>
      <c r="W6" s="2626"/>
      <c r="X6" s="2717">
        <f>ROUND(IF(项目基本情况!B8="出让",SUMPRODUCT(PRODUCT(1+N6:N$30)),SUMPRODUCT(PRODUCT(1+N6:N$29))),4)</f>
        <v>1.5605</v>
      </c>
      <c r="Y6" s="2717">
        <f>ROUND(IF(项目基本情况!B8="出让",SUMPRODUCT(PRODUCT(1+O6:O$30)),SUMPRODUCT(PRODUCT(1+O6:O$29))),4)</f>
        <v>1.3577999999999999</v>
      </c>
      <c r="Z6" s="2717">
        <f t="shared" ref="Z6" si="22">Y6</f>
        <v>1.3577999999999999</v>
      </c>
      <c r="AA6" s="2717">
        <f>ROUND(IF(项目基本情况!B8="出让",SUMPRODUCT(PRODUCT(1+P6:P$30)),SUMPRODUCT(PRODUCT(1+P6:P$29))),4)</f>
        <v>1.6254999999999999</v>
      </c>
      <c r="AB6" s="2717">
        <f>ROUND(IF(项目基本情况!B8="出让",SUMPRODUCT(PRODUCT(1+Q6:Q$30)),SUMPRODUCT(PRODUCT(1+Q6:Q$29))),4)</f>
        <v>1.3815999999999999</v>
      </c>
      <c r="AC6" s="2626"/>
      <c r="AD6" s="2637">
        <f>ROUND(AVERAGE(I6:I$30)/100,4)</f>
        <v>1.9199999999999998E-2</v>
      </c>
      <c r="AE6" s="2637">
        <f>ROUND(AVERAGE(J6:J$30)/100,4)</f>
        <v>1.3299999999999999E-2</v>
      </c>
      <c r="AF6" s="2637">
        <f t="shared" ref="AF6" si="23">AE6</f>
        <v>1.3299999999999999E-2</v>
      </c>
      <c r="AG6" s="2637">
        <f>ROUND(AVERAGE(K6:K$30)/100,4)</f>
        <v>2.1100000000000001E-2</v>
      </c>
      <c r="AH6" s="2637">
        <f>ROUND(AVERAGE(L6:L$30)/100,4)</f>
        <v>1.3599999999999999E-2</v>
      </c>
    </row>
    <row r="7" spans="1:34" s="2724" customFormat="1">
      <c r="A7" s="2619" t="s">
        <v>2989</v>
      </c>
      <c r="B7" s="2632">
        <f t="shared" ref="B7" si="24">B8*(1+N7)</f>
        <v>479.34737379023579</v>
      </c>
      <c r="C7" s="2632">
        <f t="shared" ref="C7" si="25">C8*(1+O7)</f>
        <v>351.4265287986122</v>
      </c>
      <c r="D7" s="2632">
        <f t="shared" ref="D7" si="26">C7</f>
        <v>351.4265287986122</v>
      </c>
      <c r="E7" s="2632">
        <f t="shared" ref="E7" si="27">E8*(1+P7)</f>
        <v>685.98209703803116</v>
      </c>
      <c r="F7" s="2632">
        <f t="shared" ref="F7" si="28">F8*(1+Q7)</f>
        <v>316.78315206651001</v>
      </c>
      <c r="G7" s="2718">
        <v>2019</v>
      </c>
      <c r="H7" s="2622">
        <v>4</v>
      </c>
      <c r="I7" s="2622">
        <v>0.45</v>
      </c>
      <c r="J7" s="2622">
        <v>-0.12</v>
      </c>
      <c r="K7" s="2622">
        <v>0.54</v>
      </c>
      <c r="L7" s="2633">
        <v>0.48</v>
      </c>
      <c r="M7" s="2626"/>
      <c r="N7" s="2627">
        <f t="shared" ref="N7" si="29">I7/100</f>
        <v>4.5000000000000005E-3</v>
      </c>
      <c r="O7" s="2628">
        <f t="shared" ref="O7" si="30">J7/100</f>
        <v>-1.1999999999999999E-3</v>
      </c>
      <c r="P7" s="2628">
        <f t="shared" ref="P7" si="31">K7/100</f>
        <v>5.4000000000000003E-3</v>
      </c>
      <c r="Q7" s="2628">
        <f t="shared" ref="Q7" si="32">L7/100</f>
        <v>4.7999999999999996E-3</v>
      </c>
      <c r="R7" s="2629"/>
      <c r="S7" s="2635"/>
      <c r="T7" s="2636"/>
      <c r="U7" s="2636"/>
      <c r="V7" s="2636"/>
      <c r="W7" s="2626"/>
      <c r="X7" s="2717">
        <f>ROUND(IF(项目基本情况!B8="出让",SUMPRODUCT(PRODUCT(1+N7:N$30)),SUMPRODUCT(PRODUCT(1+N7:N$29))),4)</f>
        <v>1.5586</v>
      </c>
      <c r="Y7" s="2717">
        <f>ROUND(IF(项目基本情况!B8="出让",SUMPRODUCT(PRODUCT(1+O7:O$30)),SUMPRODUCT(PRODUCT(1+O7:O$29))),4)</f>
        <v>1.3633</v>
      </c>
      <c r="Z7" s="2717">
        <f t="shared" ref="Z7" si="33">Y7</f>
        <v>1.3633</v>
      </c>
      <c r="AA7" s="2717">
        <f>ROUND(IF(项目基本情况!B8="出让",SUMPRODUCT(PRODUCT(1+P7:P$30)),SUMPRODUCT(PRODUCT(1+P7:P$29))),4)</f>
        <v>1.6221000000000001</v>
      </c>
      <c r="AB7" s="2717">
        <f>ROUND(IF(项目基本情况!B8="出让",SUMPRODUCT(PRODUCT(1+Q7:Q$30)),SUMPRODUCT(PRODUCT(1+Q7:Q$29))),4)</f>
        <v>1.3777999999999999</v>
      </c>
      <c r="AC7" s="2626"/>
      <c r="AD7" s="2637">
        <f>ROUND(AVERAGE(I7:I$30)/100,4)</f>
        <v>0.02</v>
      </c>
      <c r="AE7" s="2637">
        <f>ROUND(AVERAGE(J7:J$30)/100,4)</f>
        <v>1.4E-2</v>
      </c>
      <c r="AF7" s="2637">
        <f t="shared" ref="AF7" si="34">AE7</f>
        <v>1.4E-2</v>
      </c>
      <c r="AG7" s="2637">
        <f>ROUND(AVERAGE(K7:K$30)/100,4)</f>
        <v>2.1899999999999999E-2</v>
      </c>
      <c r="AH7" s="2637">
        <f>ROUND(AVERAGE(L7:L$30)/100,4)</f>
        <v>1.4E-2</v>
      </c>
    </row>
    <row r="8" spans="1:34" s="2724" customFormat="1" ht="13.8" thickBot="1">
      <c r="A8" s="2619" t="s">
        <v>2988</v>
      </c>
      <c r="B8" s="2632">
        <f t="shared" ref="B8" si="35">B9*(1+N8)</f>
        <v>477.19997390765138</v>
      </c>
      <c r="C8" s="2632">
        <f t="shared" ref="C8" si="36">C9*(1+O8)</f>
        <v>351.84874729536665</v>
      </c>
      <c r="D8" s="2632">
        <f t="shared" ref="D8" si="37">C8</f>
        <v>351.84874729536665</v>
      </c>
      <c r="E8" s="2632">
        <f t="shared" ref="E8" si="38">E9*(1+P8)</f>
        <v>682.29768951465201</v>
      </c>
      <c r="F8" s="2632">
        <f t="shared" ref="F8" si="39">F9*(1+Q8)</f>
        <v>315.26985675409043</v>
      </c>
      <c r="G8" s="2718">
        <v>2019</v>
      </c>
      <c r="H8" s="2622">
        <v>3</v>
      </c>
      <c r="I8" s="2622">
        <v>0.61</v>
      </c>
      <c r="J8" s="2622">
        <v>0.67</v>
      </c>
      <c r="K8" s="2622">
        <v>0.6</v>
      </c>
      <c r="L8" s="2633">
        <v>1.03</v>
      </c>
      <c r="M8" s="2626"/>
      <c r="N8" s="2627">
        <f t="shared" ref="N8" si="40">I8/100</f>
        <v>6.0999999999999995E-3</v>
      </c>
      <c r="O8" s="2628">
        <f t="shared" ref="O8" si="41">J8/100</f>
        <v>6.7000000000000002E-3</v>
      </c>
      <c r="P8" s="2628">
        <f t="shared" ref="P8" si="42">K8/100</f>
        <v>6.0000000000000001E-3</v>
      </c>
      <c r="Q8" s="2628">
        <f t="shared" ref="Q8" si="43">L8/100</f>
        <v>1.03E-2</v>
      </c>
      <c r="R8" s="2629"/>
      <c r="S8" s="2635"/>
      <c r="T8" s="2636"/>
      <c r="U8" s="2636"/>
      <c r="V8" s="2636"/>
      <c r="W8" s="2626"/>
      <c r="X8" s="2717">
        <f>ROUND(IF(项目基本情况!B8="出让",SUMPRODUCT(PRODUCT(1+N8:N$30)),SUMPRODUCT(PRODUCT(1+N8:N$29))),4)</f>
        <v>1.5516000000000001</v>
      </c>
      <c r="Y8" s="2717">
        <f>ROUND(IF(项目基本情况!B8="出让",SUMPRODUCT(PRODUCT(1+O8:O$30)),SUMPRODUCT(PRODUCT(1+O8:O$29))),4)</f>
        <v>1.3649</v>
      </c>
      <c r="Z8" s="2717">
        <f t="shared" ref="Z8" si="44">Y8</f>
        <v>1.3649</v>
      </c>
      <c r="AA8" s="2717">
        <f>ROUND(IF(项目基本情况!B8="出让",SUMPRODUCT(PRODUCT(1+P8:P$30)),SUMPRODUCT(PRODUCT(1+P8:P$29))),4)</f>
        <v>1.6133999999999999</v>
      </c>
      <c r="AB8" s="2717">
        <f>ROUND(IF(项目基本情况!B8="出让",SUMPRODUCT(PRODUCT(1+Q8:Q$30)),SUMPRODUCT(PRODUCT(1+Q8:Q$29))),4)</f>
        <v>1.3713</v>
      </c>
      <c r="AC8" s="2626"/>
      <c r="AD8" s="2637">
        <f>ROUND(AVERAGE(I8:I$30)/100,4)</f>
        <v>2.07E-2</v>
      </c>
      <c r="AE8" s="2637">
        <f>ROUND(AVERAGE(J8:J$30)/100,4)</f>
        <v>1.47E-2</v>
      </c>
      <c r="AF8" s="2637">
        <f t="shared" ref="AF8" si="45">AE8</f>
        <v>1.47E-2</v>
      </c>
      <c r="AG8" s="2637">
        <f>ROUND(AVERAGE(K8:K$30)/100,4)</f>
        <v>2.2599999999999999E-2</v>
      </c>
      <c r="AH8" s="2637">
        <f>ROUND(AVERAGE(L8:L$30)/100,4)</f>
        <v>1.44E-2</v>
      </c>
    </row>
    <row r="9" spans="1:34" s="2724" customFormat="1">
      <c r="A9" s="2619" t="s">
        <v>2985</v>
      </c>
      <c r="B9" s="2632">
        <f t="shared" ref="B9:B14" si="46">B10*(1+N9)</f>
        <v>474.30670301923408</v>
      </c>
      <c r="C9" s="2632">
        <f t="shared" ref="C9" si="47">C10*(1+O9)</f>
        <v>349.50705005996491</v>
      </c>
      <c r="D9" s="2632">
        <f t="shared" ref="D9" si="48">C9</f>
        <v>349.50705005996491</v>
      </c>
      <c r="E9" s="2632">
        <f t="shared" ref="E9" si="49">E10*(1+P9)</f>
        <v>678.22831959706957</v>
      </c>
      <c r="F9" s="2632">
        <f t="shared" ref="F9" si="50">F10*(1+Q9)</f>
        <v>312.0556832169558</v>
      </c>
      <c r="G9" s="2718">
        <v>2019</v>
      </c>
      <c r="H9" s="2620">
        <v>2</v>
      </c>
      <c r="I9" s="2620">
        <v>1.53</v>
      </c>
      <c r="J9" s="2620">
        <v>1.01</v>
      </c>
      <c r="K9" s="2620">
        <v>1.62</v>
      </c>
      <c r="L9" s="2621">
        <v>1.25</v>
      </c>
      <c r="M9" s="2626"/>
      <c r="N9" s="2627">
        <f t="shared" ref="N9" si="51">I9/100</f>
        <v>1.5300000000000001E-2</v>
      </c>
      <c r="O9" s="2628">
        <f t="shared" ref="O9" si="52">J9/100</f>
        <v>1.01E-2</v>
      </c>
      <c r="P9" s="2628">
        <f t="shared" ref="P9" si="53">K9/100</f>
        <v>1.6200000000000003E-2</v>
      </c>
      <c r="Q9" s="2628">
        <f t="shared" ref="Q9" si="54">L9/100</f>
        <v>1.2500000000000001E-2</v>
      </c>
      <c r="R9" s="2629"/>
      <c r="S9" s="2635"/>
      <c r="T9" s="2636"/>
      <c r="U9" s="2636"/>
      <c r="V9" s="2636"/>
      <c r="W9" s="2626"/>
      <c r="X9" s="2717">
        <f>ROUND(IF(项目基本情况!B8="出让",SUMPRODUCT(PRODUCT(1+N9:N$30)),SUMPRODUCT(PRODUCT(1+N9:N$29))),4)</f>
        <v>1.5422</v>
      </c>
      <c r="Y9" s="2717">
        <f>ROUND(IF(项目基本情况!B8="出让",SUMPRODUCT(PRODUCT(1+O9:O$30)),SUMPRODUCT(PRODUCT(1+O9:O$29))),4)</f>
        <v>1.3557999999999999</v>
      </c>
      <c r="Z9" s="2717">
        <f t="shared" ref="Z9" si="55">Y9</f>
        <v>1.3557999999999999</v>
      </c>
      <c r="AA9" s="2717">
        <f>ROUND(IF(项目基本情况!B8="出让",SUMPRODUCT(PRODUCT(1+P9:P$30)),SUMPRODUCT(PRODUCT(1+P9:P$29))),4)</f>
        <v>1.6036999999999999</v>
      </c>
      <c r="AB9" s="2717">
        <f>ROUND(IF(项目基本情况!B8="出让",SUMPRODUCT(PRODUCT(1+Q9:Q$30)),SUMPRODUCT(PRODUCT(1+Q9:Q$29))),4)</f>
        <v>1.3573</v>
      </c>
      <c r="AC9" s="2626"/>
      <c r="AD9" s="2637">
        <f>ROUND(AVERAGE(I9:I$30)/100,4)</f>
        <v>2.1299999999999999E-2</v>
      </c>
      <c r="AE9" s="2637">
        <f>ROUND(AVERAGE(J9:J$30)/100,4)</f>
        <v>1.4999999999999999E-2</v>
      </c>
      <c r="AF9" s="2637">
        <f t="shared" ref="AF9" si="56">AE9</f>
        <v>1.4999999999999999E-2</v>
      </c>
      <c r="AG9" s="2637">
        <f>ROUND(AVERAGE(K9:K$30)/100,4)</f>
        <v>2.3300000000000001E-2</v>
      </c>
      <c r="AH9" s="2637">
        <f>ROUND(AVERAGE(L9:L$30)/100,4)</f>
        <v>1.46E-2</v>
      </c>
    </row>
    <row r="10" spans="1:34" s="2724" customFormat="1" ht="13.8" thickBot="1">
      <c r="A10" s="2619" t="s">
        <v>2984</v>
      </c>
      <c r="B10" s="2632">
        <f t="shared" si="46"/>
        <v>467.15916775261894</v>
      </c>
      <c r="C10" s="2632">
        <f t="shared" ref="C10" si="57">C11*(1+O10)</f>
        <v>346.01232557169084</v>
      </c>
      <c r="D10" s="2632">
        <f t="shared" ref="D10" si="58">C10</f>
        <v>346.01232557169084</v>
      </c>
      <c r="E10" s="2632">
        <f t="shared" ref="E10" si="59">E11*(1+P10)</f>
        <v>667.41617752122568</v>
      </c>
      <c r="F10" s="2632">
        <f t="shared" ref="F10" si="60">F11*(1+Q10)</f>
        <v>308.20314391798104</v>
      </c>
      <c r="G10" s="2718">
        <v>2019</v>
      </c>
      <c r="H10" s="2622">
        <v>1</v>
      </c>
      <c r="I10" s="2622">
        <v>0.6</v>
      </c>
      <c r="J10" s="2622">
        <v>0.37</v>
      </c>
      <c r="K10" s="2622">
        <v>0.63</v>
      </c>
      <c r="L10" s="2633">
        <v>1.1299999999999999</v>
      </c>
      <c r="M10" s="2626"/>
      <c r="N10" s="2627">
        <f t="shared" ref="N10" si="61">I10/100</f>
        <v>6.0000000000000001E-3</v>
      </c>
      <c r="O10" s="2628">
        <f t="shared" ref="O10" si="62">J10/100</f>
        <v>3.7000000000000002E-3</v>
      </c>
      <c r="P10" s="2628">
        <f t="shared" ref="P10" si="63">K10/100</f>
        <v>6.3E-3</v>
      </c>
      <c r="Q10" s="2628">
        <f t="shared" ref="Q10" si="64">L10/100</f>
        <v>1.1299999999999999E-2</v>
      </c>
      <c r="R10" s="2629"/>
      <c r="S10" s="2635">
        <f>B10/B11-1</f>
        <v>6.0000000000000053E-3</v>
      </c>
      <c r="T10" s="2636">
        <f>C10/C11-1</f>
        <v>3.7000000000000366E-3</v>
      </c>
      <c r="U10" s="2636">
        <f>E10/E11-1</f>
        <v>6.2999999999999723E-3</v>
      </c>
      <c r="V10" s="2636">
        <f>F10/F11-1</f>
        <v>1.1300000000000088E-2</v>
      </c>
      <c r="W10" s="2626"/>
      <c r="X10" s="2717">
        <f>ROUND(IF(项目基本情况!B8="出让",SUMPRODUCT(PRODUCT(1+N10:N$30)),SUMPRODUCT(PRODUCT(1+N10:N$29))),4)</f>
        <v>1.5189999999999999</v>
      </c>
      <c r="Y10" s="2717">
        <f>ROUND(IF(项目基本情况!B8="出让",SUMPRODUCT(PRODUCT(1+O10:O$30)),SUMPRODUCT(PRODUCT(1+O10:O$29))),4)</f>
        <v>1.3423</v>
      </c>
      <c r="Z10" s="2717">
        <f t="shared" ref="Z10" si="65">Y10</f>
        <v>1.3423</v>
      </c>
      <c r="AA10" s="2717">
        <f>ROUND(IF(项目基本情况!B8="出让",SUMPRODUCT(PRODUCT(1+P10:P$30)),SUMPRODUCT(PRODUCT(1+P10:P$29))),4)</f>
        <v>1.5782</v>
      </c>
      <c r="AB10" s="2717">
        <f>ROUND(IF(项目基本情况!B8="出让",SUMPRODUCT(PRODUCT(1+Q10:Q$30)),SUMPRODUCT(PRODUCT(1+Q10:Q$29))),4)</f>
        <v>1.3405</v>
      </c>
      <c r="AC10" s="2626"/>
      <c r="AD10" s="2637">
        <f>ROUND(AVERAGE(I10:I$30)/100,4)</f>
        <v>2.1600000000000001E-2</v>
      </c>
      <c r="AE10" s="2637">
        <f>ROUND(AVERAGE(J10:J$30)/100,4)</f>
        <v>1.5299999999999999E-2</v>
      </c>
      <c r="AF10" s="2637">
        <f t="shared" ref="AF10" si="66">AE10</f>
        <v>1.5299999999999999E-2</v>
      </c>
      <c r="AG10" s="2637">
        <f>ROUND(AVERAGE(K10:K$30)/100,4)</f>
        <v>2.3699999999999999E-2</v>
      </c>
      <c r="AH10" s="2637">
        <f>ROUND(AVERAGE(L10:L$30)/100,4)</f>
        <v>1.47E-2</v>
      </c>
    </row>
    <row r="11" spans="1:34" s="2724" customFormat="1">
      <c r="A11" s="2619" t="s">
        <v>2981</v>
      </c>
      <c r="B11" s="3173">
        <f t="shared" si="46"/>
        <v>464.37293017158942</v>
      </c>
      <c r="C11" s="3173">
        <f t="shared" ref="C11" si="67">C12*(1+O11)</f>
        <v>344.73679941385956</v>
      </c>
      <c r="D11" s="3173">
        <f t="shared" ref="D11" si="68">C11</f>
        <v>344.73679941385956</v>
      </c>
      <c r="E11" s="3173">
        <f t="shared" ref="E11" si="69">E12*(1+P11)</f>
        <v>663.2377795103107</v>
      </c>
      <c r="F11" s="3174">
        <f t="shared" ref="F11" si="70">F12*(1+Q11)</f>
        <v>304.75936311478398</v>
      </c>
      <c r="G11" s="3450">
        <v>2018</v>
      </c>
      <c r="H11" s="2620">
        <v>4</v>
      </c>
      <c r="I11" s="2620">
        <v>0.96</v>
      </c>
      <c r="J11" s="2620">
        <v>1.03</v>
      </c>
      <c r="K11" s="2620">
        <v>0.92</v>
      </c>
      <c r="L11" s="2621">
        <v>1.29</v>
      </c>
      <c r="M11" s="2626"/>
      <c r="N11" s="2627">
        <f t="shared" ref="N11" si="71">I11/100</f>
        <v>9.5999999999999992E-3</v>
      </c>
      <c r="O11" s="2628">
        <f t="shared" ref="O11" si="72">J11/100</f>
        <v>1.03E-2</v>
      </c>
      <c r="P11" s="2628">
        <f t="shared" ref="P11" si="73">K11/100</f>
        <v>9.1999999999999998E-3</v>
      </c>
      <c r="Q11" s="2628">
        <f t="shared" ref="Q11" si="74">L11/100</f>
        <v>1.29E-2</v>
      </c>
      <c r="R11" s="2629"/>
      <c r="S11" s="2630"/>
      <c r="T11" s="2631"/>
      <c r="U11" s="2631"/>
      <c r="V11" s="2631"/>
      <c r="W11" s="2626"/>
      <c r="X11" s="2717">
        <f>ROUND(SUMPRODUCT(PRODUCT(1+N11:N$29)),4)</f>
        <v>1.5099</v>
      </c>
      <c r="Y11" s="2717">
        <f>ROUND(SUMPRODUCT(PRODUCT(1+O11:O$29)),4)</f>
        <v>1.3372999999999999</v>
      </c>
      <c r="Z11" s="2717">
        <f t="shared" ref="Z11" si="75">Y11</f>
        <v>1.3372999999999999</v>
      </c>
      <c r="AA11" s="2717">
        <f>ROUND(SUMPRODUCT(PRODUCT(1+P11:P$29)),4)</f>
        <v>1.5683</v>
      </c>
      <c r="AB11" s="2717">
        <f>ROUND(SUMPRODUCT(PRODUCT(1+Q11:Q$29)),4)</f>
        <v>1.3255999999999999</v>
      </c>
      <c r="AC11" s="2626"/>
      <c r="AD11" s="2637">
        <f>ROUND(AVERAGE(I11:I$30)/100,4)</f>
        <v>2.24E-2</v>
      </c>
      <c r="AE11" s="2637">
        <f>ROUND(AVERAGE(J11:J$30)/100,4)</f>
        <v>1.5800000000000002E-2</v>
      </c>
      <c r="AF11" s="2637">
        <f t="shared" ref="AF11" si="76">AE11</f>
        <v>1.5800000000000002E-2</v>
      </c>
      <c r="AG11" s="2637">
        <f>ROUND(AVERAGE(K11:K$30)/100,4)</f>
        <v>2.4500000000000001E-2</v>
      </c>
      <c r="AH11" s="2637">
        <f>ROUND(AVERAGE(L11:L$30)/100,4)</f>
        <v>1.49E-2</v>
      </c>
    </row>
    <row r="12" spans="1:34" s="2724" customFormat="1" ht="14.4" customHeight="1">
      <c r="A12" s="2619" t="s">
        <v>2974</v>
      </c>
      <c r="B12" s="2632">
        <f t="shared" si="46"/>
        <v>459.95733971036987</v>
      </c>
      <c r="C12" s="2632">
        <f t="shared" ref="C12" si="77">C13*(1+O12)</f>
        <v>341.22221064422405</v>
      </c>
      <c r="D12" s="2632">
        <f t="shared" ref="D12" si="78">C12</f>
        <v>341.22221064422405</v>
      </c>
      <c r="E12" s="2632">
        <f t="shared" ref="E12" si="79">E13*(1+P12)</f>
        <v>657.19161663724799</v>
      </c>
      <c r="F12" s="2632">
        <f t="shared" ref="F12" si="80">F13*(1+Q12)</f>
        <v>300.87803644464805</v>
      </c>
      <c r="G12" s="3450"/>
      <c r="H12" s="2622">
        <v>3</v>
      </c>
      <c r="I12" s="2622">
        <v>1.51</v>
      </c>
      <c r="J12" s="2622">
        <v>1.41</v>
      </c>
      <c r="K12" s="2622">
        <v>1.52</v>
      </c>
      <c r="L12" s="2633">
        <v>1.74</v>
      </c>
      <c r="M12" s="2626"/>
      <c r="N12" s="2627">
        <f t="shared" ref="N12" si="81">I12/100</f>
        <v>1.5100000000000001E-2</v>
      </c>
      <c r="O12" s="2628">
        <f t="shared" ref="O12" si="82">J12/100</f>
        <v>1.41E-2</v>
      </c>
      <c r="P12" s="2628">
        <f t="shared" ref="P12" si="83">K12/100</f>
        <v>1.52E-2</v>
      </c>
      <c r="Q12" s="2628">
        <f t="shared" ref="Q12" si="84">L12/100</f>
        <v>1.7399999999999999E-2</v>
      </c>
      <c r="R12" s="2629"/>
      <c r="S12" s="2627"/>
      <c r="T12" s="2628"/>
      <c r="U12" s="2628"/>
      <c r="V12" s="2628"/>
      <c r="W12" s="2626"/>
      <c r="X12" s="2717">
        <f>ROUND(SUMPRODUCT(PRODUCT(1+N12:N$29)),4)</f>
        <v>1.4956</v>
      </c>
      <c r="Y12" s="2717">
        <f>ROUND(SUMPRODUCT(PRODUCT(1+O12:O$29)),4)</f>
        <v>1.3237000000000001</v>
      </c>
      <c r="Z12" s="2717">
        <f t="shared" ref="Z12" si="85">Y12</f>
        <v>1.3237000000000001</v>
      </c>
      <c r="AA12" s="2717">
        <f>ROUND(SUMPRODUCT(PRODUCT(1+P12:P$29)),4)</f>
        <v>1.554</v>
      </c>
      <c r="AB12" s="2717">
        <f>ROUND(SUMPRODUCT(PRODUCT(1+Q12:Q$29)),4)</f>
        <v>1.3087</v>
      </c>
      <c r="AC12" s="2626"/>
      <c r="AD12" s="2637">
        <f>ROUND(AVERAGE(I12:I$30)/100,4)</f>
        <v>2.3099999999999999E-2</v>
      </c>
      <c r="AE12" s="2637">
        <f>ROUND(AVERAGE(J12:J$30)/100,4)</f>
        <v>1.61E-2</v>
      </c>
      <c r="AF12" s="2637">
        <f t="shared" ref="AF12" si="86">AE12</f>
        <v>1.61E-2</v>
      </c>
      <c r="AG12" s="2637">
        <f>ROUND(AVERAGE(K12:K$30)/100,4)</f>
        <v>2.53E-2</v>
      </c>
      <c r="AH12" s="2637">
        <f>ROUND(AVERAGE(L12:L$30)/100,4)</f>
        <v>1.4999999999999999E-2</v>
      </c>
    </row>
    <row r="13" spans="1:34" s="2724" customFormat="1" ht="14.4" customHeight="1">
      <c r="A13" s="2619" t="s">
        <v>2975</v>
      </c>
      <c r="B13" s="2632">
        <f t="shared" si="46"/>
        <v>453.11529869999993</v>
      </c>
      <c r="C13" s="2632">
        <f t="shared" ref="C13" si="87">C14*(1+O13)</f>
        <v>336.47787264000004</v>
      </c>
      <c r="D13" s="2632">
        <f t="shared" ref="D13" si="88">C13</f>
        <v>336.47787264000004</v>
      </c>
      <c r="E13" s="2632">
        <f t="shared" ref="E13" si="89">E14*(1+P13)</f>
        <v>647.35186823999993</v>
      </c>
      <c r="F13" s="2632">
        <f t="shared" ref="F13" si="90">F14*(1+Q13)</f>
        <v>295.73229452000004</v>
      </c>
      <c r="G13" s="3450"/>
      <c r="H13" s="2623">
        <v>2</v>
      </c>
      <c r="I13" s="2623">
        <v>1.49</v>
      </c>
      <c r="J13" s="2623">
        <v>0.96</v>
      </c>
      <c r="K13" s="2623">
        <v>1.58</v>
      </c>
      <c r="L13" s="2634">
        <v>2.44</v>
      </c>
      <c r="M13" s="2626"/>
      <c r="N13" s="2627">
        <f t="shared" ref="N13" si="91">I13/100</f>
        <v>1.49E-2</v>
      </c>
      <c r="O13" s="2628">
        <f t="shared" ref="O13" si="92">J13/100</f>
        <v>9.5999999999999992E-3</v>
      </c>
      <c r="P13" s="2628">
        <f t="shared" ref="P13" si="93">K13/100</f>
        <v>1.5800000000000002E-2</v>
      </c>
      <c r="Q13" s="2628">
        <f t="shared" ref="Q13" si="94">L13/100</f>
        <v>2.4399999999999998E-2</v>
      </c>
      <c r="R13" s="2629"/>
      <c r="S13" s="2627"/>
      <c r="T13" s="2628"/>
      <c r="U13" s="2628"/>
      <c r="V13" s="2628"/>
      <c r="W13" s="2626"/>
      <c r="X13" s="2717">
        <f>ROUND(SUMPRODUCT(PRODUCT(1+N13:N$29)),4)</f>
        <v>1.4733000000000001</v>
      </c>
      <c r="Y13" s="2717">
        <f>ROUND(SUMPRODUCT(PRODUCT(1+O13:O$29)),4)</f>
        <v>1.3052999999999999</v>
      </c>
      <c r="Z13" s="2717">
        <f t="shared" ref="Z13" si="95">Y13</f>
        <v>1.3052999999999999</v>
      </c>
      <c r="AA13" s="2717">
        <f>ROUND(SUMPRODUCT(PRODUCT(1+P13:P$29)),4)</f>
        <v>1.5306999999999999</v>
      </c>
      <c r="AB13" s="2717">
        <f>ROUND(SUMPRODUCT(PRODUCT(1+Q13:Q$29)),4)</f>
        <v>1.2863</v>
      </c>
      <c r="AC13" s="2626"/>
      <c r="AD13" s="2637">
        <f>ROUND(AVERAGE(I13:I$30)/100,4)</f>
        <v>2.35E-2</v>
      </c>
      <c r="AE13" s="2637">
        <f>ROUND(AVERAGE(J13:J$30)/100,4)</f>
        <v>1.6199999999999999E-2</v>
      </c>
      <c r="AF13" s="2637">
        <f t="shared" ref="AF13" si="96">AE13</f>
        <v>1.6199999999999999E-2</v>
      </c>
      <c r="AG13" s="2637">
        <f>ROUND(AVERAGE(K13:K$30)/100,4)</f>
        <v>2.5899999999999999E-2</v>
      </c>
      <c r="AH13" s="2637">
        <f>ROUND(AVERAGE(L13:L$30)/100,4)</f>
        <v>1.49E-2</v>
      </c>
    </row>
    <row r="14" spans="1:34" s="2724" customFormat="1" ht="15" customHeight="1" thickBot="1">
      <c r="A14" s="2619" t="s">
        <v>2971</v>
      </c>
      <c r="B14" s="2632">
        <f t="shared" si="46"/>
        <v>446.46299999999997</v>
      </c>
      <c r="C14" s="2632">
        <f t="shared" ref="C14" si="97">C15*(1+O14)</f>
        <v>333.27840000000003</v>
      </c>
      <c r="D14" s="2632">
        <f t="shared" ref="D14:D19" si="98">C14</f>
        <v>333.27840000000003</v>
      </c>
      <c r="E14" s="2632">
        <f t="shared" ref="E14" si="99">E15*(1+P14)</f>
        <v>637.28279999999995</v>
      </c>
      <c r="F14" s="2632">
        <f t="shared" ref="F14" si="100">F15*(1+Q14)</f>
        <v>288.68830000000003</v>
      </c>
      <c r="G14" s="3451"/>
      <c r="H14" s="2622">
        <v>1</v>
      </c>
      <c r="I14" s="2622">
        <v>1.7</v>
      </c>
      <c r="J14" s="2622">
        <v>1.92</v>
      </c>
      <c r="K14" s="2622">
        <v>1.64</v>
      </c>
      <c r="L14" s="2633">
        <v>2.0099999999999998</v>
      </c>
      <c r="M14" s="2626"/>
      <c r="N14" s="2627">
        <f t="shared" ref="N14:N19" si="101">I14/100</f>
        <v>1.7000000000000001E-2</v>
      </c>
      <c r="O14" s="2628">
        <f t="shared" ref="O14" si="102">J14/100</f>
        <v>1.9199999999999998E-2</v>
      </c>
      <c r="P14" s="2628">
        <f t="shared" ref="P14" si="103">K14/100</f>
        <v>1.6399999999999998E-2</v>
      </c>
      <c r="Q14" s="2628">
        <f t="shared" ref="Q14" si="104">L14/100</f>
        <v>2.0099999999999996E-2</v>
      </c>
      <c r="R14" s="2629"/>
      <c r="S14" s="2635">
        <f>B14/B15-1</f>
        <v>1.6999999999999904E-2</v>
      </c>
      <c r="T14" s="2636">
        <f>C14/C15-1</f>
        <v>1.9200000000000106E-2</v>
      </c>
      <c r="U14" s="2636">
        <f>E14/E15-1</f>
        <v>1.639999999999997E-2</v>
      </c>
      <c r="V14" s="2636">
        <f>F14/F15-1</f>
        <v>2.0100000000000007E-2</v>
      </c>
      <c r="W14" s="2626"/>
      <c r="X14" s="2717">
        <f>ROUND(SUMPRODUCT(PRODUCT(1+N14:N$29)),4)</f>
        <v>1.4517</v>
      </c>
      <c r="Y14" s="2717">
        <f>ROUND(SUMPRODUCT(PRODUCT(1+O14:O$29)),4)</f>
        <v>1.2928999999999999</v>
      </c>
      <c r="Z14" s="2717">
        <f t="shared" ref="Z14" si="105">Y14</f>
        <v>1.2928999999999999</v>
      </c>
      <c r="AA14" s="2717">
        <f>ROUND(SUMPRODUCT(PRODUCT(1+P14:P$29)),4)</f>
        <v>1.5068999999999999</v>
      </c>
      <c r="AB14" s="2717">
        <f>ROUND(SUMPRODUCT(PRODUCT(1+Q14:Q$29)),4)</f>
        <v>1.2557</v>
      </c>
      <c r="AC14" s="2626"/>
      <c r="AD14" s="2637">
        <f>ROUND(AVERAGE(I14:I$30)/100,4)</f>
        <v>2.4E-2</v>
      </c>
      <c r="AE14" s="2637">
        <f>ROUND(AVERAGE(J14:J$30)/100,4)</f>
        <v>1.66E-2</v>
      </c>
      <c r="AF14" s="2637">
        <f t="shared" ref="AF14" si="106">AE14</f>
        <v>1.66E-2</v>
      </c>
      <c r="AG14" s="2637">
        <f>ROUND(AVERAGE(K14:K$30)/100,4)</f>
        <v>2.6499999999999999E-2</v>
      </c>
      <c r="AH14" s="2637">
        <f>ROUND(AVERAGE(L14:L$30)/100,4)</f>
        <v>1.43E-2</v>
      </c>
    </row>
    <row r="15" spans="1:34">
      <c r="A15" s="2619" t="s">
        <v>2962</v>
      </c>
      <c r="B15" s="3091">
        <v>439</v>
      </c>
      <c r="C15" s="3091">
        <v>327</v>
      </c>
      <c r="D15" s="3091">
        <f t="shared" si="98"/>
        <v>327</v>
      </c>
      <c r="E15" s="3091">
        <v>627</v>
      </c>
      <c r="F15" s="3092">
        <v>283</v>
      </c>
      <c r="G15" s="3449">
        <v>2017</v>
      </c>
      <c r="H15" s="2620">
        <v>4</v>
      </c>
      <c r="I15" s="2620">
        <v>1.71</v>
      </c>
      <c r="J15" s="2620">
        <v>1.78</v>
      </c>
      <c r="K15" s="2620">
        <v>1.71</v>
      </c>
      <c r="L15" s="2621">
        <v>1.43</v>
      </c>
      <c r="N15" s="2640">
        <f t="shared" si="101"/>
        <v>1.7100000000000001E-2</v>
      </c>
      <c r="O15" s="2641">
        <f t="shared" ref="O15" si="107">J15/100</f>
        <v>1.78E-2</v>
      </c>
      <c r="P15" s="2641">
        <f t="shared" ref="P15" si="108">K15/100</f>
        <v>1.7100000000000001E-2</v>
      </c>
      <c r="Q15" s="2641">
        <f t="shared" ref="Q15" si="109">L15/100</f>
        <v>1.43E-2</v>
      </c>
      <c r="R15" s="2629"/>
      <c r="S15" s="2630"/>
      <c r="T15" s="2631"/>
      <c r="U15" s="2631"/>
      <c r="V15" s="2631"/>
      <c r="X15" s="2717">
        <f>ROUND(SUMPRODUCT(PRODUCT(1+N15:N$29)),4)</f>
        <v>1.4274</v>
      </c>
      <c r="Y15" s="2717">
        <f>ROUND(SUMPRODUCT(PRODUCT(1+O15:O$29)),4)</f>
        <v>1.2685</v>
      </c>
      <c r="Z15" s="2717">
        <f t="shared" si="0"/>
        <v>1.2685</v>
      </c>
      <c r="AA15" s="2717">
        <f>ROUND(SUMPRODUCT(PRODUCT(1+P15:P$29)),4)</f>
        <v>1.4825999999999999</v>
      </c>
      <c r="AB15" s="2717">
        <f>ROUND(SUMPRODUCT(PRODUCT(1+Q15:Q$29)),4)</f>
        <v>1.2309000000000001</v>
      </c>
      <c r="AD15" s="2637">
        <f>ROUND(AVERAGE(I15:I$30)/100,4)</f>
        <v>2.4500000000000001E-2</v>
      </c>
      <c r="AE15" s="2637">
        <f>ROUND(AVERAGE(J15:J$30)/100,4)</f>
        <v>1.6500000000000001E-2</v>
      </c>
      <c r="AF15" s="2637">
        <f t="shared" si="1"/>
        <v>1.6500000000000001E-2</v>
      </c>
      <c r="AG15" s="2637">
        <f>ROUND(AVERAGE(K15:K$30)/100,4)</f>
        <v>2.7099999999999999E-2</v>
      </c>
      <c r="AH15" s="2637">
        <f>ROUND(AVERAGE(L15:L$30)/100,4)</f>
        <v>1.3899999999999999E-2</v>
      </c>
    </row>
    <row r="16" spans="1:34" s="2724" customFormat="1" ht="14.4" customHeight="1">
      <c r="A16" s="2619" t="s">
        <v>2966</v>
      </c>
      <c r="B16" s="2632">
        <f t="shared" ref="B16:C18" si="110">B17*(1+N16)</f>
        <v>431.80730811680002</v>
      </c>
      <c r="C16" s="2632">
        <f t="shared" si="110"/>
        <v>320.57880516480003</v>
      </c>
      <c r="D16" s="2632">
        <f t="shared" si="98"/>
        <v>320.57880516480003</v>
      </c>
      <c r="E16" s="2632">
        <f t="shared" ref="E16:F18" si="111">E17*(1+P16)</f>
        <v>615.96110553196797</v>
      </c>
      <c r="F16" s="2632">
        <f t="shared" si="111"/>
        <v>279.46777300108801</v>
      </c>
      <c r="G16" s="3450"/>
      <c r="H16" s="2622">
        <v>3</v>
      </c>
      <c r="I16" s="2622">
        <v>2.98</v>
      </c>
      <c r="J16" s="2622">
        <v>2.11</v>
      </c>
      <c r="K16" s="2622">
        <v>3.24</v>
      </c>
      <c r="L16" s="2633">
        <v>1.72</v>
      </c>
      <c r="M16" s="2626"/>
      <c r="N16" s="2627">
        <f t="shared" si="101"/>
        <v>2.98E-2</v>
      </c>
      <c r="O16" s="2645">
        <f t="shared" ref="O16:O17" si="112">J16/100</f>
        <v>2.1099999999999997E-2</v>
      </c>
      <c r="P16" s="2645">
        <f t="shared" ref="P16:P17" si="113">K16/100</f>
        <v>3.2400000000000005E-2</v>
      </c>
      <c r="Q16" s="2645">
        <f t="shared" ref="Q16:Q17" si="114">L16/100</f>
        <v>1.72E-2</v>
      </c>
      <c r="R16" s="2629"/>
      <c r="S16" s="2627"/>
      <c r="T16" s="2628"/>
      <c r="U16" s="2628"/>
      <c r="V16" s="2628"/>
      <c r="W16" s="2626"/>
      <c r="X16" s="2717">
        <f>ROUND(SUMPRODUCT(PRODUCT(1+N16:N$29)),4)</f>
        <v>1.4034</v>
      </c>
      <c r="Y16" s="2717">
        <f>ROUND(SUMPRODUCT(PRODUCT(1+O16:O$29)),4)</f>
        <v>1.2463</v>
      </c>
      <c r="Z16" s="2717">
        <f t="shared" si="0"/>
        <v>1.2463</v>
      </c>
      <c r="AA16" s="2717">
        <f>ROUND(SUMPRODUCT(PRODUCT(1+P16:P$29)),4)</f>
        <v>1.4577</v>
      </c>
      <c r="AB16" s="2717">
        <f>ROUND(SUMPRODUCT(PRODUCT(1+Q16:Q$29)),4)</f>
        <v>1.2136</v>
      </c>
      <c r="AC16" s="2626"/>
      <c r="AD16" s="2637">
        <f>ROUND(AVERAGE(I16:I$30)/100,4)</f>
        <v>2.4899999999999999E-2</v>
      </c>
      <c r="AE16" s="2637">
        <f>ROUND(AVERAGE(J16:J$30)/100,4)</f>
        <v>1.6400000000000001E-2</v>
      </c>
      <c r="AF16" s="2637">
        <f t="shared" si="1"/>
        <v>1.6400000000000001E-2</v>
      </c>
      <c r="AG16" s="2637">
        <f>ROUND(AVERAGE(K16:K$30)/100,4)</f>
        <v>2.7799999999999998E-2</v>
      </c>
      <c r="AH16" s="2637">
        <f>ROUND(AVERAGE(L16:L$30)/100,4)</f>
        <v>1.3899999999999999E-2</v>
      </c>
    </row>
    <row r="17" spans="1:34" s="2617" customFormat="1" ht="14.4" customHeight="1">
      <c r="A17" s="2619" t="s">
        <v>2575</v>
      </c>
      <c r="B17" s="2632">
        <f t="shared" si="110"/>
        <v>419.31181600000002</v>
      </c>
      <c r="C17" s="2632">
        <f t="shared" si="110"/>
        <v>313.95436800000004</v>
      </c>
      <c r="D17" s="2632">
        <f t="shared" si="98"/>
        <v>313.95436800000004</v>
      </c>
      <c r="E17" s="2632">
        <f t="shared" si="111"/>
        <v>596.63028431999999</v>
      </c>
      <c r="F17" s="2632">
        <f t="shared" si="111"/>
        <v>274.74220703999998</v>
      </c>
      <c r="G17" s="3450"/>
      <c r="H17" s="2623">
        <v>2</v>
      </c>
      <c r="I17" s="2623">
        <v>3.4</v>
      </c>
      <c r="J17" s="2623">
        <v>2</v>
      </c>
      <c r="K17" s="2623">
        <v>3.82</v>
      </c>
      <c r="L17" s="2634">
        <v>1.68</v>
      </c>
      <c r="N17" s="2627">
        <f t="shared" si="101"/>
        <v>3.4000000000000002E-2</v>
      </c>
      <c r="O17" s="2645">
        <f t="shared" si="112"/>
        <v>0.02</v>
      </c>
      <c r="P17" s="2645">
        <f t="shared" si="113"/>
        <v>3.8199999999999998E-2</v>
      </c>
      <c r="Q17" s="2645">
        <f t="shared" si="114"/>
        <v>1.6799999999999999E-2</v>
      </c>
      <c r="R17" s="2618"/>
      <c r="S17" s="2627"/>
      <c r="T17" s="2628"/>
      <c r="U17" s="2628"/>
      <c r="V17" s="2628"/>
      <c r="X17" s="2717">
        <f>ROUND(SUMPRODUCT(PRODUCT(1+N17:N$29)),4)</f>
        <v>1.3628</v>
      </c>
      <c r="Y17" s="2717">
        <f>ROUND(SUMPRODUCT(PRODUCT(1+O17:O$29)),4)</f>
        <v>1.2205999999999999</v>
      </c>
      <c r="Z17" s="2717">
        <f t="shared" si="0"/>
        <v>1.2205999999999999</v>
      </c>
      <c r="AA17" s="2717">
        <f>ROUND(SUMPRODUCT(PRODUCT(1+P17:P$29)),4)</f>
        <v>1.4118999999999999</v>
      </c>
      <c r="AB17" s="2717">
        <f>ROUND(SUMPRODUCT(PRODUCT(1+Q17:Q$29)),4)</f>
        <v>1.1930000000000001</v>
      </c>
      <c r="AD17" s="2637">
        <f>ROUND(AVERAGE(I17:I$30)/100,4)</f>
        <v>2.46E-2</v>
      </c>
      <c r="AE17" s="2637">
        <f>ROUND(AVERAGE(J17:J$30)/100,4)</f>
        <v>1.6E-2</v>
      </c>
      <c r="AF17" s="2637">
        <f t="shared" si="1"/>
        <v>1.6E-2</v>
      </c>
      <c r="AG17" s="2637">
        <f>ROUND(AVERAGE(K17:K$30)/100,4)</f>
        <v>2.75E-2</v>
      </c>
      <c r="AH17" s="2637">
        <f>ROUND(AVERAGE(L17:L$30)/100,4)</f>
        <v>1.37E-2</v>
      </c>
    </row>
    <row r="18" spans="1:34" s="2724" customFormat="1" ht="15" customHeight="1" thickBot="1">
      <c r="A18" s="2619" t="s">
        <v>2576</v>
      </c>
      <c r="B18" s="2632">
        <f t="shared" si="110"/>
        <v>405.524</v>
      </c>
      <c r="C18" s="2632">
        <f t="shared" si="110"/>
        <v>307.79840000000002</v>
      </c>
      <c r="D18" s="2632">
        <f t="shared" si="98"/>
        <v>307.79840000000002</v>
      </c>
      <c r="E18" s="2632">
        <f t="shared" si="111"/>
        <v>574.67759999999998</v>
      </c>
      <c r="F18" s="2632">
        <f t="shared" si="111"/>
        <v>270.20280000000002</v>
      </c>
      <c r="G18" s="3451"/>
      <c r="H18" s="2622">
        <v>1</v>
      </c>
      <c r="I18" s="2622">
        <v>3.45</v>
      </c>
      <c r="J18" s="2622">
        <v>1.92</v>
      </c>
      <c r="K18" s="2622">
        <v>3.92</v>
      </c>
      <c r="L18" s="2633">
        <v>1.58</v>
      </c>
      <c r="M18" s="2626"/>
      <c r="N18" s="2635">
        <f t="shared" si="101"/>
        <v>3.4500000000000003E-2</v>
      </c>
      <c r="O18" s="2636">
        <f t="shared" ref="O18" si="115">J18/100</f>
        <v>1.9199999999999998E-2</v>
      </c>
      <c r="P18" s="2636">
        <f t="shared" ref="P18" si="116">K18/100</f>
        <v>3.9199999999999999E-2</v>
      </c>
      <c r="Q18" s="2636">
        <f t="shared" ref="Q18" si="117">L18/100</f>
        <v>1.5800000000000002E-2</v>
      </c>
      <c r="R18" s="2629"/>
      <c r="S18" s="2635">
        <f>B18/B19-1</f>
        <v>3.4499999999999975E-2</v>
      </c>
      <c r="T18" s="2636">
        <f>C18/C19-1</f>
        <v>1.9200000000000106E-2</v>
      </c>
      <c r="U18" s="2636">
        <f>E18/E19-1</f>
        <v>3.9199999999999902E-2</v>
      </c>
      <c r="V18" s="2636">
        <f>F18/F19-1</f>
        <v>1.5800000000000036E-2</v>
      </c>
      <c r="W18" s="2626"/>
      <c r="X18" s="2717">
        <f>ROUND(SUMPRODUCT(PRODUCT(1+N18:N$29)),4)</f>
        <v>1.3180000000000001</v>
      </c>
      <c r="Y18" s="2717">
        <f>ROUND(SUMPRODUCT(PRODUCT(1+O18:O$29)),4)</f>
        <v>1.1966000000000001</v>
      </c>
      <c r="Z18" s="2717">
        <f t="shared" si="0"/>
        <v>1.1966000000000001</v>
      </c>
      <c r="AA18" s="2717">
        <f>ROUND(SUMPRODUCT(PRODUCT(1+P18:P$29)),4)</f>
        <v>1.36</v>
      </c>
      <c r="AB18" s="2717">
        <f>ROUND(SUMPRODUCT(PRODUCT(1+Q18:Q$29)),4)</f>
        <v>1.1733</v>
      </c>
      <c r="AC18" s="2626"/>
      <c r="AD18" s="2637">
        <f>ROUND(AVERAGE(I18:I$30)/100,4)</f>
        <v>2.3900000000000001E-2</v>
      </c>
      <c r="AE18" s="2637">
        <f>ROUND(AVERAGE(J18:J$30)/100,4)</f>
        <v>1.5699999999999999E-2</v>
      </c>
      <c r="AF18" s="2637">
        <f t="shared" si="1"/>
        <v>1.5699999999999999E-2</v>
      </c>
      <c r="AG18" s="2637">
        <f>ROUND(AVERAGE(K18:K$30)/100,4)</f>
        <v>2.6599999999999999E-2</v>
      </c>
      <c r="AH18" s="2637">
        <f>ROUND(AVERAGE(L18:L$30)/100,4)</f>
        <v>1.34E-2</v>
      </c>
    </row>
    <row r="19" spans="1:34">
      <c r="A19" s="2619" t="s">
        <v>968</v>
      </c>
      <c r="B19" s="2624">
        <v>392</v>
      </c>
      <c r="C19" s="2624">
        <v>302</v>
      </c>
      <c r="D19" s="2624">
        <f t="shared" si="98"/>
        <v>302</v>
      </c>
      <c r="E19" s="2624">
        <v>553</v>
      </c>
      <c r="F19" s="2625">
        <v>266</v>
      </c>
      <c r="G19" s="3449">
        <v>2016</v>
      </c>
      <c r="H19" s="2620">
        <v>4</v>
      </c>
      <c r="I19" s="2620">
        <v>4.5599999999999996</v>
      </c>
      <c r="J19" s="2620">
        <v>2.15</v>
      </c>
      <c r="K19" s="2620">
        <v>5.32</v>
      </c>
      <c r="L19" s="2621">
        <v>1.57</v>
      </c>
      <c r="N19" s="2627">
        <f t="shared" si="101"/>
        <v>4.5599999999999995E-2</v>
      </c>
      <c r="O19" s="2628">
        <f t="shared" ref="O19:Q34" si="118">J19/100</f>
        <v>2.1499999999999998E-2</v>
      </c>
      <c r="P19" s="2628">
        <f t="shared" si="118"/>
        <v>5.3200000000000004E-2</v>
      </c>
      <c r="Q19" s="2628">
        <f t="shared" si="118"/>
        <v>1.5700000000000002E-2</v>
      </c>
      <c r="R19" s="2629"/>
      <c r="S19" s="2630"/>
      <c r="T19" s="2631"/>
      <c r="U19" s="2631"/>
      <c r="V19" s="2631"/>
      <c r="X19" s="2717">
        <f>ROUND(SUMPRODUCT(PRODUCT(1+N19:N$29)),4)</f>
        <v>1.274</v>
      </c>
      <c r="Y19" s="2717">
        <f>ROUND(SUMPRODUCT(PRODUCT(1+O19:O$29)),4)</f>
        <v>1.1740999999999999</v>
      </c>
      <c r="Z19" s="2717">
        <f t="shared" si="0"/>
        <v>1.1740999999999999</v>
      </c>
      <c r="AA19" s="2717">
        <f>ROUND(SUMPRODUCT(PRODUCT(1+P19:P$29)),4)</f>
        <v>1.3087</v>
      </c>
      <c r="AB19" s="2717">
        <f>ROUND(SUMPRODUCT(PRODUCT(1+Q19:Q$29)),4)</f>
        <v>1.1551</v>
      </c>
      <c r="AD19" s="2637">
        <f>ROUND(AVERAGE(I19:I$30)/100,4)</f>
        <v>2.3E-2</v>
      </c>
      <c r="AE19" s="2637">
        <f>ROUND(AVERAGE(J19:J$30)/100,4)</f>
        <v>1.55E-2</v>
      </c>
      <c r="AF19" s="2637">
        <f t="shared" si="1"/>
        <v>1.55E-2</v>
      </c>
      <c r="AG19" s="2637">
        <f>ROUND(AVERAGE(K19:K$30)/100,4)</f>
        <v>2.5600000000000001E-2</v>
      </c>
      <c r="AH19" s="2637">
        <f>ROUND(AVERAGE(L19:L$30)/100,4)</f>
        <v>1.32E-2</v>
      </c>
    </row>
    <row r="20" spans="1:34">
      <c r="A20" s="2619" t="s">
        <v>967</v>
      </c>
      <c r="B20" s="2632">
        <f t="shared" ref="B20:C22" si="119">B19/(1+N19)</f>
        <v>374.90436113236416</v>
      </c>
      <c r="C20" s="2632">
        <f t="shared" si="119"/>
        <v>295.64366128242779</v>
      </c>
      <c r="D20" s="2632">
        <f t="shared" ref="D20:D79" si="120">C20</f>
        <v>295.64366128242779</v>
      </c>
      <c r="E20" s="2632">
        <f t="shared" ref="E20:F22" si="121">E19/(1+P19)</f>
        <v>525.06646410938095</v>
      </c>
      <c r="F20" s="2632">
        <f t="shared" si="121"/>
        <v>261.88835286009646</v>
      </c>
      <c r="G20" s="3450"/>
      <c r="H20" s="2622">
        <v>3</v>
      </c>
      <c r="I20" s="2622">
        <v>4.12</v>
      </c>
      <c r="J20" s="2622">
        <v>2</v>
      </c>
      <c r="K20" s="2622">
        <v>4.79</v>
      </c>
      <c r="L20" s="2633">
        <v>1.97</v>
      </c>
      <c r="N20" s="2627">
        <f t="shared" ref="N20:Q54" si="122">I20/100</f>
        <v>4.1200000000000001E-2</v>
      </c>
      <c r="O20" s="2628">
        <f t="shared" si="118"/>
        <v>0.02</v>
      </c>
      <c r="P20" s="2628">
        <f t="shared" si="118"/>
        <v>4.7899999999999998E-2</v>
      </c>
      <c r="Q20" s="2628">
        <f t="shared" si="118"/>
        <v>1.9699999999999999E-2</v>
      </c>
      <c r="R20" s="2629"/>
      <c r="S20" s="2627"/>
      <c r="T20" s="2628"/>
      <c r="U20" s="2628"/>
      <c r="V20" s="2628"/>
      <c r="X20" s="2717">
        <f>ROUND(SUMPRODUCT(PRODUCT(1+N20:N$29)),4)</f>
        <v>1.2184999999999999</v>
      </c>
      <c r="Y20" s="2717">
        <f>ROUND(SUMPRODUCT(PRODUCT(1+O20:O$29)),4)</f>
        <v>1.1494</v>
      </c>
      <c r="Z20" s="2717">
        <f t="shared" si="0"/>
        <v>1.1494</v>
      </c>
      <c r="AA20" s="2717">
        <f>ROUND(SUMPRODUCT(PRODUCT(1+P20:P$29)),4)</f>
        <v>1.2425999999999999</v>
      </c>
      <c r="AB20" s="2717">
        <f>ROUND(SUMPRODUCT(PRODUCT(1+Q20:Q$29)),4)</f>
        <v>1.1372</v>
      </c>
      <c r="AD20" s="2637">
        <f>ROUND(AVERAGE(I20:I$30)/100,4)</f>
        <v>2.0899999999999998E-2</v>
      </c>
      <c r="AE20" s="2637">
        <f>ROUND(AVERAGE(J20:J$30)/100,4)</f>
        <v>1.49E-2</v>
      </c>
      <c r="AF20" s="2637">
        <f t="shared" si="1"/>
        <v>1.49E-2</v>
      </c>
      <c r="AG20" s="2637">
        <f>ROUND(AVERAGE(K20:K$30)/100,4)</f>
        <v>2.3099999999999999E-2</v>
      </c>
      <c r="AH20" s="2637">
        <f>ROUND(AVERAGE(L20:L$30)/100,4)</f>
        <v>1.2999999999999999E-2</v>
      </c>
    </row>
    <row r="21" spans="1:34">
      <c r="A21" s="2619" t="s">
        <v>957</v>
      </c>
      <c r="B21" s="2632">
        <f t="shared" si="119"/>
        <v>360.06949782209392</v>
      </c>
      <c r="C21" s="2632">
        <f t="shared" si="119"/>
        <v>289.84672674747821</v>
      </c>
      <c r="D21" s="2632">
        <f t="shared" si="120"/>
        <v>289.84672674747821</v>
      </c>
      <c r="E21" s="2632">
        <f t="shared" si="121"/>
        <v>501.06543001181495</v>
      </c>
      <c r="F21" s="2632">
        <f t="shared" si="121"/>
        <v>256.82882500744967</v>
      </c>
      <c r="G21" s="3450"/>
      <c r="H21" s="2623">
        <v>2</v>
      </c>
      <c r="I21" s="2623">
        <v>3.85</v>
      </c>
      <c r="J21" s="2623">
        <v>1.95</v>
      </c>
      <c r="K21" s="2623">
        <v>4.4800000000000004</v>
      </c>
      <c r="L21" s="2634">
        <v>1.41</v>
      </c>
      <c r="N21" s="2627">
        <f t="shared" si="122"/>
        <v>3.85E-2</v>
      </c>
      <c r="O21" s="2628">
        <f t="shared" si="118"/>
        <v>1.95E-2</v>
      </c>
      <c r="P21" s="2628">
        <f t="shared" si="118"/>
        <v>4.4800000000000006E-2</v>
      </c>
      <c r="Q21" s="2628">
        <f t="shared" si="118"/>
        <v>1.41E-2</v>
      </c>
      <c r="R21" s="2629"/>
      <c r="S21" s="2627"/>
      <c r="T21" s="2628"/>
      <c r="U21" s="2628"/>
      <c r="V21" s="2628"/>
      <c r="X21" s="2717">
        <f>ROUND(SUMPRODUCT(PRODUCT(1+N21:N$29)),4)</f>
        <v>1.1702999999999999</v>
      </c>
      <c r="Y21" s="2717">
        <f>ROUND(SUMPRODUCT(PRODUCT(1+O21:O$29)),4)</f>
        <v>1.1269</v>
      </c>
      <c r="Z21" s="2717">
        <f t="shared" si="0"/>
        <v>1.1269</v>
      </c>
      <c r="AA21" s="2717">
        <f>ROUND(SUMPRODUCT(PRODUCT(1+P21:P$29)),4)</f>
        <v>1.1858</v>
      </c>
      <c r="AB21" s="2717">
        <f>ROUND(SUMPRODUCT(PRODUCT(1+Q21:Q$29)),4)</f>
        <v>1.1152</v>
      </c>
      <c r="AD21" s="2637">
        <f>ROUND(AVERAGE(I21:I$30)/100,4)</f>
        <v>1.89E-2</v>
      </c>
      <c r="AE21" s="2637">
        <f>ROUND(AVERAGE(J21:J$30)/100,4)</f>
        <v>1.44E-2</v>
      </c>
      <c r="AF21" s="2637">
        <f t="shared" si="1"/>
        <v>1.44E-2</v>
      </c>
      <c r="AG21" s="2637">
        <f>ROUND(AVERAGE(K21:K$30)/100,4)</f>
        <v>2.06E-2</v>
      </c>
      <c r="AH21" s="2637">
        <f>ROUND(AVERAGE(L21:L$30)/100,4)</f>
        <v>1.23E-2</v>
      </c>
    </row>
    <row r="22" spans="1:34" ht="13.8" thickBot="1">
      <c r="A22" s="2619" t="s">
        <v>966</v>
      </c>
      <c r="B22" s="2632">
        <f t="shared" si="119"/>
        <v>346.720748986128</v>
      </c>
      <c r="C22" s="2632">
        <f t="shared" si="119"/>
        <v>284.30282172386285</v>
      </c>
      <c r="D22" s="2632">
        <f t="shared" si="120"/>
        <v>284.30282172386285</v>
      </c>
      <c r="E22" s="2632">
        <f t="shared" si="121"/>
        <v>479.58023546306947</v>
      </c>
      <c r="F22" s="2632">
        <f t="shared" si="121"/>
        <v>253.25788877571213</v>
      </c>
      <c r="G22" s="3453"/>
      <c r="H22" s="2622">
        <v>1</v>
      </c>
      <c r="I22" s="2622">
        <v>4.09</v>
      </c>
      <c r="J22" s="2622">
        <v>2.93</v>
      </c>
      <c r="K22" s="2622">
        <v>4.54</v>
      </c>
      <c r="L22" s="2633">
        <v>1.48</v>
      </c>
      <c r="N22" s="2627">
        <f t="shared" si="122"/>
        <v>4.0899999999999999E-2</v>
      </c>
      <c r="O22" s="2628">
        <f t="shared" si="118"/>
        <v>2.9300000000000003E-2</v>
      </c>
      <c r="P22" s="2628">
        <f t="shared" si="118"/>
        <v>4.5400000000000003E-2</v>
      </c>
      <c r="Q22" s="2628">
        <f t="shared" si="118"/>
        <v>1.4800000000000001E-2</v>
      </c>
      <c r="R22" s="2629"/>
      <c r="S22" s="2635">
        <f>B22/B23-1</f>
        <v>4.1203450408792808E-2</v>
      </c>
      <c r="T22" s="2636">
        <f>C22/C23-1</f>
        <v>2.6363977342465095E-2</v>
      </c>
      <c r="U22" s="2636">
        <f>E22/E23-1</f>
        <v>4.4837114298626357E-2</v>
      </c>
      <c r="V22" s="2636">
        <f>F22/F23-1</f>
        <v>1.7099954922538574E-2</v>
      </c>
      <c r="X22" s="2717">
        <f>ROUND(SUMPRODUCT(PRODUCT(1+N22:N$29)),4)</f>
        <v>1.1269</v>
      </c>
      <c r="Y22" s="2717">
        <f>ROUND(SUMPRODUCT(PRODUCT(1+O22:O$29)),4)</f>
        <v>1.1052999999999999</v>
      </c>
      <c r="Z22" s="2717">
        <f t="shared" si="0"/>
        <v>1.1052999999999999</v>
      </c>
      <c r="AA22" s="2717">
        <f>ROUND(SUMPRODUCT(PRODUCT(1+P22:P$29)),4)</f>
        <v>1.1349</v>
      </c>
      <c r="AB22" s="2717">
        <f>ROUND(SUMPRODUCT(PRODUCT(1+Q22:Q$29)),4)</f>
        <v>1.0996999999999999</v>
      </c>
      <c r="AD22" s="2637">
        <f>ROUND(AVERAGE(I22:I$30)/100,4)</f>
        <v>1.67E-2</v>
      </c>
      <c r="AE22" s="2637">
        <f>ROUND(AVERAGE(J22:J$30)/100,4)</f>
        <v>1.38E-2</v>
      </c>
      <c r="AF22" s="2637">
        <f t="shared" si="1"/>
        <v>1.38E-2</v>
      </c>
      <c r="AG22" s="2637">
        <f>ROUND(AVERAGE(K22:K$30)/100,4)</f>
        <v>1.7899999999999999E-2</v>
      </c>
      <c r="AH22" s="2637">
        <f>ROUND(AVERAGE(L22:L$30)/100,4)</f>
        <v>1.21E-2</v>
      </c>
    </row>
    <row r="23" spans="1:34" ht="13.8" thickBot="1">
      <c r="A23" s="2619" t="s">
        <v>965</v>
      </c>
      <c r="B23" s="2624">
        <v>333</v>
      </c>
      <c r="C23" s="2624">
        <v>277</v>
      </c>
      <c r="D23" s="2624">
        <f t="shared" si="120"/>
        <v>277</v>
      </c>
      <c r="E23" s="2624">
        <v>459</v>
      </c>
      <c r="F23" s="2625">
        <v>249</v>
      </c>
      <c r="G23" s="3452">
        <v>2015</v>
      </c>
      <c r="H23" s="2638">
        <v>4</v>
      </c>
      <c r="I23" s="2638">
        <v>1.63</v>
      </c>
      <c r="J23" s="2638">
        <v>1.1100000000000001</v>
      </c>
      <c r="K23" s="2638">
        <v>1.77</v>
      </c>
      <c r="L23" s="2639">
        <v>1.89</v>
      </c>
      <c r="N23" s="2640">
        <f t="shared" si="122"/>
        <v>1.6299999999999999E-2</v>
      </c>
      <c r="O23" s="2641">
        <f t="shared" si="118"/>
        <v>1.11E-2</v>
      </c>
      <c r="P23" s="2641">
        <f t="shared" si="118"/>
        <v>1.77E-2</v>
      </c>
      <c r="Q23" s="2641">
        <f t="shared" si="118"/>
        <v>1.89E-2</v>
      </c>
      <c r="R23" s="2629"/>
      <c r="X23" s="2717">
        <f>ROUND(SUMPRODUCT(PRODUCT(1+N23:N$29)),4)</f>
        <v>1.0826</v>
      </c>
      <c r="Y23" s="2717">
        <f>ROUND(SUMPRODUCT(PRODUCT(1+O23:O$29)),4)</f>
        <v>1.0738000000000001</v>
      </c>
      <c r="Z23" s="2717">
        <f t="shared" si="0"/>
        <v>1.0738000000000001</v>
      </c>
      <c r="AA23" s="2717">
        <f>ROUND(SUMPRODUCT(PRODUCT(1+P23:P$29)),4)</f>
        <v>1.0855999999999999</v>
      </c>
      <c r="AB23" s="2717">
        <f>ROUND(SUMPRODUCT(PRODUCT(1+Q23:Q$29)),4)</f>
        <v>1.0837000000000001</v>
      </c>
      <c r="AD23" s="2637">
        <f>ROUND(AVERAGE(I23:I$30)/100,4)</f>
        <v>1.37E-2</v>
      </c>
      <c r="AE23" s="2637">
        <f>ROUND(AVERAGE(J23:J$30)/100,4)</f>
        <v>1.1900000000000001E-2</v>
      </c>
      <c r="AF23" s="2637">
        <f t="shared" si="1"/>
        <v>1.1900000000000001E-2</v>
      </c>
      <c r="AG23" s="2637">
        <f>ROUND(AVERAGE(K23:K$30)/100,4)</f>
        <v>1.4500000000000001E-2</v>
      </c>
      <c r="AH23" s="2637">
        <f>ROUND(AVERAGE(L23:L$30)/100,4)</f>
        <v>1.18E-2</v>
      </c>
    </row>
    <row r="24" spans="1:34">
      <c r="A24" s="2619" t="s">
        <v>964</v>
      </c>
      <c r="B24" s="2632">
        <f t="shared" ref="B24:C26" si="123">B23/(1+N23)</f>
        <v>327.65915576109415</v>
      </c>
      <c r="C24" s="2632">
        <f t="shared" si="123"/>
        <v>273.95905449510434</v>
      </c>
      <c r="D24" s="2632">
        <f t="shared" si="120"/>
        <v>273.95905449510434</v>
      </c>
      <c r="E24" s="2632">
        <f t="shared" ref="E24:F26" si="124">E23/(1+P23)</f>
        <v>451.01699911565294</v>
      </c>
      <c r="F24" s="2632">
        <f t="shared" si="124"/>
        <v>244.38119540681129</v>
      </c>
      <c r="G24" s="3450"/>
      <c r="H24" s="2643">
        <v>3</v>
      </c>
      <c r="I24" s="2643">
        <v>1.65</v>
      </c>
      <c r="J24" s="2643">
        <v>0.92</v>
      </c>
      <c r="K24" s="2643">
        <v>1.88</v>
      </c>
      <c r="L24" s="2644">
        <v>1.26</v>
      </c>
      <c r="N24" s="2627">
        <f t="shared" si="122"/>
        <v>1.6500000000000001E-2</v>
      </c>
      <c r="O24" s="2645">
        <f t="shared" si="118"/>
        <v>9.1999999999999998E-3</v>
      </c>
      <c r="P24" s="2645">
        <f t="shared" si="118"/>
        <v>1.8799999999999997E-2</v>
      </c>
      <c r="Q24" s="2645">
        <f t="shared" si="118"/>
        <v>1.26E-2</v>
      </c>
      <c r="R24" s="2629"/>
      <c r="S24" s="2627"/>
      <c r="T24" s="2628"/>
      <c r="U24" s="2628"/>
      <c r="V24" s="2628"/>
      <c r="X24" s="2717">
        <f>ROUND(SUMPRODUCT(PRODUCT(1+N24:N$29)),4)</f>
        <v>1.0651999999999999</v>
      </c>
      <c r="Y24" s="2717">
        <f>ROUND(SUMPRODUCT(PRODUCT(1+O24:O$29)),4)</f>
        <v>1.0621</v>
      </c>
      <c r="Z24" s="2717">
        <f t="shared" si="0"/>
        <v>1.0621</v>
      </c>
      <c r="AA24" s="2717">
        <f>ROUND(SUMPRODUCT(PRODUCT(1+P24:P$29)),4)</f>
        <v>1.0668</v>
      </c>
      <c r="AB24" s="2717">
        <f>ROUND(SUMPRODUCT(PRODUCT(1+Q24:Q$29)),4)</f>
        <v>1.0636000000000001</v>
      </c>
      <c r="AD24" s="2637">
        <f>ROUND(AVERAGE(I24:I$30)/100,4)</f>
        <v>1.3299999999999999E-2</v>
      </c>
      <c r="AE24" s="2637">
        <f>ROUND(AVERAGE(J24:J$30)/100,4)</f>
        <v>1.2E-2</v>
      </c>
      <c r="AF24" s="2637">
        <f t="shared" si="1"/>
        <v>1.2E-2</v>
      </c>
      <c r="AG24" s="2637">
        <f>ROUND(AVERAGE(K24:K$30)/100,4)</f>
        <v>1.4E-2</v>
      </c>
      <c r="AH24" s="2637">
        <f>ROUND(AVERAGE(L24:L$30)/100,4)</f>
        <v>1.0800000000000001E-2</v>
      </c>
    </row>
    <row r="25" spans="1:34">
      <c r="A25" s="2619" t="s">
        <v>963</v>
      </c>
      <c r="B25" s="2632">
        <f t="shared" si="123"/>
        <v>322.34053690220776</v>
      </c>
      <c r="C25" s="2632">
        <f t="shared" si="123"/>
        <v>271.46160770422546</v>
      </c>
      <c r="D25" s="2632">
        <f t="shared" si="120"/>
        <v>271.46160770422546</v>
      </c>
      <c r="E25" s="2632">
        <f t="shared" si="124"/>
        <v>442.69434542172456</v>
      </c>
      <c r="F25" s="2632">
        <f t="shared" si="124"/>
        <v>241.34030753190925</v>
      </c>
      <c r="G25" s="3450"/>
      <c r="H25" s="2623">
        <v>2</v>
      </c>
      <c r="I25" s="2623">
        <v>0.77</v>
      </c>
      <c r="J25" s="2623">
        <v>0.69</v>
      </c>
      <c r="K25" s="2623">
        <v>0.8</v>
      </c>
      <c r="L25" s="2634">
        <v>0.88</v>
      </c>
      <c r="N25" s="2627">
        <f t="shared" si="122"/>
        <v>7.7000000000000002E-3</v>
      </c>
      <c r="O25" s="2645">
        <f t="shared" si="118"/>
        <v>6.8999999999999999E-3</v>
      </c>
      <c r="P25" s="2645">
        <f t="shared" si="118"/>
        <v>8.0000000000000002E-3</v>
      </c>
      <c r="Q25" s="2645">
        <f t="shared" si="118"/>
        <v>8.8000000000000005E-3</v>
      </c>
      <c r="R25" s="2629"/>
      <c r="S25" s="2627"/>
      <c r="T25" s="2628"/>
      <c r="U25" s="2628"/>
      <c r="V25" s="2628"/>
      <c r="X25" s="2717">
        <f>ROUND(SUMPRODUCT(PRODUCT(1+N25:N$29)),4)</f>
        <v>1.048</v>
      </c>
      <c r="Y25" s="2717">
        <f>ROUND(SUMPRODUCT(PRODUCT(1+O25:O$29)),4)</f>
        <v>1.0524</v>
      </c>
      <c r="Z25" s="2717">
        <f t="shared" si="0"/>
        <v>1.0524</v>
      </c>
      <c r="AA25" s="2717">
        <f>ROUND(SUMPRODUCT(PRODUCT(1+P25:P$29)),4)</f>
        <v>1.0470999999999999</v>
      </c>
      <c r="AB25" s="2717">
        <f>ROUND(SUMPRODUCT(PRODUCT(1+Q25:Q$29)),4)</f>
        <v>1.0504</v>
      </c>
      <c r="AD25" s="2637">
        <f>ROUND(AVERAGE(I25:I$30)/100,4)</f>
        <v>1.2800000000000001E-2</v>
      </c>
      <c r="AE25" s="2637">
        <f>ROUND(AVERAGE(J25:J$30)/100,4)</f>
        <v>1.2500000000000001E-2</v>
      </c>
      <c r="AF25" s="2637">
        <f t="shared" si="1"/>
        <v>1.2500000000000001E-2</v>
      </c>
      <c r="AG25" s="2637">
        <f>ROUND(AVERAGE(K25:K$30)/100,4)</f>
        <v>1.32E-2</v>
      </c>
      <c r="AH25" s="2637">
        <f>ROUND(AVERAGE(L25:L$30)/100,4)</f>
        <v>1.0500000000000001E-2</v>
      </c>
    </row>
    <row r="26" spans="1:34">
      <c r="A26" s="2619" t="s">
        <v>962</v>
      </c>
      <c r="B26" s="2632">
        <f t="shared" si="123"/>
        <v>319.87748030386797</v>
      </c>
      <c r="C26" s="2632">
        <f t="shared" si="123"/>
        <v>269.60135833173649</v>
      </c>
      <c r="D26" s="2632">
        <f t="shared" si="120"/>
        <v>269.60135833173649</v>
      </c>
      <c r="E26" s="2632">
        <f t="shared" si="124"/>
        <v>439.18089823583784</v>
      </c>
      <c r="F26" s="2632">
        <f t="shared" si="124"/>
        <v>239.23503918706311</v>
      </c>
      <c r="G26" s="3453"/>
      <c r="H26" s="2622">
        <v>1</v>
      </c>
      <c r="I26" s="2622">
        <v>0.51</v>
      </c>
      <c r="J26" s="2622">
        <v>0.54</v>
      </c>
      <c r="K26" s="2622">
        <v>0.48</v>
      </c>
      <c r="L26" s="2633">
        <v>0.93</v>
      </c>
      <c r="N26" s="2635">
        <f t="shared" si="122"/>
        <v>5.1000000000000004E-3</v>
      </c>
      <c r="O26" s="2636">
        <f t="shared" si="118"/>
        <v>5.4000000000000003E-3</v>
      </c>
      <c r="P26" s="2636">
        <f t="shared" si="118"/>
        <v>4.7999999999999996E-3</v>
      </c>
      <c r="Q26" s="2636">
        <f t="shared" si="118"/>
        <v>9.300000000000001E-3</v>
      </c>
      <c r="R26" s="2629"/>
      <c r="S26" s="2635">
        <f>B26/B27-1</f>
        <v>5.9040261127922822E-3</v>
      </c>
      <c r="T26" s="2636">
        <f>C26/C27-1</f>
        <v>5.9752176557332781E-3</v>
      </c>
      <c r="U26" s="2636">
        <f>E26/E27-1</f>
        <v>4.9906138119859556E-3</v>
      </c>
      <c r="V26" s="2636">
        <f>F26/F27-1</f>
        <v>9.4305450930933787E-3</v>
      </c>
      <c r="X26" s="2717">
        <f>ROUND(SUMPRODUCT(PRODUCT(1+N26:N$29)),4)</f>
        <v>1.0399</v>
      </c>
      <c r="Y26" s="2717">
        <f>ROUND(SUMPRODUCT(PRODUCT(1+O26:O$29)),4)</f>
        <v>1.0451999999999999</v>
      </c>
      <c r="Z26" s="2717">
        <f t="shared" si="0"/>
        <v>1.0451999999999999</v>
      </c>
      <c r="AA26" s="2717">
        <f>ROUND(SUMPRODUCT(PRODUCT(1+P26:P$29)),4)</f>
        <v>1.0387999999999999</v>
      </c>
      <c r="AB26" s="2717">
        <f>ROUND(SUMPRODUCT(PRODUCT(1+Q26:Q$29)),4)</f>
        <v>1.0411999999999999</v>
      </c>
      <c r="AD26" s="2637">
        <f>ROUND(AVERAGE(I26:I$30)/100,4)</f>
        <v>1.38E-2</v>
      </c>
      <c r="AE26" s="2637">
        <f>ROUND(AVERAGE(J26:J$30)/100,4)</f>
        <v>1.3599999999999999E-2</v>
      </c>
      <c r="AF26" s="2637">
        <f t="shared" si="1"/>
        <v>1.3599999999999999E-2</v>
      </c>
      <c r="AG26" s="2637">
        <f>ROUND(AVERAGE(K26:K$30)/100,4)</f>
        <v>1.4200000000000001E-2</v>
      </c>
      <c r="AH26" s="2637">
        <f>ROUND(AVERAGE(L26:L$30)/100,4)</f>
        <v>1.0800000000000001E-2</v>
      </c>
    </row>
    <row r="27" spans="1:34" ht="13.8" thickBot="1">
      <c r="A27" s="2619" t="s">
        <v>961</v>
      </c>
      <c r="B27" s="2646">
        <v>318</v>
      </c>
      <c r="C27" s="2646">
        <v>268</v>
      </c>
      <c r="D27" s="2646">
        <f t="shared" si="120"/>
        <v>268</v>
      </c>
      <c r="E27" s="2646">
        <v>437</v>
      </c>
      <c r="F27" s="2647">
        <v>237</v>
      </c>
      <c r="G27" s="3452">
        <v>2014</v>
      </c>
      <c r="H27" s="2638">
        <v>4</v>
      </c>
      <c r="I27" s="2638">
        <v>0.21</v>
      </c>
      <c r="J27" s="2638">
        <v>0.41</v>
      </c>
      <c r="K27" s="2638">
        <v>0.12</v>
      </c>
      <c r="L27" s="2639">
        <v>0.89</v>
      </c>
      <c r="N27" s="2627">
        <f t="shared" si="122"/>
        <v>2.0999999999999999E-3</v>
      </c>
      <c r="O27" s="2628">
        <f t="shared" si="118"/>
        <v>4.0999999999999995E-3</v>
      </c>
      <c r="P27" s="2628">
        <f t="shared" si="118"/>
        <v>1.1999999999999999E-3</v>
      </c>
      <c r="Q27" s="2628">
        <f t="shared" si="118"/>
        <v>8.8999999999999999E-3</v>
      </c>
      <c r="R27" s="2629"/>
      <c r="S27" s="2630"/>
      <c r="T27" s="2631"/>
      <c r="U27" s="2631"/>
      <c r="V27" s="2631"/>
      <c r="X27" s="2717">
        <f>ROUND(SUMPRODUCT(PRODUCT(1+N27:N$29)),4)</f>
        <v>1.0347</v>
      </c>
      <c r="Y27" s="2717">
        <f>ROUND(SUMPRODUCT(PRODUCT(1+O27:O$29)),4)</f>
        <v>1.0395000000000001</v>
      </c>
      <c r="Z27" s="2717">
        <f t="shared" si="0"/>
        <v>1.0395000000000001</v>
      </c>
      <c r="AA27" s="2717">
        <f>ROUND(SUMPRODUCT(PRODUCT(1+P27:P$29)),4)</f>
        <v>1.0338000000000001</v>
      </c>
      <c r="AB27" s="2717">
        <f>ROUND(SUMPRODUCT(PRODUCT(1+Q27:Q$29)),4)</f>
        <v>1.0316000000000001</v>
      </c>
      <c r="AD27" s="2637">
        <f>ROUND(AVERAGE(I27:I$30)/100,4)</f>
        <v>1.6E-2</v>
      </c>
      <c r="AE27" s="2637">
        <f>ROUND(AVERAGE(J27:J$30)/100,4)</f>
        <v>1.5599999999999999E-2</v>
      </c>
      <c r="AF27" s="2637">
        <f t="shared" si="1"/>
        <v>1.5599999999999999E-2</v>
      </c>
      <c r="AG27" s="2637">
        <f>ROUND(AVERAGE(K27:K$30)/100,4)</f>
        <v>1.66E-2</v>
      </c>
      <c r="AH27" s="2637">
        <f>ROUND(AVERAGE(L27:L$30)/100,4)</f>
        <v>1.12E-2</v>
      </c>
    </row>
    <row r="28" spans="1:34">
      <c r="A28" s="2619" t="s">
        <v>960</v>
      </c>
      <c r="B28" s="2632">
        <f t="shared" ref="B28:C30" si="125">B27/(1+N27)</f>
        <v>317.33359944117353</v>
      </c>
      <c r="C28" s="2632">
        <f t="shared" si="125"/>
        <v>266.90568668459315</v>
      </c>
      <c r="D28" s="2632">
        <f t="shared" si="120"/>
        <v>266.90568668459315</v>
      </c>
      <c r="E28" s="2632">
        <f t="shared" ref="E28:F30" si="126">E27/(1+P27)</f>
        <v>436.47622852576905</v>
      </c>
      <c r="F28" s="2632">
        <f t="shared" si="126"/>
        <v>234.90930716622066</v>
      </c>
      <c r="G28" s="3450"/>
      <c r="H28" s="2648">
        <v>3</v>
      </c>
      <c r="I28" s="2648">
        <v>0.83</v>
      </c>
      <c r="J28" s="2648">
        <v>1.47</v>
      </c>
      <c r="K28" s="2648">
        <v>0.65</v>
      </c>
      <c r="L28" s="2649">
        <v>0.72</v>
      </c>
      <c r="N28" s="2627">
        <f t="shared" si="122"/>
        <v>8.3000000000000001E-3</v>
      </c>
      <c r="O28" s="2628">
        <f t="shared" si="118"/>
        <v>1.47E-2</v>
      </c>
      <c r="P28" s="2628">
        <f t="shared" si="118"/>
        <v>6.5000000000000006E-3</v>
      </c>
      <c r="Q28" s="2628">
        <f t="shared" si="118"/>
        <v>7.1999999999999998E-3</v>
      </c>
      <c r="R28" s="2629"/>
      <c r="S28" s="2627"/>
      <c r="T28" s="2628"/>
      <c r="U28" s="2628"/>
      <c r="V28" s="2628"/>
      <c r="X28" s="2717">
        <f>ROUND(SUMPRODUCT(PRODUCT(1+N28:N$29)),4)</f>
        <v>1.0325</v>
      </c>
      <c r="Y28" s="2717">
        <f>ROUND(SUMPRODUCT(PRODUCT(1+O28:O$29)),4)</f>
        <v>1.0353000000000001</v>
      </c>
      <c r="Z28" s="2717">
        <f t="shared" ref="Z28:Z29" si="127">Y28</f>
        <v>1.0353000000000001</v>
      </c>
      <c r="AA28" s="2717">
        <f>ROUND(SUMPRODUCT(PRODUCT(1+P28:P$29)),4)</f>
        <v>1.0326</v>
      </c>
      <c r="AB28" s="2717">
        <f>ROUND(SUMPRODUCT(PRODUCT(1+Q28:Q$29)),4)</f>
        <v>1.0225</v>
      </c>
      <c r="AD28" s="2637">
        <f>ROUND(AVERAGE(I28:I$30)/100,4)</f>
        <v>2.07E-2</v>
      </c>
      <c r="AE28" s="2637">
        <f>ROUND(AVERAGE(J28:J$30)/100,4)</f>
        <v>1.95E-2</v>
      </c>
      <c r="AF28" s="2637">
        <f t="shared" si="1"/>
        <v>1.95E-2</v>
      </c>
      <c r="AG28" s="2637">
        <f>ROUND(AVERAGE(K28:K$30)/100,4)</f>
        <v>2.1700000000000001E-2</v>
      </c>
      <c r="AH28" s="2637">
        <f>ROUND(AVERAGE(L28:L$30)/100,4)</f>
        <v>1.2E-2</v>
      </c>
    </row>
    <row r="29" spans="1:34" ht="13.8" thickBot="1">
      <c r="A29" s="2619" t="s">
        <v>959</v>
      </c>
      <c r="B29" s="2632">
        <f t="shared" si="125"/>
        <v>314.72141172386546</v>
      </c>
      <c r="C29" s="2632">
        <f t="shared" si="125"/>
        <v>263.03901319069001</v>
      </c>
      <c r="D29" s="2632">
        <f t="shared" si="120"/>
        <v>263.03901319069001</v>
      </c>
      <c r="E29" s="2632">
        <f t="shared" si="126"/>
        <v>433.65745506782821</v>
      </c>
      <c r="F29" s="2632">
        <f t="shared" si="126"/>
        <v>233.23005080045735</v>
      </c>
      <c r="G29" s="3450"/>
      <c r="H29" s="2638">
        <v>2</v>
      </c>
      <c r="I29" s="2638">
        <v>2.4</v>
      </c>
      <c r="J29" s="2638">
        <v>2.0299999999999998</v>
      </c>
      <c r="K29" s="2638">
        <v>2.59</v>
      </c>
      <c r="L29" s="2639">
        <v>1.52</v>
      </c>
      <c r="N29" s="2627">
        <f t="shared" si="122"/>
        <v>2.4E-2</v>
      </c>
      <c r="O29" s="2628">
        <f t="shared" si="118"/>
        <v>2.0299999999999999E-2</v>
      </c>
      <c r="P29" s="2628">
        <f t="shared" si="118"/>
        <v>2.5899999999999999E-2</v>
      </c>
      <c r="Q29" s="2628">
        <f t="shared" si="118"/>
        <v>1.52E-2</v>
      </c>
      <c r="R29" s="2629"/>
      <c r="S29" s="2627"/>
      <c r="T29" s="2628"/>
      <c r="U29" s="2628"/>
      <c r="V29" s="2628"/>
      <c r="X29" s="2717">
        <f>1+N29</f>
        <v>1.024</v>
      </c>
      <c r="Y29" s="2717">
        <f>1+O29</f>
        <v>1.0203</v>
      </c>
      <c r="Z29" s="2717">
        <f t="shared" si="127"/>
        <v>1.0203</v>
      </c>
      <c r="AA29" s="2717">
        <f>1+P29</f>
        <v>1.0259</v>
      </c>
      <c r="AB29" s="2717">
        <f>1+Q29</f>
        <v>1.0152000000000001</v>
      </c>
      <c r="AD29" s="2637">
        <f>ROUND(AVERAGE(I29:I$30)/100,4)</f>
        <v>2.69E-2</v>
      </c>
      <c r="AE29" s="2637">
        <f>ROUND(AVERAGE(J29:J$30)/100,4)</f>
        <v>2.1899999999999999E-2</v>
      </c>
      <c r="AF29" s="2637">
        <f t="shared" ref="AF29" si="128">AE29</f>
        <v>2.1899999999999999E-2</v>
      </c>
      <c r="AG29" s="2637">
        <f>ROUND(AVERAGE(K29:K$30)/100,4)</f>
        <v>2.9399999999999999E-2</v>
      </c>
      <c r="AH29" s="2637">
        <f>ROUND(AVERAGE(L29:L$30)/100,4)</f>
        <v>1.44E-2</v>
      </c>
    </row>
    <row r="30" spans="1:34" s="2654" customFormat="1" ht="13.8" thickBot="1">
      <c r="A30" s="2650" t="s">
        <v>958</v>
      </c>
      <c r="B30" s="2651">
        <f t="shared" si="125"/>
        <v>307.34512863658733</v>
      </c>
      <c r="C30" s="2651">
        <f t="shared" si="125"/>
        <v>257.80556031626975</v>
      </c>
      <c r="D30" s="2651">
        <f t="shared" si="120"/>
        <v>257.80556031626975</v>
      </c>
      <c r="E30" s="2651">
        <f t="shared" si="126"/>
        <v>422.70928459677179</v>
      </c>
      <c r="F30" s="2651">
        <f t="shared" si="126"/>
        <v>229.73803270336617</v>
      </c>
      <c r="G30" s="3453"/>
      <c r="H30" s="2652">
        <v>1</v>
      </c>
      <c r="I30" s="2652">
        <v>2.97</v>
      </c>
      <c r="J30" s="2652">
        <v>2.34</v>
      </c>
      <c r="K30" s="2652">
        <v>3.28</v>
      </c>
      <c r="L30" s="2653">
        <v>1.36</v>
      </c>
      <c r="N30" s="2655">
        <f t="shared" si="122"/>
        <v>2.9700000000000001E-2</v>
      </c>
      <c r="O30" s="2656">
        <f t="shared" si="118"/>
        <v>2.3399999999999997E-2</v>
      </c>
      <c r="P30" s="2656">
        <f t="shared" si="118"/>
        <v>3.2799999999999996E-2</v>
      </c>
      <c r="Q30" s="2656">
        <f t="shared" si="118"/>
        <v>1.3600000000000001E-2</v>
      </c>
      <c r="R30" s="2657"/>
      <c r="S30" s="2658">
        <f>B30/B31-1</f>
        <v>2.7910129219355539E-2</v>
      </c>
      <c r="T30" s="2659">
        <f>C30/C31-1</f>
        <v>2.3037937762975247E-2</v>
      </c>
      <c r="U30" s="2659">
        <f>E30/E31-1</f>
        <v>3.3519033243940788E-2</v>
      </c>
      <c r="V30" s="2659">
        <f>F30/F31-1</f>
        <v>1.2061818076502862E-2</v>
      </c>
      <c r="W30" s="2726" t="s">
        <v>2634</v>
      </c>
      <c r="X30" s="2728">
        <v>1</v>
      </c>
      <c r="Y30" s="2728">
        <v>1</v>
      </c>
      <c r="Z30" s="2728">
        <v>1</v>
      </c>
      <c r="AA30" s="2728">
        <v>1</v>
      </c>
      <c r="AB30" s="2728">
        <v>1</v>
      </c>
      <c r="AD30" s="2961">
        <f>I30/100</f>
        <v>2.9700000000000001E-2</v>
      </c>
      <c r="AE30" s="2961">
        <f>J30/100</f>
        <v>2.3399999999999997E-2</v>
      </c>
      <c r="AF30" s="2961">
        <f>AE30</f>
        <v>2.3399999999999997E-2</v>
      </c>
      <c r="AG30" s="2961">
        <f>K30/100</f>
        <v>3.2799999999999996E-2</v>
      </c>
      <c r="AH30" s="2961">
        <f>L30/100</f>
        <v>1.3600000000000001E-2</v>
      </c>
    </row>
    <row r="31" spans="1:34" ht="13.8" thickBot="1">
      <c r="A31" s="2619" t="s">
        <v>2577</v>
      </c>
      <c r="B31" s="2624">
        <v>299</v>
      </c>
      <c r="C31" s="2624">
        <v>252</v>
      </c>
      <c r="D31" s="2624">
        <f t="shared" si="120"/>
        <v>252</v>
      </c>
      <c r="E31" s="2624">
        <v>409</v>
      </c>
      <c r="F31" s="2625">
        <v>227</v>
      </c>
      <c r="G31" s="3457">
        <v>2013</v>
      </c>
      <c r="H31" s="2660">
        <v>4</v>
      </c>
      <c r="I31" s="2660">
        <v>1.83</v>
      </c>
      <c r="J31" s="2660">
        <v>1.68</v>
      </c>
      <c r="K31" s="2660">
        <v>1.97</v>
      </c>
      <c r="L31" s="2661">
        <v>0.87</v>
      </c>
      <c r="N31" s="2640">
        <f t="shared" si="122"/>
        <v>1.83E-2</v>
      </c>
      <c r="O31" s="2641">
        <f t="shared" si="118"/>
        <v>1.6799999999999999E-2</v>
      </c>
      <c r="P31" s="2641">
        <f t="shared" si="118"/>
        <v>1.9699999999999999E-2</v>
      </c>
      <c r="Q31" s="2641">
        <f t="shared" si="118"/>
        <v>8.6999999999999994E-3</v>
      </c>
      <c r="R31" s="2629"/>
      <c r="S31" s="2630"/>
      <c r="T31" s="2631"/>
      <c r="U31" s="2631"/>
      <c r="V31" s="2631"/>
      <c r="X31" s="2631"/>
      <c r="Y31" s="2631"/>
      <c r="Z31" s="2631"/>
    </row>
    <row r="32" spans="1:34">
      <c r="A32" s="2619" t="s">
        <v>2578</v>
      </c>
      <c r="B32" s="2632">
        <f t="shared" ref="B32:C34" si="129">B31/(1+N31)</f>
        <v>293.62663262299913</v>
      </c>
      <c r="C32" s="2632">
        <f t="shared" si="129"/>
        <v>247.83634933123525</v>
      </c>
      <c r="D32" s="2632">
        <f t="shared" si="120"/>
        <v>247.83634933123525</v>
      </c>
      <c r="E32" s="2632">
        <f t="shared" ref="E32:F34" si="130">E31/(1+P31)</f>
        <v>401.09836226341076</v>
      </c>
      <c r="F32" s="2632">
        <f t="shared" si="130"/>
        <v>225.04213343908003</v>
      </c>
      <c r="G32" s="3458"/>
      <c r="H32" s="2643">
        <v>3</v>
      </c>
      <c r="I32" s="2643">
        <v>1.86</v>
      </c>
      <c r="J32" s="2643">
        <v>1.72</v>
      </c>
      <c r="K32" s="2643">
        <v>1.98</v>
      </c>
      <c r="L32" s="2644">
        <v>0.88</v>
      </c>
      <c r="N32" s="2627">
        <f t="shared" si="122"/>
        <v>1.8600000000000002E-2</v>
      </c>
      <c r="O32" s="2645">
        <f t="shared" si="118"/>
        <v>1.72E-2</v>
      </c>
      <c r="P32" s="2645">
        <f t="shared" si="118"/>
        <v>1.9799999999999998E-2</v>
      </c>
      <c r="Q32" s="2645">
        <f t="shared" si="118"/>
        <v>8.8000000000000005E-3</v>
      </c>
      <c r="R32" s="2629"/>
      <c r="S32" s="2627"/>
      <c r="T32" s="2628"/>
      <c r="U32" s="2628"/>
      <c r="V32" s="2628"/>
    </row>
    <row r="33" spans="1:26">
      <c r="A33" s="2619" t="s">
        <v>2579</v>
      </c>
      <c r="B33" s="2632">
        <f t="shared" si="129"/>
        <v>288.2649053828776</v>
      </c>
      <c r="C33" s="2632">
        <f t="shared" si="129"/>
        <v>243.64564425013293</v>
      </c>
      <c r="D33" s="2632">
        <f t="shared" si="120"/>
        <v>243.64564425013293</v>
      </c>
      <c r="E33" s="2632">
        <f t="shared" si="130"/>
        <v>393.31080825986544</v>
      </c>
      <c r="F33" s="2632">
        <f t="shared" si="130"/>
        <v>223.07903790551154</v>
      </c>
      <c r="G33" s="3458"/>
      <c r="H33" s="2623">
        <v>2</v>
      </c>
      <c r="I33" s="2623">
        <v>2.04</v>
      </c>
      <c r="J33" s="2623">
        <v>2.33</v>
      </c>
      <c r="K33" s="2623">
        <v>2.0699999999999998</v>
      </c>
      <c r="L33" s="2634">
        <v>0.69</v>
      </c>
      <c r="N33" s="2627">
        <f t="shared" si="122"/>
        <v>2.0400000000000001E-2</v>
      </c>
      <c r="O33" s="2645">
        <f t="shared" si="118"/>
        <v>2.3300000000000001E-2</v>
      </c>
      <c r="P33" s="2645">
        <f t="shared" si="118"/>
        <v>2.07E-2</v>
      </c>
      <c r="Q33" s="2645">
        <f t="shared" si="118"/>
        <v>6.8999999999999999E-3</v>
      </c>
      <c r="R33" s="2629"/>
      <c r="S33" s="2627"/>
      <c r="T33" s="2628"/>
      <c r="U33" s="2628"/>
      <c r="V33" s="2628"/>
      <c r="X33" s="2729"/>
      <c r="Y33" s="2731"/>
    </row>
    <row r="34" spans="1:26">
      <c r="A34" s="2619" t="s">
        <v>2580</v>
      </c>
      <c r="B34" s="2632">
        <f t="shared" si="129"/>
        <v>282.50186729015837</v>
      </c>
      <c r="C34" s="2632">
        <f t="shared" si="129"/>
        <v>238.09796174155468</v>
      </c>
      <c r="D34" s="2632">
        <f t="shared" si="120"/>
        <v>238.09796174155468</v>
      </c>
      <c r="E34" s="2632">
        <f t="shared" si="130"/>
        <v>385.33438646014054</v>
      </c>
      <c r="F34" s="2632">
        <f t="shared" si="130"/>
        <v>221.55034055567739</v>
      </c>
      <c r="G34" s="3459"/>
      <c r="H34" s="2622">
        <v>1</v>
      </c>
      <c r="I34" s="2622">
        <v>1.67</v>
      </c>
      <c r="J34" s="2622">
        <v>1.31</v>
      </c>
      <c r="K34" s="2622">
        <v>1.85</v>
      </c>
      <c r="L34" s="2633">
        <v>0.96</v>
      </c>
      <c r="N34" s="2635">
        <f t="shared" si="122"/>
        <v>1.67E-2</v>
      </c>
      <c r="O34" s="2636">
        <f t="shared" si="118"/>
        <v>1.3100000000000001E-2</v>
      </c>
      <c r="P34" s="2636">
        <f t="shared" si="118"/>
        <v>1.8500000000000003E-2</v>
      </c>
      <c r="Q34" s="2636">
        <f t="shared" si="118"/>
        <v>9.5999999999999992E-3</v>
      </c>
      <c r="R34" s="2629"/>
      <c r="S34" s="2635">
        <f>B34/B35-1</f>
        <v>1.6193767230785472E-2</v>
      </c>
      <c r="T34" s="2636">
        <f>C34/C35-1</f>
        <v>1.7512657015190891E-2</v>
      </c>
      <c r="U34" s="2636">
        <f>E34/E35-1</f>
        <v>1.6713420739157048E-2</v>
      </c>
      <c r="V34" s="2636">
        <f>F34/F35-1</f>
        <v>7.0470025258062563E-3</v>
      </c>
      <c r="X34" s="2730"/>
      <c r="Y34" s="2637"/>
      <c r="Z34" s="2637"/>
    </row>
    <row r="35" spans="1:26" ht="13.8" thickBot="1">
      <c r="A35" s="2619" t="s">
        <v>2581</v>
      </c>
      <c r="B35" s="2662">
        <v>278</v>
      </c>
      <c r="C35" s="2662">
        <v>234</v>
      </c>
      <c r="D35" s="2662">
        <f t="shared" si="120"/>
        <v>234</v>
      </c>
      <c r="E35" s="2662">
        <v>379</v>
      </c>
      <c r="F35" s="2663">
        <v>220</v>
      </c>
      <c r="G35" s="3452">
        <v>2012</v>
      </c>
      <c r="H35" s="2638">
        <v>4</v>
      </c>
      <c r="I35" s="2638">
        <v>0.91</v>
      </c>
      <c r="J35" s="2638">
        <v>0.68</v>
      </c>
      <c r="K35" s="2638">
        <v>0.98</v>
      </c>
      <c r="L35" s="2639">
        <v>0.9</v>
      </c>
      <c r="N35" s="2627">
        <f t="shared" si="122"/>
        <v>9.1000000000000004E-3</v>
      </c>
      <c r="O35" s="2628">
        <f t="shared" si="122"/>
        <v>6.8000000000000005E-3</v>
      </c>
      <c r="P35" s="2628">
        <f t="shared" si="122"/>
        <v>9.7999999999999997E-3</v>
      </c>
      <c r="Q35" s="2628">
        <f t="shared" si="122"/>
        <v>9.0000000000000011E-3</v>
      </c>
      <c r="R35" s="2629"/>
      <c r="S35" s="2630"/>
      <c r="T35" s="2631"/>
      <c r="U35" s="2631"/>
      <c r="V35" s="2631"/>
      <c r="X35" s="2631"/>
      <c r="Y35" s="2631"/>
      <c r="Z35" s="2631"/>
    </row>
    <row r="36" spans="1:26">
      <c r="A36" s="2619" t="s">
        <v>2582</v>
      </c>
      <c r="B36" s="2632">
        <f>B35/(1+N35)</f>
        <v>275.49301357645425</v>
      </c>
      <c r="C36" s="2632">
        <f>C35/(1+O35)</f>
        <v>232.41954707985698</v>
      </c>
      <c r="D36" s="2632">
        <f t="shared" si="120"/>
        <v>232.41954707985698</v>
      </c>
      <c r="E36" s="2632">
        <f t="shared" ref="E36:F38" si="131">E35/(1+P35)</f>
        <v>375.32184591008121</v>
      </c>
      <c r="F36" s="2632">
        <f t="shared" si="131"/>
        <v>218.03766105054513</v>
      </c>
      <c r="G36" s="3450"/>
      <c r="H36" s="2643">
        <v>3</v>
      </c>
      <c r="I36" s="2643">
        <v>0.09</v>
      </c>
      <c r="J36" s="2643">
        <v>0.28999999999999998</v>
      </c>
      <c r="K36" s="2643">
        <v>-0.01</v>
      </c>
      <c r="L36" s="2644">
        <v>0.57999999999999996</v>
      </c>
      <c r="N36" s="2627">
        <f t="shared" si="122"/>
        <v>8.9999999999999998E-4</v>
      </c>
      <c r="O36" s="2628">
        <f t="shared" si="122"/>
        <v>2.8999999999999998E-3</v>
      </c>
      <c r="P36" s="2628">
        <f t="shared" si="122"/>
        <v>-1E-4</v>
      </c>
      <c r="Q36" s="2628">
        <f t="shared" si="122"/>
        <v>5.7999999999999996E-3</v>
      </c>
      <c r="R36" s="2629"/>
      <c r="S36" s="2627"/>
      <c r="T36" s="2628"/>
      <c r="U36" s="2628"/>
      <c r="V36" s="2628"/>
    </row>
    <row r="37" spans="1:26">
      <c r="A37" s="2619" t="s">
        <v>2583</v>
      </c>
      <c r="B37" s="2632">
        <f>B36/(1+N36)</f>
        <v>275.24529281292263</v>
      </c>
      <c r="C37" s="2632">
        <f>C36/(1+O36)</f>
        <v>231.74747938962707</v>
      </c>
      <c r="D37" s="2632">
        <f t="shared" si="120"/>
        <v>231.74747938962707</v>
      </c>
      <c r="E37" s="2632">
        <f t="shared" si="131"/>
        <v>375.35938184826603</v>
      </c>
      <c r="F37" s="2632">
        <f t="shared" si="131"/>
        <v>216.78033510692495</v>
      </c>
      <c r="G37" s="3450"/>
      <c r="H37" s="2623">
        <v>2</v>
      </c>
      <c r="I37" s="2623">
        <v>0.02</v>
      </c>
      <c r="J37" s="2623">
        <v>0.12</v>
      </c>
      <c r="K37" s="2623">
        <v>-0.08</v>
      </c>
      <c r="L37" s="2634">
        <v>1.24</v>
      </c>
      <c r="N37" s="2627">
        <f t="shared" si="122"/>
        <v>2.0000000000000001E-4</v>
      </c>
      <c r="O37" s="2628">
        <f t="shared" si="122"/>
        <v>1.1999999999999999E-3</v>
      </c>
      <c r="P37" s="2628">
        <f t="shared" si="122"/>
        <v>-8.0000000000000004E-4</v>
      </c>
      <c r="Q37" s="2628">
        <f t="shared" si="122"/>
        <v>1.24E-2</v>
      </c>
      <c r="R37" s="2629"/>
      <c r="S37" s="2627"/>
      <c r="T37" s="2628"/>
      <c r="U37" s="2628"/>
      <c r="V37" s="2628"/>
    </row>
    <row r="38" spans="1:26" ht="13.8" thickBot="1">
      <c r="A38" s="2619" t="s">
        <v>2584</v>
      </c>
      <c r="B38" s="2632">
        <f>B37/(1+N37)</f>
        <v>275.19025476197027</v>
      </c>
      <c r="C38" s="2664">
        <v>232</v>
      </c>
      <c r="D38" s="2664">
        <f t="shared" si="120"/>
        <v>232</v>
      </c>
      <c r="E38" s="2632">
        <f t="shared" si="131"/>
        <v>375.65990977608692</v>
      </c>
      <c r="F38" s="2632">
        <f t="shared" si="131"/>
        <v>214.12518283971252</v>
      </c>
      <c r="G38" s="3453"/>
      <c r="H38" s="2622">
        <v>1</v>
      </c>
      <c r="I38" s="2622">
        <v>0.02</v>
      </c>
      <c r="J38" s="2622">
        <v>0.13</v>
      </c>
      <c r="K38" s="2622">
        <v>-0.04</v>
      </c>
      <c r="L38" s="2633">
        <v>0.46</v>
      </c>
      <c r="N38" s="2627">
        <f t="shared" si="122"/>
        <v>2.0000000000000001E-4</v>
      </c>
      <c r="O38" s="2628">
        <f t="shared" si="122"/>
        <v>1.2999999999999999E-3</v>
      </c>
      <c r="P38" s="2628">
        <f t="shared" si="122"/>
        <v>-4.0000000000000002E-4</v>
      </c>
      <c r="Q38" s="2628">
        <f t="shared" si="122"/>
        <v>4.5999999999999999E-3</v>
      </c>
      <c r="R38" s="2629"/>
      <c r="S38" s="2635">
        <f>B38/B39-1</f>
        <v>6.9183549807361189E-4</v>
      </c>
      <c r="T38" s="2636">
        <f>C38/C39-1</f>
        <v>0</v>
      </c>
      <c r="U38" s="2636">
        <f>E38/E39-1</f>
        <v>-9.0449527636460303E-4</v>
      </c>
      <c r="V38" s="2636">
        <f>F38/F39-1</f>
        <v>5.2825485432512753E-3</v>
      </c>
      <c r="X38" s="2637"/>
      <c r="Y38" s="2637"/>
      <c r="Z38" s="2637"/>
    </row>
    <row r="39" spans="1:26" ht="13.8" thickBot="1">
      <c r="A39" s="2619" t="s">
        <v>2585</v>
      </c>
      <c r="B39" s="2624">
        <v>275</v>
      </c>
      <c r="C39" s="2624">
        <v>232</v>
      </c>
      <c r="D39" s="2624">
        <f t="shared" si="120"/>
        <v>232</v>
      </c>
      <c r="E39" s="2624">
        <v>376</v>
      </c>
      <c r="F39" s="2625">
        <v>213</v>
      </c>
      <c r="G39" s="3452">
        <v>2011</v>
      </c>
      <c r="H39" s="2638">
        <v>4</v>
      </c>
      <c r="I39" s="2638">
        <v>-0.2</v>
      </c>
      <c r="J39" s="2638">
        <v>0.04</v>
      </c>
      <c r="K39" s="2638">
        <v>-0.34</v>
      </c>
      <c r="L39" s="2639">
        <v>0.46</v>
      </c>
      <c r="N39" s="2640">
        <f t="shared" si="122"/>
        <v>-2E-3</v>
      </c>
      <c r="O39" s="2641">
        <f t="shared" si="122"/>
        <v>4.0000000000000002E-4</v>
      </c>
      <c r="P39" s="2641">
        <f t="shared" si="122"/>
        <v>-3.4000000000000002E-3</v>
      </c>
      <c r="Q39" s="2641">
        <f t="shared" si="122"/>
        <v>4.5999999999999999E-3</v>
      </c>
      <c r="R39" s="2629"/>
      <c r="S39" s="2630"/>
      <c r="T39" s="2631"/>
      <c r="U39" s="2631"/>
      <c r="V39" s="2631"/>
      <c r="X39" s="2631"/>
      <c r="Y39" s="2631"/>
      <c r="Z39" s="2631"/>
    </row>
    <row r="40" spans="1:26">
      <c r="A40" s="2619" t="s">
        <v>2586</v>
      </c>
      <c r="B40" s="2632">
        <f t="shared" ref="B40:C42" si="132">B39/(1+N39)</f>
        <v>275.55110220440883</v>
      </c>
      <c r="C40" s="2632">
        <f t="shared" si="132"/>
        <v>231.90723710515795</v>
      </c>
      <c r="D40" s="2632">
        <f t="shared" si="120"/>
        <v>231.90723710515795</v>
      </c>
      <c r="E40" s="2632">
        <f t="shared" ref="E40:F42" si="133">E39/(1+P39)</f>
        <v>377.28276138872161</v>
      </c>
      <c r="F40" s="2632">
        <f t="shared" si="133"/>
        <v>212.02468644236512</v>
      </c>
      <c r="G40" s="3450">
        <v>2011</v>
      </c>
      <c r="H40" s="2643">
        <v>3</v>
      </c>
      <c r="I40" s="2643">
        <v>0.13</v>
      </c>
      <c r="J40" s="2643">
        <v>0.75</v>
      </c>
      <c r="K40" s="2643">
        <v>-0.08</v>
      </c>
      <c r="L40" s="2644">
        <v>0.53</v>
      </c>
      <c r="N40" s="2627">
        <f t="shared" si="122"/>
        <v>1.2999999999999999E-3</v>
      </c>
      <c r="O40" s="2645">
        <f t="shared" si="122"/>
        <v>7.4999999999999997E-3</v>
      </c>
      <c r="P40" s="2645">
        <f t="shared" si="122"/>
        <v>-8.0000000000000004E-4</v>
      </c>
      <c r="Q40" s="2645">
        <f t="shared" si="122"/>
        <v>5.3E-3</v>
      </c>
      <c r="R40" s="2629"/>
      <c r="S40" s="2627"/>
      <c r="T40" s="2628"/>
      <c r="U40" s="2628"/>
      <c r="V40" s="2628"/>
    </row>
    <row r="41" spans="1:26">
      <c r="A41" s="2619" t="s">
        <v>2587</v>
      </c>
      <c r="B41" s="2632">
        <f t="shared" si="132"/>
        <v>275.19335084830601</v>
      </c>
      <c r="C41" s="2632">
        <f t="shared" si="132"/>
        <v>230.18088050139744</v>
      </c>
      <c r="D41" s="2632">
        <f t="shared" si="120"/>
        <v>230.18088050139744</v>
      </c>
      <c r="E41" s="2632">
        <f t="shared" si="133"/>
        <v>377.58482925212331</v>
      </c>
      <c r="F41" s="2632">
        <f t="shared" si="133"/>
        <v>210.90687997847917</v>
      </c>
      <c r="G41" s="3450">
        <v>2011</v>
      </c>
      <c r="H41" s="2623">
        <v>2</v>
      </c>
      <c r="I41" s="2623">
        <v>-0.4</v>
      </c>
      <c r="J41" s="2623">
        <v>0.17</v>
      </c>
      <c r="K41" s="2623">
        <v>-0.57999999999999996</v>
      </c>
      <c r="L41" s="2634">
        <v>-0.2</v>
      </c>
      <c r="N41" s="2627">
        <f t="shared" si="122"/>
        <v>-4.0000000000000001E-3</v>
      </c>
      <c r="O41" s="2645">
        <f t="shared" si="122"/>
        <v>1.7000000000000001E-3</v>
      </c>
      <c r="P41" s="2645">
        <f t="shared" si="122"/>
        <v>-5.7999999999999996E-3</v>
      </c>
      <c r="Q41" s="2645">
        <f t="shared" si="122"/>
        <v>-2E-3</v>
      </c>
      <c r="R41" s="2629"/>
      <c r="S41" s="2627"/>
      <c r="T41" s="2628"/>
      <c r="U41" s="2628"/>
      <c r="V41" s="2628"/>
    </row>
    <row r="42" spans="1:26" ht="13.8" thickBot="1">
      <c r="A42" s="2619" t="s">
        <v>2588</v>
      </c>
      <c r="B42" s="2632">
        <f t="shared" si="132"/>
        <v>276.29854502841971</v>
      </c>
      <c r="C42" s="2632">
        <f t="shared" si="132"/>
        <v>229.79023709833027</v>
      </c>
      <c r="D42" s="2632">
        <f t="shared" si="120"/>
        <v>229.79023709833027</v>
      </c>
      <c r="E42" s="2632">
        <f t="shared" si="133"/>
        <v>379.78759731655936</v>
      </c>
      <c r="F42" s="2632">
        <f t="shared" si="133"/>
        <v>211.32953905659235</v>
      </c>
      <c r="G42" s="3453">
        <v>2011</v>
      </c>
      <c r="H42" s="2622">
        <v>1</v>
      </c>
      <c r="I42" s="2622">
        <v>2.65</v>
      </c>
      <c r="J42" s="2622">
        <v>3.76</v>
      </c>
      <c r="K42" s="2622">
        <v>1.89</v>
      </c>
      <c r="L42" s="2633">
        <v>7.95</v>
      </c>
      <c r="N42" s="2635">
        <f t="shared" si="122"/>
        <v>2.6499999999999999E-2</v>
      </c>
      <c r="O42" s="2636">
        <f t="shared" si="122"/>
        <v>3.7599999999999995E-2</v>
      </c>
      <c r="P42" s="2636">
        <f t="shared" si="122"/>
        <v>1.89E-2</v>
      </c>
      <c r="Q42" s="2636">
        <f t="shared" si="122"/>
        <v>7.9500000000000001E-2</v>
      </c>
      <c r="R42" s="2629"/>
      <c r="S42" s="2635">
        <f>B42/B43-1</f>
        <v>2.713213765211786E-2</v>
      </c>
      <c r="T42" s="2636">
        <f>C42/C43-1</f>
        <v>3.9774828499231862E-2</v>
      </c>
      <c r="U42" s="2636">
        <f>E42/E43-1</f>
        <v>1.8197311840641772E-2</v>
      </c>
      <c r="V42" s="2636">
        <f>F42/F43-1</f>
        <v>7.8211933962205826E-2</v>
      </c>
      <c r="X42" s="2637"/>
      <c r="Y42" s="2637"/>
      <c r="Z42" s="2637"/>
    </row>
    <row r="43" spans="1:26" ht="13.8" thickBot="1">
      <c r="A43" s="2619" t="s">
        <v>2589</v>
      </c>
      <c r="B43" s="2624">
        <v>269</v>
      </c>
      <c r="C43" s="2624">
        <v>221</v>
      </c>
      <c r="D43" s="2624">
        <f t="shared" si="120"/>
        <v>221</v>
      </c>
      <c r="E43" s="2624">
        <v>373</v>
      </c>
      <c r="F43" s="2625">
        <v>196</v>
      </c>
      <c r="G43" s="3452">
        <v>2010</v>
      </c>
      <c r="H43" s="2638">
        <v>4</v>
      </c>
      <c r="I43" s="2638">
        <v>5.72</v>
      </c>
      <c r="J43" s="2638">
        <v>6.57</v>
      </c>
      <c r="K43" s="2638">
        <v>5.72</v>
      </c>
      <c r="L43" s="2639">
        <v>2.72</v>
      </c>
      <c r="N43" s="2627">
        <f t="shared" si="122"/>
        <v>5.7200000000000001E-2</v>
      </c>
      <c r="O43" s="2628">
        <f t="shared" si="122"/>
        <v>6.5700000000000008E-2</v>
      </c>
      <c r="P43" s="2628">
        <f t="shared" si="122"/>
        <v>5.7200000000000001E-2</v>
      </c>
      <c r="Q43" s="2628">
        <f t="shared" si="122"/>
        <v>2.7200000000000002E-2</v>
      </c>
      <c r="R43" s="2629"/>
      <c r="S43" s="2630"/>
      <c r="T43" s="2631"/>
      <c r="U43" s="2631"/>
      <c r="V43" s="2631"/>
      <c r="X43" s="2631"/>
      <c r="Y43" s="2631"/>
      <c r="Z43" s="2631"/>
    </row>
    <row r="44" spans="1:26">
      <c r="A44" s="2619" t="s">
        <v>2590</v>
      </c>
      <c r="B44" s="2632">
        <f t="shared" ref="B44:C46" si="134">B43/(1+N43)</f>
        <v>254.44570563753314</v>
      </c>
      <c r="C44" s="2632">
        <f t="shared" si="134"/>
        <v>207.37543398705074</v>
      </c>
      <c r="D44" s="2632">
        <f t="shared" si="120"/>
        <v>207.37543398705074</v>
      </c>
      <c r="E44" s="2632">
        <f t="shared" ref="E44:F46" si="135">E43/(1+P43)</f>
        <v>352.81876655315932</v>
      </c>
      <c r="F44" s="2632">
        <f t="shared" si="135"/>
        <v>190.809968847352</v>
      </c>
      <c r="G44" s="3450">
        <v>2010</v>
      </c>
      <c r="H44" s="2643">
        <v>3</v>
      </c>
      <c r="I44" s="2643">
        <v>4.7300000000000004</v>
      </c>
      <c r="J44" s="2643">
        <v>3.9</v>
      </c>
      <c r="K44" s="2643">
        <v>5.03</v>
      </c>
      <c r="L44" s="2644">
        <v>4.21</v>
      </c>
      <c r="N44" s="2627">
        <f t="shared" si="122"/>
        <v>4.7300000000000002E-2</v>
      </c>
      <c r="O44" s="2628">
        <f t="shared" si="122"/>
        <v>3.9E-2</v>
      </c>
      <c r="P44" s="2628">
        <f t="shared" si="122"/>
        <v>5.0300000000000004E-2</v>
      </c>
      <c r="Q44" s="2628">
        <f t="shared" si="122"/>
        <v>4.2099999999999999E-2</v>
      </c>
      <c r="R44" s="2629"/>
      <c r="S44" s="2627"/>
      <c r="T44" s="2628"/>
      <c r="U44" s="2628"/>
      <c r="V44" s="2628"/>
    </row>
    <row r="45" spans="1:26">
      <c r="A45" s="2619" t="s">
        <v>2591</v>
      </c>
      <c r="B45" s="2632">
        <f t="shared" si="134"/>
        <v>242.95398227588385</v>
      </c>
      <c r="C45" s="2632">
        <f t="shared" si="134"/>
        <v>199.59137053614126</v>
      </c>
      <c r="D45" s="2632">
        <f t="shared" si="120"/>
        <v>199.59137053614126</v>
      </c>
      <c r="E45" s="2632">
        <f t="shared" si="135"/>
        <v>335.92189522342125</v>
      </c>
      <c r="F45" s="2632">
        <f t="shared" si="135"/>
        <v>183.10139991109489</v>
      </c>
      <c r="G45" s="3450">
        <v>2010</v>
      </c>
      <c r="H45" s="2623">
        <v>2</v>
      </c>
      <c r="I45" s="2623">
        <v>4.6900000000000004</v>
      </c>
      <c r="J45" s="2623">
        <v>3.55</v>
      </c>
      <c r="K45" s="2623">
        <v>5.07</v>
      </c>
      <c r="L45" s="2634">
        <v>4.2300000000000004</v>
      </c>
      <c r="N45" s="2627">
        <f t="shared" si="122"/>
        <v>4.6900000000000004E-2</v>
      </c>
      <c r="O45" s="2628">
        <f t="shared" si="122"/>
        <v>3.5499999999999997E-2</v>
      </c>
      <c r="P45" s="2628">
        <f t="shared" si="122"/>
        <v>5.0700000000000002E-2</v>
      </c>
      <c r="Q45" s="2628">
        <f t="shared" si="122"/>
        <v>4.2300000000000004E-2</v>
      </c>
      <c r="R45" s="2629"/>
      <c r="S45" s="2627"/>
      <c r="T45" s="2628"/>
      <c r="U45" s="2628"/>
      <c r="V45" s="2628"/>
    </row>
    <row r="46" spans="1:26" ht="13.8" thickBot="1">
      <c r="A46" s="2619" t="s">
        <v>2592</v>
      </c>
      <c r="B46" s="2632">
        <f t="shared" si="134"/>
        <v>232.06990378821649</v>
      </c>
      <c r="C46" s="2632">
        <f t="shared" si="134"/>
        <v>192.74878854286936</v>
      </c>
      <c r="D46" s="2632">
        <f t="shared" si="120"/>
        <v>192.74878854286936</v>
      </c>
      <c r="E46" s="2632">
        <f t="shared" si="135"/>
        <v>319.71247284992984</v>
      </c>
      <c r="F46" s="2632">
        <f t="shared" si="135"/>
        <v>175.67053622862409</v>
      </c>
      <c r="G46" s="3453">
        <v>2010</v>
      </c>
      <c r="H46" s="2622">
        <v>1</v>
      </c>
      <c r="I46" s="2622">
        <v>5.4</v>
      </c>
      <c r="J46" s="2622">
        <v>3.2</v>
      </c>
      <c r="K46" s="2622">
        <v>6.16</v>
      </c>
      <c r="L46" s="2633">
        <v>4.51</v>
      </c>
      <c r="N46" s="2627">
        <f t="shared" si="122"/>
        <v>5.4000000000000006E-2</v>
      </c>
      <c r="O46" s="2628">
        <f t="shared" si="122"/>
        <v>3.2000000000000001E-2</v>
      </c>
      <c r="P46" s="2628">
        <f t="shared" si="122"/>
        <v>6.1600000000000002E-2</v>
      </c>
      <c r="Q46" s="2628">
        <f t="shared" si="122"/>
        <v>4.5100000000000001E-2</v>
      </c>
      <c r="R46" s="2629"/>
      <c r="S46" s="2635">
        <f>B46/B47-1</f>
        <v>5.4863199037347599E-2</v>
      </c>
      <c r="T46" s="2636">
        <f>C46/C47-1</f>
        <v>3.0742184721226584E-2</v>
      </c>
      <c r="U46" s="2636">
        <f>E46/E47-1</f>
        <v>6.2167683886810154E-2</v>
      </c>
      <c r="V46" s="2636">
        <f>F46/F47-1</f>
        <v>4.5657953741810031E-2</v>
      </c>
      <c r="X46" s="2637"/>
      <c r="Y46" s="2637"/>
      <c r="Z46" s="2637"/>
    </row>
    <row r="47" spans="1:26" ht="13.8" thickBot="1">
      <c r="A47" s="2619" t="s">
        <v>2593</v>
      </c>
      <c r="B47" s="2624">
        <v>220</v>
      </c>
      <c r="C47" s="2624">
        <v>187</v>
      </c>
      <c r="D47" s="2624">
        <f t="shared" si="120"/>
        <v>187</v>
      </c>
      <c r="E47" s="2624">
        <v>301</v>
      </c>
      <c r="F47" s="2625">
        <v>168</v>
      </c>
      <c r="G47" s="3452">
        <v>2009</v>
      </c>
      <c r="H47" s="2638">
        <v>4</v>
      </c>
      <c r="I47" s="2638">
        <v>2.2999999999999998</v>
      </c>
      <c r="J47" s="2638">
        <v>1.04</v>
      </c>
      <c r="K47" s="2638">
        <v>2.84</v>
      </c>
      <c r="L47" s="2639">
        <v>0.67</v>
      </c>
      <c r="N47" s="2640">
        <f t="shared" si="122"/>
        <v>2.3E-2</v>
      </c>
      <c r="O47" s="2641">
        <f t="shared" si="122"/>
        <v>1.04E-2</v>
      </c>
      <c r="P47" s="2641">
        <f t="shared" si="122"/>
        <v>2.8399999999999998E-2</v>
      </c>
      <c r="Q47" s="2641">
        <f t="shared" si="122"/>
        <v>6.7000000000000002E-3</v>
      </c>
      <c r="R47" s="2629"/>
      <c r="S47" s="2630"/>
      <c r="T47" s="2631"/>
      <c r="U47" s="2631"/>
      <c r="V47" s="2631"/>
      <c r="X47" s="2631"/>
      <c r="Y47" s="2631"/>
      <c r="Z47" s="2631"/>
    </row>
    <row r="48" spans="1:26">
      <c r="A48" s="2619" t="s">
        <v>2594</v>
      </c>
      <c r="B48" s="2632">
        <f t="shared" ref="B48:C50" si="136">B47/(1+N47)</f>
        <v>215.05376344086022</v>
      </c>
      <c r="C48" s="2632">
        <f t="shared" si="136"/>
        <v>185.0752177355503</v>
      </c>
      <c r="D48" s="2632">
        <f t="shared" si="120"/>
        <v>185.0752177355503</v>
      </c>
      <c r="E48" s="2632">
        <f t="shared" ref="E48:F50" si="137">E47/(1+P47)</f>
        <v>292.68767016725008</v>
      </c>
      <c r="F48" s="2632">
        <f t="shared" si="137"/>
        <v>166.88189132810174</v>
      </c>
      <c r="G48" s="3450">
        <v>2009</v>
      </c>
      <c r="H48" s="2643">
        <v>3</v>
      </c>
      <c r="I48" s="2643">
        <v>2.1</v>
      </c>
      <c r="J48" s="2643">
        <v>1.86</v>
      </c>
      <c r="K48" s="2643">
        <v>2.29</v>
      </c>
      <c r="L48" s="2644">
        <v>0.85</v>
      </c>
      <c r="N48" s="2627">
        <f t="shared" si="122"/>
        <v>2.1000000000000001E-2</v>
      </c>
      <c r="O48" s="2645">
        <f t="shared" si="122"/>
        <v>1.8600000000000002E-2</v>
      </c>
      <c r="P48" s="2645">
        <f t="shared" si="122"/>
        <v>2.29E-2</v>
      </c>
      <c r="Q48" s="2645">
        <f t="shared" si="122"/>
        <v>8.5000000000000006E-3</v>
      </c>
      <c r="R48" s="2629"/>
      <c r="S48" s="2627"/>
      <c r="T48" s="2628"/>
      <c r="U48" s="2628"/>
      <c r="V48" s="2628"/>
    </row>
    <row r="49" spans="1:26">
      <c r="A49" s="2619" t="s">
        <v>2595</v>
      </c>
      <c r="B49" s="2632">
        <f t="shared" si="136"/>
        <v>210.630522469011</v>
      </c>
      <c r="C49" s="2632">
        <f t="shared" si="136"/>
        <v>181.69567812247232</v>
      </c>
      <c r="D49" s="2632">
        <f t="shared" si="120"/>
        <v>181.69567812247232</v>
      </c>
      <c r="E49" s="2632">
        <f t="shared" si="137"/>
        <v>286.13517466736738</v>
      </c>
      <c r="F49" s="2632">
        <f t="shared" si="137"/>
        <v>165.47535084591149</v>
      </c>
      <c r="G49" s="3450">
        <v>2009</v>
      </c>
      <c r="H49" s="2623">
        <v>2</v>
      </c>
      <c r="I49" s="2623">
        <v>0.86</v>
      </c>
      <c r="J49" s="2623">
        <v>-1.1299999999999999</v>
      </c>
      <c r="K49" s="2623">
        <v>1.79</v>
      </c>
      <c r="L49" s="2634">
        <v>-2.0699999999999998</v>
      </c>
      <c r="N49" s="2627">
        <f t="shared" si="122"/>
        <v>8.6E-3</v>
      </c>
      <c r="O49" s="2645">
        <f t="shared" si="122"/>
        <v>-1.1299999999999999E-2</v>
      </c>
      <c r="P49" s="2645">
        <f t="shared" si="122"/>
        <v>1.7899999999999999E-2</v>
      </c>
      <c r="Q49" s="2645">
        <f t="shared" si="122"/>
        <v>-2.07E-2</v>
      </c>
      <c r="R49" s="2629"/>
      <c r="S49" s="2627"/>
      <c r="T49" s="2628"/>
      <c r="U49" s="2628"/>
      <c r="V49" s="2628"/>
    </row>
    <row r="50" spans="1:26">
      <c r="A50" s="2619" t="s">
        <v>2596</v>
      </c>
      <c r="B50" s="2632">
        <f t="shared" si="136"/>
        <v>208.83454537875372</v>
      </c>
      <c r="C50" s="2632">
        <f t="shared" si="136"/>
        <v>183.77230517090351</v>
      </c>
      <c r="D50" s="2632">
        <f t="shared" si="120"/>
        <v>183.77230517090351</v>
      </c>
      <c r="E50" s="2632">
        <f t="shared" si="137"/>
        <v>281.10342338870947</v>
      </c>
      <c r="F50" s="2632">
        <f t="shared" si="137"/>
        <v>168.97309388942256</v>
      </c>
      <c r="G50" s="3453">
        <v>2009</v>
      </c>
      <c r="H50" s="2622">
        <v>1</v>
      </c>
      <c r="I50" s="2622">
        <v>-2.64</v>
      </c>
      <c r="J50" s="2622">
        <v>-2.5299999999999998</v>
      </c>
      <c r="K50" s="2622">
        <v>-3.02</v>
      </c>
      <c r="L50" s="2633">
        <v>1.52</v>
      </c>
      <c r="N50" s="2635">
        <f t="shared" si="122"/>
        <v>-2.64E-2</v>
      </c>
      <c r="O50" s="2636">
        <f t="shared" si="122"/>
        <v>-2.53E-2</v>
      </c>
      <c r="P50" s="2636">
        <f t="shared" si="122"/>
        <v>-3.0200000000000001E-2</v>
      </c>
      <c r="Q50" s="2636">
        <f t="shared" si="122"/>
        <v>1.52E-2</v>
      </c>
      <c r="R50" s="2629"/>
      <c r="S50" s="2635">
        <f>B50/B51-1</f>
        <v>-2.4137638417038754E-2</v>
      </c>
      <c r="T50" s="2636">
        <f>C50/C51-1</f>
        <v>-2.248773845264096E-2</v>
      </c>
      <c r="U50" s="2636">
        <f>E50/E51-1</f>
        <v>-2.7323794502735366E-2</v>
      </c>
      <c r="V50" s="2636">
        <f>F50/F51-1</f>
        <v>1.7910204153148035E-2</v>
      </c>
      <c r="X50" s="2637"/>
      <c r="Y50" s="2637"/>
      <c r="Z50" s="2637"/>
    </row>
    <row r="51" spans="1:26" ht="13.8" thickBot="1">
      <c r="A51" s="2619" t="s">
        <v>2597</v>
      </c>
      <c r="B51" s="2662">
        <v>214</v>
      </c>
      <c r="C51" s="2662">
        <v>188</v>
      </c>
      <c r="D51" s="2662">
        <f t="shared" si="120"/>
        <v>188</v>
      </c>
      <c r="E51" s="2662">
        <v>289</v>
      </c>
      <c r="F51" s="2663">
        <v>166</v>
      </c>
      <c r="G51" s="3452">
        <v>2008</v>
      </c>
      <c r="H51" s="2638">
        <v>4</v>
      </c>
      <c r="I51" s="2638">
        <v>1.73</v>
      </c>
      <c r="J51" s="2638">
        <v>0.03</v>
      </c>
      <c r="K51" s="2638">
        <v>2.59</v>
      </c>
      <c r="L51" s="2639">
        <v>-1.66</v>
      </c>
      <c r="N51" s="2627">
        <f t="shared" si="122"/>
        <v>1.7299999999999999E-2</v>
      </c>
      <c r="O51" s="2628">
        <f t="shared" si="122"/>
        <v>2.9999999999999997E-4</v>
      </c>
      <c r="P51" s="2628">
        <f t="shared" si="122"/>
        <v>2.5899999999999999E-2</v>
      </c>
      <c r="Q51" s="2628">
        <f t="shared" si="122"/>
        <v>-1.66E-2</v>
      </c>
      <c r="R51" s="2629"/>
      <c r="S51" s="2630"/>
      <c r="T51" s="2631"/>
      <c r="U51" s="2631"/>
      <c r="V51" s="2631"/>
      <c r="X51" s="2631"/>
      <c r="Y51" s="2631"/>
      <c r="Z51" s="2631"/>
    </row>
    <row r="52" spans="1:26">
      <c r="A52" s="2619" t="s">
        <v>2598</v>
      </c>
      <c r="B52" s="2632">
        <f t="shared" ref="B52:C54" si="138">B51/(1+N51)</f>
        <v>210.36075887152265</v>
      </c>
      <c r="C52" s="2632">
        <f t="shared" si="138"/>
        <v>187.94361691492554</v>
      </c>
      <c r="D52" s="2632">
        <f t="shared" si="120"/>
        <v>187.94361691492554</v>
      </c>
      <c r="E52" s="2632">
        <f t="shared" ref="E52:F54" si="139">E51/(1+P51)</f>
        <v>281.70386977288234</v>
      </c>
      <c r="F52" s="2632">
        <f t="shared" si="139"/>
        <v>168.80211511083994</v>
      </c>
      <c r="G52" s="3450">
        <v>2008</v>
      </c>
      <c r="H52" s="2643">
        <v>3</v>
      </c>
      <c r="I52" s="2643">
        <v>1.96</v>
      </c>
      <c r="J52" s="2643">
        <v>2.36</v>
      </c>
      <c r="K52" s="2643">
        <v>1.82</v>
      </c>
      <c r="L52" s="2644">
        <v>2.2200000000000002</v>
      </c>
      <c r="N52" s="2627">
        <f t="shared" si="122"/>
        <v>1.9599999999999999E-2</v>
      </c>
      <c r="O52" s="2628">
        <f t="shared" si="122"/>
        <v>2.3599999999999999E-2</v>
      </c>
      <c r="P52" s="2628">
        <f t="shared" si="122"/>
        <v>1.8200000000000001E-2</v>
      </c>
      <c r="Q52" s="2628">
        <f t="shared" si="122"/>
        <v>2.2200000000000001E-2</v>
      </c>
      <c r="R52" s="2629"/>
      <c r="S52" s="2627"/>
      <c r="T52" s="2628"/>
      <c r="U52" s="2628"/>
      <c r="V52" s="2628"/>
    </row>
    <row r="53" spans="1:26">
      <c r="A53" s="2619" t="s">
        <v>2599</v>
      </c>
      <c r="B53" s="2632">
        <f t="shared" si="138"/>
        <v>206.31694671589116</v>
      </c>
      <c r="C53" s="2632">
        <f t="shared" si="138"/>
        <v>183.61041121036101</v>
      </c>
      <c r="D53" s="2632">
        <f t="shared" si="120"/>
        <v>183.61041121036101</v>
      </c>
      <c r="E53" s="2632">
        <f t="shared" si="139"/>
        <v>276.66850301795557</v>
      </c>
      <c r="F53" s="2632">
        <f t="shared" si="139"/>
        <v>165.1360938278614</v>
      </c>
      <c r="G53" s="3450">
        <v>2008</v>
      </c>
      <c r="H53" s="2623">
        <v>2</v>
      </c>
      <c r="I53" s="2623">
        <v>4.93</v>
      </c>
      <c r="J53" s="2623">
        <v>7.38</v>
      </c>
      <c r="K53" s="2623">
        <v>3.98</v>
      </c>
      <c r="L53" s="2634">
        <v>6.86</v>
      </c>
      <c r="N53" s="2627">
        <f t="shared" si="122"/>
        <v>4.9299999999999997E-2</v>
      </c>
      <c r="O53" s="2628">
        <f t="shared" si="122"/>
        <v>7.3800000000000004E-2</v>
      </c>
      <c r="P53" s="2628">
        <f t="shared" si="122"/>
        <v>3.9800000000000002E-2</v>
      </c>
      <c r="Q53" s="2628">
        <f t="shared" si="122"/>
        <v>6.8600000000000008E-2</v>
      </c>
      <c r="R53" s="2629"/>
      <c r="S53" s="2627"/>
      <c r="T53" s="2628"/>
      <c r="U53" s="2628"/>
      <c r="V53" s="2628"/>
    </row>
    <row r="54" spans="1:26" s="2668" customFormat="1" ht="13.8" thickBot="1">
      <c r="A54" s="2619" t="s">
        <v>2600</v>
      </c>
      <c r="B54" s="2665">
        <f t="shared" si="138"/>
        <v>196.62341248059772</v>
      </c>
      <c r="C54" s="2665">
        <f t="shared" si="138"/>
        <v>170.99125648199012</v>
      </c>
      <c r="D54" s="2665">
        <f t="shared" si="120"/>
        <v>170.99125648199012</v>
      </c>
      <c r="E54" s="2665">
        <f t="shared" si="139"/>
        <v>266.07857570490052</v>
      </c>
      <c r="F54" s="2665">
        <f t="shared" si="139"/>
        <v>154.53499328828505</v>
      </c>
      <c r="G54" s="3453">
        <v>2008</v>
      </c>
      <c r="H54" s="2666">
        <v>1</v>
      </c>
      <c r="I54" s="2666">
        <v>4.1399999999999997</v>
      </c>
      <c r="J54" s="2666">
        <v>3.45</v>
      </c>
      <c r="K54" s="2666">
        <v>4.95</v>
      </c>
      <c r="L54" s="2667">
        <v>4.82</v>
      </c>
      <c r="N54" s="2669">
        <f t="shared" si="122"/>
        <v>4.1399999999999999E-2</v>
      </c>
      <c r="O54" s="2670">
        <f t="shared" si="122"/>
        <v>3.4500000000000003E-2</v>
      </c>
      <c r="P54" s="2670">
        <f t="shared" si="122"/>
        <v>4.9500000000000002E-2</v>
      </c>
      <c r="Q54" s="2670">
        <f t="shared" si="122"/>
        <v>4.82E-2</v>
      </c>
      <c r="R54" s="2671"/>
      <c r="S54" s="2669">
        <f>B54/B55-1</f>
        <v>4.5869215322328349E-2</v>
      </c>
      <c r="T54" s="2670">
        <f>C54/C55-1</f>
        <v>3.6310645345394743E-2</v>
      </c>
      <c r="U54" s="2670">
        <f>E54/E55-1</f>
        <v>4.7553447657088688E-2</v>
      </c>
      <c r="V54" s="2670">
        <f>F54/F55-1</f>
        <v>4.4155360055980086E-2</v>
      </c>
      <c r="X54" s="2672"/>
      <c r="Y54" s="2672"/>
      <c r="Z54" s="2672"/>
    </row>
    <row r="55" spans="1:26" ht="13.8" thickBot="1">
      <c r="A55" s="2619" t="s">
        <v>2601</v>
      </c>
      <c r="B55" s="2624">
        <v>188</v>
      </c>
      <c r="C55" s="2624">
        <v>165</v>
      </c>
      <c r="D55" s="2624">
        <f t="shared" si="120"/>
        <v>165</v>
      </c>
      <c r="E55" s="2624">
        <v>254</v>
      </c>
      <c r="F55" s="2625">
        <v>148</v>
      </c>
      <c r="G55" s="3452">
        <v>2007</v>
      </c>
      <c r="H55" s="2673">
        <v>4</v>
      </c>
      <c r="I55" s="2673">
        <v>5.51</v>
      </c>
      <c r="J55" s="2673">
        <v>4.8899999999999997</v>
      </c>
      <c r="K55" s="2673">
        <v>6.43</v>
      </c>
      <c r="L55" s="2674">
        <v>5.36</v>
      </c>
      <c r="N55" s="2675">
        <f t="shared" ref="N55:O58" si="140">B55/B56-1</f>
        <v>4.1339718365245526E-2</v>
      </c>
      <c r="O55" s="2676">
        <f t="shared" si="140"/>
        <v>4.0324492593776018E-2</v>
      </c>
      <c r="P55" s="2676">
        <f t="shared" ref="P55:Q58" si="141">E55/E56-1</f>
        <v>6.1625555347990968E-2</v>
      </c>
      <c r="Q55" s="2676">
        <f t="shared" si="141"/>
        <v>4.6757569250590603E-2</v>
      </c>
      <c r="R55" s="2629"/>
      <c r="S55" s="2630"/>
      <c r="T55" s="2631"/>
      <c r="U55" s="2631"/>
      <c r="V55" s="2631"/>
      <c r="X55" s="2631"/>
      <c r="Y55" s="2631"/>
      <c r="Z55" s="2631"/>
    </row>
    <row r="56" spans="1:26">
      <c r="A56" s="2619" t="s">
        <v>2602</v>
      </c>
      <c r="B56" s="2632">
        <f t="shared" ref="B56:C58" si="142">B57+(B$55-B$59)*I56/SUM(I$55:I$58)</f>
        <v>180.5366651097618</v>
      </c>
      <c r="C56" s="2632">
        <f t="shared" si="142"/>
        <v>158.60435967302453</v>
      </c>
      <c r="D56" s="2632">
        <f t="shared" si="120"/>
        <v>158.60435967302453</v>
      </c>
      <c r="E56" s="2632">
        <f t="shared" ref="E56:F58" si="143">E57+(E$55-E$59)*K56/SUM(K$55:K$58)</f>
        <v>239.25573260785075</v>
      </c>
      <c r="F56" s="2632">
        <f t="shared" si="143"/>
        <v>141.38899430740037</v>
      </c>
      <c r="G56" s="3450">
        <v>2007</v>
      </c>
      <c r="H56" s="2643">
        <v>3</v>
      </c>
      <c r="I56" s="2643">
        <v>8.65</v>
      </c>
      <c r="J56" s="2643">
        <v>8.06</v>
      </c>
      <c r="K56" s="2643">
        <v>9.94</v>
      </c>
      <c r="L56" s="2644">
        <v>5.8</v>
      </c>
      <c r="N56" s="2675">
        <f t="shared" si="140"/>
        <v>6.940217571740015E-2</v>
      </c>
      <c r="O56" s="2676">
        <f t="shared" si="140"/>
        <v>7.1197482471153428E-2</v>
      </c>
      <c r="P56" s="2676">
        <f t="shared" si="141"/>
        <v>0.10529679922579582</v>
      </c>
      <c r="Q56" s="2676">
        <f t="shared" si="141"/>
        <v>5.3292245059512133E-2</v>
      </c>
      <c r="R56" s="2629"/>
      <c r="S56" s="2627"/>
      <c r="T56" s="2628"/>
      <c r="U56" s="2628"/>
      <c r="V56" s="2628"/>
      <c r="X56" s="2677"/>
      <c r="Y56" s="2677"/>
      <c r="Z56" s="2677"/>
    </row>
    <row r="57" spans="1:26">
      <c r="A57" s="2619" t="s">
        <v>2603</v>
      </c>
      <c r="B57" s="2632">
        <f t="shared" si="142"/>
        <v>168.82017748715555</v>
      </c>
      <c r="C57" s="2632">
        <f t="shared" si="142"/>
        <v>148.06267029972753</v>
      </c>
      <c r="D57" s="2632">
        <f t="shared" si="120"/>
        <v>148.06267029972753</v>
      </c>
      <c r="E57" s="2632">
        <f t="shared" si="143"/>
        <v>216.46288379323747</v>
      </c>
      <c r="F57" s="2632">
        <f t="shared" si="143"/>
        <v>134.23529411764704</v>
      </c>
      <c r="G57" s="3450">
        <v>2007</v>
      </c>
      <c r="H57" s="2623">
        <v>2</v>
      </c>
      <c r="I57" s="2623">
        <v>3.67</v>
      </c>
      <c r="J57" s="2623">
        <v>2.3199999999999998</v>
      </c>
      <c r="K57" s="2623">
        <v>5.0199999999999996</v>
      </c>
      <c r="L57" s="2634">
        <v>6.71</v>
      </c>
      <c r="N57" s="2675">
        <f t="shared" si="140"/>
        <v>3.0339138143848032E-2</v>
      </c>
      <c r="O57" s="2676">
        <f t="shared" si="140"/>
        <v>2.0922341588790472E-2</v>
      </c>
      <c r="P57" s="2676">
        <f t="shared" si="141"/>
        <v>5.6164796592717003E-2</v>
      </c>
      <c r="Q57" s="2676">
        <f t="shared" si="141"/>
        <v>6.5704536723887319E-2</v>
      </c>
      <c r="R57" s="2629"/>
      <c r="S57" s="2627"/>
      <c r="T57" s="2628"/>
      <c r="U57" s="2628"/>
      <c r="V57" s="2628"/>
      <c r="X57" s="2677"/>
      <c r="Y57" s="2677"/>
      <c r="Z57" s="2677"/>
    </row>
    <row r="58" spans="1:26">
      <c r="A58" s="2619" t="s">
        <v>2604</v>
      </c>
      <c r="B58" s="2632">
        <f t="shared" si="142"/>
        <v>163.84913591779542</v>
      </c>
      <c r="C58" s="2632">
        <f t="shared" si="142"/>
        <v>145.0283378746594</v>
      </c>
      <c r="D58" s="2632">
        <f t="shared" si="120"/>
        <v>145.0283378746594</v>
      </c>
      <c r="E58" s="2632">
        <f t="shared" si="143"/>
        <v>204.95180722891567</v>
      </c>
      <c r="F58" s="2632">
        <f t="shared" si="143"/>
        <v>125.95920303605313</v>
      </c>
      <c r="G58" s="3453">
        <v>2007</v>
      </c>
      <c r="H58" s="2622">
        <v>1</v>
      </c>
      <c r="I58" s="2622">
        <v>3.58</v>
      </c>
      <c r="J58" s="2622">
        <v>3.08</v>
      </c>
      <c r="K58" s="2622">
        <v>4.34</v>
      </c>
      <c r="L58" s="2633">
        <v>3.21</v>
      </c>
      <c r="N58" s="2678">
        <f t="shared" si="140"/>
        <v>3.0497710174814063E-2</v>
      </c>
      <c r="O58" s="2679">
        <f t="shared" si="140"/>
        <v>2.8569772160704998E-2</v>
      </c>
      <c r="P58" s="2679">
        <f t="shared" si="141"/>
        <v>5.1034908866234296E-2</v>
      </c>
      <c r="Q58" s="2679">
        <f t="shared" si="141"/>
        <v>3.245248390207478E-2</v>
      </c>
      <c r="R58" s="2629"/>
      <c r="S58" s="2635">
        <f>B58/B59-1</f>
        <v>3.0497710174814063E-2</v>
      </c>
      <c r="T58" s="2636">
        <f>C58/C59-1</f>
        <v>2.8569772160704998E-2</v>
      </c>
      <c r="U58" s="2636">
        <f>E58/E59-1</f>
        <v>5.1034908866234296E-2</v>
      </c>
      <c r="V58" s="2636">
        <f>F58/F59-1</f>
        <v>3.245248390207478E-2</v>
      </c>
      <c r="X58" s="2677"/>
      <c r="Y58" s="2677"/>
      <c r="Z58" s="2677"/>
    </row>
    <row r="59" spans="1:26" ht="13.8" thickBot="1">
      <c r="A59" s="2619" t="s">
        <v>2605</v>
      </c>
      <c r="B59" s="2646">
        <v>159</v>
      </c>
      <c r="C59" s="2646">
        <v>141</v>
      </c>
      <c r="D59" s="2646">
        <f t="shared" si="120"/>
        <v>141</v>
      </c>
      <c r="E59" s="2646">
        <v>195</v>
      </c>
      <c r="F59" s="2647">
        <v>122</v>
      </c>
      <c r="G59" s="3452">
        <v>2006</v>
      </c>
      <c r="H59" s="2638">
        <v>4</v>
      </c>
      <c r="I59" s="2638">
        <v>3.79</v>
      </c>
      <c r="J59" s="2638">
        <v>2.21</v>
      </c>
      <c r="K59" s="2638">
        <v>5.65</v>
      </c>
      <c r="L59" s="2639">
        <v>5.41</v>
      </c>
      <c r="N59" s="2675">
        <f t="shared" ref="N59:O62" si="144">I59/SUM(I$59:I$62)*(B$59/B$63-1)</f>
        <v>7.245466462748526E-2</v>
      </c>
      <c r="O59" s="2676">
        <f t="shared" si="144"/>
        <v>2.3237230038062766E-2</v>
      </c>
      <c r="P59" s="2676">
        <f t="shared" ref="P59:Q62" si="145">K59/SUM(K$59:K$62)*(E$59/E$63-1)</f>
        <v>0.16146893866323722</v>
      </c>
      <c r="Q59" s="2676">
        <f t="shared" si="145"/>
        <v>5.0755230321793784E-2</v>
      </c>
      <c r="R59" s="2629"/>
      <c r="S59" s="2630"/>
      <c r="T59" s="2631"/>
      <c r="U59" s="2631"/>
      <c r="V59" s="2631"/>
      <c r="X59" s="2677"/>
      <c r="Y59" s="2677"/>
      <c r="Z59" s="2677"/>
    </row>
    <row r="60" spans="1:26">
      <c r="A60" s="2619" t="s">
        <v>2606</v>
      </c>
      <c r="B60" s="2632">
        <f t="shared" ref="B60:C62" si="146">B61+(B$59-B$63)*I60/SUM(I$59:I$62)</f>
        <v>149.00125628140702</v>
      </c>
      <c r="C60" s="2632">
        <f t="shared" si="146"/>
        <v>137.95592286501378</v>
      </c>
      <c r="D60" s="2632">
        <f t="shared" si="120"/>
        <v>137.95592286501378</v>
      </c>
      <c r="E60" s="2632">
        <f t="shared" ref="E60:F62" si="147">E61+(E$59-E$63)*K60/SUM(K$59:K$62)</f>
        <v>169.97231450719823</v>
      </c>
      <c r="F60" s="2632">
        <f t="shared" si="147"/>
        <v>116.21390374331551</v>
      </c>
      <c r="G60" s="3450">
        <v>2006</v>
      </c>
      <c r="H60" s="2643">
        <v>3</v>
      </c>
      <c r="I60" s="2643">
        <v>0.92</v>
      </c>
      <c r="J60" s="2643">
        <v>1.08</v>
      </c>
      <c r="K60" s="2643">
        <v>0.73</v>
      </c>
      <c r="L60" s="2644">
        <v>1.08</v>
      </c>
      <c r="N60" s="2675">
        <f t="shared" si="144"/>
        <v>1.7587939698492462E-2</v>
      </c>
      <c r="O60" s="2676">
        <f t="shared" si="144"/>
        <v>1.1355750425840628E-2</v>
      </c>
      <c r="P60" s="2676">
        <f t="shared" si="145"/>
        <v>2.0862358446754544E-2</v>
      </c>
      <c r="Q60" s="2676">
        <f t="shared" si="145"/>
        <v>1.0132282578103011E-2</v>
      </c>
      <c r="R60" s="2629"/>
      <c r="S60" s="2627"/>
      <c r="T60" s="2628"/>
      <c r="U60" s="2628"/>
      <c r="V60" s="2628"/>
      <c r="X60" s="2677"/>
      <c r="Y60" s="2677"/>
      <c r="Z60" s="2677"/>
    </row>
    <row r="61" spans="1:26">
      <c r="A61" s="2619" t="s">
        <v>2607</v>
      </c>
      <c r="B61" s="2632">
        <f t="shared" si="146"/>
        <v>146.57412060301507</v>
      </c>
      <c r="C61" s="2632">
        <f t="shared" si="146"/>
        <v>136.46831955922866</v>
      </c>
      <c r="D61" s="2632">
        <f t="shared" si="120"/>
        <v>136.46831955922866</v>
      </c>
      <c r="E61" s="2632">
        <f t="shared" si="147"/>
        <v>166.73864894795128</v>
      </c>
      <c r="F61" s="2632">
        <f t="shared" si="147"/>
        <v>115.05882352941177</v>
      </c>
      <c r="G61" s="3450">
        <v>2006</v>
      </c>
      <c r="H61" s="2623">
        <v>2</v>
      </c>
      <c r="I61" s="2623">
        <v>0.96</v>
      </c>
      <c r="J61" s="2623">
        <v>0.25</v>
      </c>
      <c r="K61" s="2623">
        <v>1.9</v>
      </c>
      <c r="L61" s="2634">
        <v>0.95</v>
      </c>
      <c r="N61" s="2675">
        <f t="shared" si="144"/>
        <v>1.8352632728861701E-2</v>
      </c>
      <c r="O61" s="2676">
        <f t="shared" si="144"/>
        <v>2.6286459319075526E-3</v>
      </c>
      <c r="P61" s="2676">
        <f t="shared" si="145"/>
        <v>5.4299289107991269E-2</v>
      </c>
      <c r="Q61" s="2676">
        <f t="shared" si="145"/>
        <v>8.9126559714794995E-3</v>
      </c>
      <c r="R61" s="2629"/>
      <c r="S61" s="2627"/>
      <c r="T61" s="2628"/>
      <c r="U61" s="2628"/>
      <c r="V61" s="2628"/>
      <c r="X61" s="2677"/>
      <c r="Y61" s="2677"/>
      <c r="Z61" s="2677"/>
    </row>
    <row r="62" spans="1:26">
      <c r="A62" s="2619" t="s">
        <v>2608</v>
      </c>
      <c r="B62" s="2632">
        <f t="shared" si="146"/>
        <v>144.04145728643215</v>
      </c>
      <c r="C62" s="2632">
        <f t="shared" si="146"/>
        <v>136.12396694214877</v>
      </c>
      <c r="D62" s="2632">
        <f t="shared" si="120"/>
        <v>136.12396694214877</v>
      </c>
      <c r="E62" s="2632">
        <f t="shared" si="147"/>
        <v>158.32225913621264</v>
      </c>
      <c r="F62" s="2632">
        <f t="shared" si="147"/>
        <v>114.04278074866311</v>
      </c>
      <c r="G62" s="3453">
        <v>2006</v>
      </c>
      <c r="H62" s="2622">
        <v>1</v>
      </c>
      <c r="I62" s="2622">
        <v>2.29</v>
      </c>
      <c r="J62" s="2622">
        <v>3.72</v>
      </c>
      <c r="K62" s="2622">
        <v>0.75</v>
      </c>
      <c r="L62" s="2633">
        <v>0.04</v>
      </c>
      <c r="N62" s="2678">
        <f t="shared" si="144"/>
        <v>4.3778675988638847E-2</v>
      </c>
      <c r="O62" s="2679">
        <f t="shared" si="144"/>
        <v>3.9114251466784385E-2</v>
      </c>
      <c r="P62" s="2679">
        <f t="shared" si="145"/>
        <v>2.1433929911049188E-2</v>
      </c>
      <c r="Q62" s="2679">
        <f t="shared" si="145"/>
        <v>3.7526972511492629E-4</v>
      </c>
      <c r="R62" s="2629"/>
      <c r="S62" s="2635">
        <f>B62/B63-1</f>
        <v>4.3778675988638716E-2</v>
      </c>
      <c r="T62" s="2636">
        <f>C62/C63-1</f>
        <v>3.91142514667846E-2</v>
      </c>
      <c r="U62" s="2636">
        <f>E62/E63-1</f>
        <v>2.143392991104931E-2</v>
      </c>
      <c r="V62" s="2636">
        <f>F62/F63-1</f>
        <v>3.7526972511492396E-4</v>
      </c>
      <c r="X62" s="2677"/>
      <c r="Y62" s="2677"/>
      <c r="Z62" s="2677"/>
    </row>
    <row r="63" spans="1:26" ht="13.8" thickBot="1">
      <c r="A63" s="2619" t="s">
        <v>2609</v>
      </c>
      <c r="B63" s="2646">
        <v>138</v>
      </c>
      <c r="C63" s="2646">
        <v>131</v>
      </c>
      <c r="D63" s="2646">
        <f t="shared" si="120"/>
        <v>131</v>
      </c>
      <c r="E63" s="2646">
        <v>155</v>
      </c>
      <c r="F63" s="2647">
        <v>114</v>
      </c>
      <c r="G63" s="3452">
        <v>2005</v>
      </c>
      <c r="H63" s="2638">
        <v>4</v>
      </c>
      <c r="I63" s="2638">
        <v>3.29</v>
      </c>
      <c r="J63" s="2638">
        <v>1.44</v>
      </c>
      <c r="K63" s="2638">
        <v>0.66</v>
      </c>
      <c r="L63" s="2639">
        <v>7.78</v>
      </c>
      <c r="N63" s="2675">
        <f t="shared" ref="N63:O66" si="148">I63/SUM(I$63:I$66)*(B$63/B$67-1)</f>
        <v>9.9404603216919935E-2</v>
      </c>
      <c r="O63" s="2676">
        <f t="shared" si="148"/>
        <v>4.7636550760861554E-2</v>
      </c>
      <c r="P63" s="2676">
        <f t="shared" ref="P63:Q66" si="149">K63/SUM(K$63:K$66)*(E$63/E$67-1)</f>
        <v>8.3756345177664976E-2</v>
      </c>
      <c r="Q63" s="2676">
        <f t="shared" si="149"/>
        <v>5.2148766661559584E-2</v>
      </c>
      <c r="R63" s="2629"/>
      <c r="S63" s="2630"/>
      <c r="T63" s="2631"/>
      <c r="U63" s="2631"/>
      <c r="V63" s="2631"/>
      <c r="X63" s="2677"/>
      <c r="Y63" s="2677"/>
      <c r="Z63" s="2677"/>
    </row>
    <row r="64" spans="1:26">
      <c r="A64" s="2619" t="s">
        <v>2610</v>
      </c>
      <c r="B64" s="2632">
        <f t="shared" ref="B64:C66" si="150">B65+(B$63-B$67)*I64/SUM(I$63:I$66)</f>
        <v>125.9720430107527</v>
      </c>
      <c r="C64" s="2632">
        <f t="shared" si="150"/>
        <v>125.1883408071749</v>
      </c>
      <c r="D64" s="2632">
        <f t="shared" si="120"/>
        <v>125.1883408071749</v>
      </c>
      <c r="E64" s="2632">
        <f t="shared" ref="E64:F66" si="151">E65+(E$63-E$67)*K64/SUM(K$63:K$66)</f>
        <v>144.61421319796952</v>
      </c>
      <c r="F64" s="2632">
        <f t="shared" si="151"/>
        <v>108.42008196721311</v>
      </c>
      <c r="G64" s="3450">
        <v>2005</v>
      </c>
      <c r="H64" s="2643">
        <v>3</v>
      </c>
      <c r="I64" s="2643">
        <v>0.46</v>
      </c>
      <c r="J64" s="2643">
        <v>0.32</v>
      </c>
      <c r="K64" s="2643">
        <v>0.42</v>
      </c>
      <c r="L64" s="2644">
        <v>0.64</v>
      </c>
      <c r="N64" s="2675">
        <f t="shared" si="148"/>
        <v>1.3898515951301874E-2</v>
      </c>
      <c r="O64" s="2676">
        <f t="shared" si="148"/>
        <v>1.0585900169080346E-2</v>
      </c>
      <c r="P64" s="2676">
        <f t="shared" si="149"/>
        <v>5.3299492385786795E-2</v>
      </c>
      <c r="Q64" s="2676">
        <f t="shared" si="149"/>
        <v>4.2898728359123568E-3</v>
      </c>
      <c r="R64" s="2629"/>
      <c r="S64" s="2627"/>
      <c r="T64" s="2628"/>
      <c r="U64" s="2628"/>
      <c r="V64" s="2628"/>
      <c r="X64" s="2677"/>
      <c r="Y64" s="2677"/>
      <c r="Z64" s="2677"/>
    </row>
    <row r="65" spans="1:26">
      <c r="A65" s="2619" t="s">
        <v>2611</v>
      </c>
      <c r="B65" s="2632">
        <f t="shared" si="150"/>
        <v>124.29032258064517</v>
      </c>
      <c r="C65" s="2632">
        <f t="shared" si="150"/>
        <v>123.8968609865471</v>
      </c>
      <c r="D65" s="2632">
        <f t="shared" si="120"/>
        <v>123.8968609865471</v>
      </c>
      <c r="E65" s="2632">
        <f t="shared" si="151"/>
        <v>138.00507614213197</v>
      </c>
      <c r="F65" s="2632">
        <f t="shared" si="151"/>
        <v>107.96106557377048</v>
      </c>
      <c r="G65" s="3450">
        <v>2005</v>
      </c>
      <c r="H65" s="2623">
        <v>2</v>
      </c>
      <c r="I65" s="2623">
        <v>0.47</v>
      </c>
      <c r="J65" s="2623">
        <v>0.1</v>
      </c>
      <c r="K65" s="2623">
        <v>0.52</v>
      </c>
      <c r="L65" s="2634">
        <v>0.79</v>
      </c>
      <c r="N65" s="2675">
        <f t="shared" si="148"/>
        <v>1.420065760241713E-2</v>
      </c>
      <c r="O65" s="2676">
        <f t="shared" si="148"/>
        <v>3.3080938028376083E-3</v>
      </c>
      <c r="P65" s="2676">
        <f t="shared" si="149"/>
        <v>6.598984771573603E-2</v>
      </c>
      <c r="Q65" s="2676">
        <f t="shared" si="149"/>
        <v>5.2953117818293153E-3</v>
      </c>
      <c r="R65" s="2629"/>
      <c r="S65" s="2627"/>
      <c r="T65" s="2628"/>
      <c r="U65" s="2628"/>
      <c r="V65" s="2628"/>
      <c r="X65" s="2677"/>
      <c r="Y65" s="2677"/>
      <c r="Z65" s="2677"/>
    </row>
    <row r="66" spans="1:26">
      <c r="A66" s="2619" t="s">
        <v>2612</v>
      </c>
      <c r="B66" s="2632">
        <f t="shared" si="150"/>
        <v>122.57204301075269</v>
      </c>
      <c r="C66" s="2632">
        <f t="shared" si="150"/>
        <v>123.4932735426009</v>
      </c>
      <c r="D66" s="2632">
        <f t="shared" si="120"/>
        <v>123.4932735426009</v>
      </c>
      <c r="E66" s="2632">
        <f t="shared" si="151"/>
        <v>129.82233502538071</v>
      </c>
      <c r="F66" s="2632">
        <f t="shared" si="151"/>
        <v>107.39446721311475</v>
      </c>
      <c r="G66" s="3453">
        <v>2005</v>
      </c>
      <c r="H66" s="2622">
        <v>1</v>
      </c>
      <c r="I66" s="2622">
        <v>0.43</v>
      </c>
      <c r="J66" s="2622">
        <v>0.37</v>
      </c>
      <c r="K66" s="2622">
        <v>0.37</v>
      </c>
      <c r="L66" s="2633">
        <v>0.55000000000000004</v>
      </c>
      <c r="N66" s="2678">
        <f t="shared" si="148"/>
        <v>1.2992090997956099E-2</v>
      </c>
      <c r="O66" s="2679">
        <f t="shared" si="148"/>
        <v>1.2239947070499151E-2</v>
      </c>
      <c r="P66" s="2679">
        <f t="shared" si="149"/>
        <v>4.6954314720812178E-2</v>
      </c>
      <c r="Q66" s="2679">
        <f t="shared" si="149"/>
        <v>3.6866094683621815E-3</v>
      </c>
      <c r="R66" s="2629"/>
      <c r="S66" s="2635">
        <f>B66/B67-1</f>
        <v>1.2992090997956174E-2</v>
      </c>
      <c r="T66" s="2636">
        <f>C66/C67-1</f>
        <v>1.2239947070499246E-2</v>
      </c>
      <c r="U66" s="2636">
        <f>E66/E67-1</f>
        <v>4.695431472081224E-2</v>
      </c>
      <c r="V66" s="2636">
        <f>F66/F67-1</f>
        <v>3.6866094683620787E-3</v>
      </c>
      <c r="X66" s="2677"/>
      <c r="Y66" s="2677"/>
      <c r="Z66" s="2677"/>
    </row>
    <row r="67" spans="1:26" ht="13.8" thickBot="1">
      <c r="A67" s="2619" t="s">
        <v>2613</v>
      </c>
      <c r="B67" s="2662">
        <v>121</v>
      </c>
      <c r="C67" s="2662">
        <v>122</v>
      </c>
      <c r="D67" s="2662">
        <f t="shared" si="120"/>
        <v>122</v>
      </c>
      <c r="E67" s="2662">
        <v>124</v>
      </c>
      <c r="F67" s="2663">
        <v>107</v>
      </c>
      <c r="G67" s="3452">
        <v>2004</v>
      </c>
      <c r="H67" s="2638">
        <v>4</v>
      </c>
      <c r="I67" s="2638">
        <v>0.33</v>
      </c>
      <c r="J67" s="2638">
        <v>0.5</v>
      </c>
      <c r="K67" s="2638">
        <v>0.5</v>
      </c>
      <c r="L67" s="2639">
        <v>0</v>
      </c>
      <c r="N67" s="2675">
        <f t="shared" ref="N67:O70" si="152">I67/SUM(I$67:I$70)*(B$67/B$71-1)</f>
        <v>1.3391770148526898E-2</v>
      </c>
      <c r="O67" s="2676">
        <f t="shared" si="152"/>
        <v>1.063264221158958E-2</v>
      </c>
      <c r="P67" s="2676">
        <f t="shared" ref="P67:Q70" si="153">K67/SUM(K$67:K$70)*(E$67/E$71-1)</f>
        <v>2.2244466688911134E-2</v>
      </c>
      <c r="Q67" s="2676">
        <f t="shared" si="153"/>
        <v>0</v>
      </c>
      <c r="R67" s="2629"/>
      <c r="S67" s="2630"/>
      <c r="T67" s="2631"/>
      <c r="U67" s="2631"/>
      <c r="V67" s="2631"/>
      <c r="X67" s="2677"/>
      <c r="Y67" s="2677"/>
      <c r="Z67" s="2677"/>
    </row>
    <row r="68" spans="1:26">
      <c r="A68" s="2619" t="s">
        <v>2614</v>
      </c>
      <c r="B68" s="2632">
        <f t="shared" ref="B68:C70" si="154">B69+(B$67-B$71)*I68/SUM(I$67:I$70)</f>
        <v>119.51351351351352</v>
      </c>
      <c r="C68" s="2632">
        <f t="shared" si="154"/>
        <v>120.7878787878788</v>
      </c>
      <c r="D68" s="2632">
        <f t="shared" si="120"/>
        <v>120.7878787878788</v>
      </c>
      <c r="E68" s="2632">
        <f t="shared" ref="E68:F70" si="155">E69+(E$67-E$71)*K68/SUM(K$67:K$70)</f>
        <v>121.5975975975976</v>
      </c>
      <c r="F68" s="2632">
        <f t="shared" si="155"/>
        <v>107</v>
      </c>
      <c r="G68" s="3450">
        <v>2004</v>
      </c>
      <c r="H68" s="2643">
        <v>3</v>
      </c>
      <c r="I68" s="2643">
        <v>0.56000000000000005</v>
      </c>
      <c r="J68" s="2643">
        <v>0.8</v>
      </c>
      <c r="K68" s="2643">
        <v>0.83</v>
      </c>
      <c r="L68" s="2644">
        <v>0.06</v>
      </c>
      <c r="N68" s="2675">
        <f t="shared" si="152"/>
        <v>2.2725428130833527E-2</v>
      </c>
      <c r="O68" s="2676">
        <f t="shared" si="152"/>
        <v>1.7012227538543329E-2</v>
      </c>
      <c r="P68" s="2676">
        <f t="shared" si="153"/>
        <v>3.6925814703592477E-2</v>
      </c>
      <c r="Q68" s="2676">
        <f t="shared" si="153"/>
        <v>2.8846153846153744E-2</v>
      </c>
      <c r="R68" s="2629"/>
      <c r="S68" s="2627"/>
      <c r="T68" s="2628"/>
      <c r="U68" s="2628"/>
      <c r="V68" s="2628"/>
      <c r="X68" s="2677"/>
      <c r="Y68" s="2677"/>
      <c r="Z68" s="2677"/>
    </row>
    <row r="69" spans="1:26">
      <c r="A69" s="2619" t="s">
        <v>2615</v>
      </c>
      <c r="B69" s="2632">
        <f t="shared" si="154"/>
        <v>116.99099099099099</v>
      </c>
      <c r="C69" s="2632">
        <f t="shared" si="154"/>
        <v>118.84848484848486</v>
      </c>
      <c r="D69" s="2632">
        <f t="shared" si="120"/>
        <v>118.84848484848486</v>
      </c>
      <c r="E69" s="2632">
        <f t="shared" si="155"/>
        <v>117.60960960960961</v>
      </c>
      <c r="F69" s="2632">
        <f t="shared" si="155"/>
        <v>104</v>
      </c>
      <c r="G69" s="3450">
        <v>2004</v>
      </c>
      <c r="H69" s="2623">
        <v>2</v>
      </c>
      <c r="I69" s="2623">
        <v>1</v>
      </c>
      <c r="J69" s="2623">
        <v>1.5</v>
      </c>
      <c r="K69" s="2623">
        <v>1.5</v>
      </c>
      <c r="L69" s="2634">
        <v>0</v>
      </c>
      <c r="N69" s="2675">
        <f t="shared" si="152"/>
        <v>4.0581121662202721E-2</v>
      </c>
      <c r="O69" s="2676">
        <f t="shared" si="152"/>
        <v>3.1897926634768738E-2</v>
      </c>
      <c r="P69" s="2676">
        <f t="shared" si="153"/>
        <v>6.6733400066733395E-2</v>
      </c>
      <c r="Q69" s="2676">
        <f t="shared" si="153"/>
        <v>0</v>
      </c>
      <c r="R69" s="2629"/>
      <c r="S69" s="2627"/>
      <c r="T69" s="2628"/>
      <c r="U69" s="2628"/>
      <c r="V69" s="2628"/>
      <c r="X69" s="2677"/>
      <c r="Y69" s="2677"/>
      <c r="Z69" s="2677"/>
    </row>
    <row r="70" spans="1:26" s="2668" customFormat="1" ht="13.8" thickBot="1">
      <c r="A70" s="2619" t="s">
        <v>2616</v>
      </c>
      <c r="B70" s="2665">
        <f t="shared" si="154"/>
        <v>112.48648648648648</v>
      </c>
      <c r="C70" s="2665">
        <f t="shared" si="154"/>
        <v>115.21212121212122</v>
      </c>
      <c r="D70" s="2665">
        <f t="shared" si="120"/>
        <v>115.21212121212122</v>
      </c>
      <c r="E70" s="2665">
        <f t="shared" si="155"/>
        <v>110.4024024024024</v>
      </c>
      <c r="F70" s="2665">
        <f t="shared" si="155"/>
        <v>104</v>
      </c>
      <c r="G70" s="3453">
        <v>2004</v>
      </c>
      <c r="H70" s="2666">
        <v>1</v>
      </c>
      <c r="I70" s="2666">
        <v>0.33</v>
      </c>
      <c r="J70" s="2666">
        <v>0.5</v>
      </c>
      <c r="K70" s="2666">
        <v>0.5</v>
      </c>
      <c r="L70" s="2667">
        <v>0</v>
      </c>
      <c r="N70" s="2680">
        <f t="shared" si="152"/>
        <v>1.3391770148526898E-2</v>
      </c>
      <c r="O70" s="2681">
        <f t="shared" si="152"/>
        <v>1.063264221158958E-2</v>
      </c>
      <c r="P70" s="2681">
        <f t="shared" si="153"/>
        <v>2.2244466688911134E-2</v>
      </c>
      <c r="Q70" s="2681">
        <f t="shared" si="153"/>
        <v>0</v>
      </c>
      <c r="R70" s="2671"/>
      <c r="S70" s="2669">
        <f>B70/B71-1</f>
        <v>1.3391770148526883E-2</v>
      </c>
      <c r="T70" s="2670">
        <f>C70/C71-1</f>
        <v>1.063264221158966E-2</v>
      </c>
      <c r="U70" s="2670">
        <f>E70/E71-1</f>
        <v>2.2244466688911224E-2</v>
      </c>
      <c r="V70" s="2670">
        <f>F70/F71-1</f>
        <v>0</v>
      </c>
      <c r="X70" s="2682"/>
      <c r="Y70" s="2682"/>
      <c r="Z70" s="2682"/>
    </row>
    <row r="71" spans="1:26" ht="13.8" thickBot="1">
      <c r="A71" s="2619" t="s">
        <v>2617</v>
      </c>
      <c r="B71" s="2683">
        <v>111</v>
      </c>
      <c r="C71" s="2683">
        <v>114</v>
      </c>
      <c r="D71" s="2683">
        <f t="shared" si="120"/>
        <v>114</v>
      </c>
      <c r="E71" s="2683">
        <v>108</v>
      </c>
      <c r="F71" s="2684">
        <v>104</v>
      </c>
      <c r="G71" s="3452">
        <v>2003</v>
      </c>
      <c r="H71" s="2673">
        <v>4</v>
      </c>
      <c r="I71" s="2685"/>
      <c r="J71" s="2685"/>
      <c r="K71" s="2685"/>
      <c r="L71" s="2685"/>
      <c r="N71" s="2686"/>
      <c r="O71" s="2685"/>
      <c r="P71" s="2685"/>
      <c r="Q71" s="2685"/>
      <c r="S71" s="2686"/>
      <c r="T71" s="2685"/>
      <c r="U71" s="2685"/>
      <c r="V71" s="2685"/>
      <c r="X71" s="2677"/>
      <c r="Y71" s="2677"/>
      <c r="Z71" s="2677"/>
    </row>
    <row r="72" spans="1:26">
      <c r="A72" s="2619" t="s">
        <v>2618</v>
      </c>
      <c r="B72" s="2687">
        <f t="shared" ref="B72:C74" si="156">B73+(B$71-B$75)/4</f>
        <v>109.75</v>
      </c>
      <c r="C72" s="2687">
        <f t="shared" si="156"/>
        <v>112.25</v>
      </c>
      <c r="D72" s="2687">
        <f t="shared" si="120"/>
        <v>112.25</v>
      </c>
      <c r="E72" s="2687">
        <f t="shared" ref="E72:F74" si="157">E73+(E$71-E$75)/4</f>
        <v>107.25</v>
      </c>
      <c r="F72" s="2687">
        <f t="shared" si="157"/>
        <v>103.5</v>
      </c>
      <c r="G72" s="3450">
        <v>2003</v>
      </c>
      <c r="H72" s="2643">
        <v>3</v>
      </c>
      <c r="I72" s="2685"/>
      <c r="J72" s="2685"/>
      <c r="K72" s="2685"/>
      <c r="L72" s="2685"/>
      <c r="X72" s="2677"/>
      <c r="Y72" s="2677"/>
      <c r="Z72" s="2677"/>
    </row>
    <row r="73" spans="1:26">
      <c r="A73" s="2619" t="s">
        <v>2619</v>
      </c>
      <c r="B73" s="2687">
        <f t="shared" si="156"/>
        <v>108.5</v>
      </c>
      <c r="C73" s="2687">
        <f t="shared" si="156"/>
        <v>110.5</v>
      </c>
      <c r="D73" s="2687">
        <f t="shared" si="120"/>
        <v>110.5</v>
      </c>
      <c r="E73" s="2687">
        <f t="shared" si="157"/>
        <v>106.5</v>
      </c>
      <c r="F73" s="2687">
        <f t="shared" si="157"/>
        <v>103</v>
      </c>
      <c r="G73" s="3450">
        <v>2003</v>
      </c>
      <c r="H73" s="2623">
        <v>2</v>
      </c>
      <c r="I73" s="2685"/>
      <c r="J73" s="2685"/>
      <c r="K73" s="2685"/>
      <c r="L73" s="2685"/>
      <c r="X73" s="2677"/>
      <c r="Y73" s="2677"/>
      <c r="Z73" s="2677"/>
    </row>
    <row r="74" spans="1:26" ht="13.8" thickBot="1">
      <c r="A74" s="2619" t="s">
        <v>2620</v>
      </c>
      <c r="B74" s="2687">
        <f t="shared" si="156"/>
        <v>107.25</v>
      </c>
      <c r="C74" s="2687">
        <f t="shared" si="156"/>
        <v>108.75</v>
      </c>
      <c r="D74" s="2687">
        <f t="shared" si="120"/>
        <v>108.75</v>
      </c>
      <c r="E74" s="2687">
        <f t="shared" si="157"/>
        <v>105.75</v>
      </c>
      <c r="F74" s="2687">
        <f t="shared" si="157"/>
        <v>102.5</v>
      </c>
      <c r="G74" s="3453">
        <v>2003</v>
      </c>
      <c r="H74" s="2688">
        <v>1</v>
      </c>
      <c r="I74" s="2685"/>
      <c r="J74" s="2685"/>
      <c r="K74" s="2685"/>
      <c r="L74" s="2685"/>
      <c r="S74" s="2627"/>
      <c r="T74" s="2628"/>
      <c r="U74" s="2628"/>
      <c r="X74" s="2677"/>
      <c r="Y74" s="2677"/>
      <c r="Z74" s="2677"/>
    </row>
    <row r="75" spans="1:26" ht="13.8" thickBot="1">
      <c r="A75" s="2619" t="s">
        <v>2621</v>
      </c>
      <c r="B75" s="2689">
        <v>106</v>
      </c>
      <c r="C75" s="2689">
        <v>107</v>
      </c>
      <c r="D75" s="2689">
        <f t="shared" si="120"/>
        <v>107</v>
      </c>
      <c r="E75" s="2689">
        <v>105</v>
      </c>
      <c r="F75" s="2690">
        <v>102</v>
      </c>
      <c r="G75" s="3452">
        <v>2002</v>
      </c>
      <c r="H75" s="2638">
        <v>4</v>
      </c>
      <c r="I75" s="2685"/>
      <c r="J75" s="2685"/>
      <c r="K75" s="2685"/>
      <c r="L75" s="2685"/>
      <c r="N75" s="2686"/>
      <c r="O75" s="2685"/>
      <c r="P75" s="2685"/>
      <c r="Q75" s="2685"/>
      <c r="S75" s="2686"/>
      <c r="T75" s="2685"/>
      <c r="U75" s="2685"/>
      <c r="V75" s="2685"/>
      <c r="X75" s="2677"/>
      <c r="Y75" s="2677"/>
      <c r="Z75" s="2677"/>
    </row>
    <row r="76" spans="1:26">
      <c r="A76" s="2619" t="s">
        <v>2622</v>
      </c>
      <c r="B76" s="2687">
        <f t="shared" ref="B76:C78" si="158">B77+(B$75-B$79)/4</f>
        <v>105</v>
      </c>
      <c r="C76" s="2687">
        <f t="shared" si="158"/>
        <v>106</v>
      </c>
      <c r="D76" s="2687">
        <f t="shared" si="120"/>
        <v>106</v>
      </c>
      <c r="E76" s="2687">
        <f t="shared" ref="E76:F78" si="159">E77+(E$75-E$79)/4</f>
        <v>104.5</v>
      </c>
      <c r="F76" s="2687">
        <f t="shared" si="159"/>
        <v>101.5</v>
      </c>
      <c r="G76" s="3450">
        <v>2002</v>
      </c>
      <c r="H76" s="2643">
        <v>3</v>
      </c>
      <c r="I76" s="2685"/>
      <c r="J76" s="2685"/>
      <c r="K76" s="2685"/>
      <c r="L76" s="2685"/>
      <c r="X76" s="2677"/>
      <c r="Y76" s="2677"/>
      <c r="Z76" s="2677"/>
    </row>
    <row r="77" spans="1:26">
      <c r="A77" s="2619" t="s">
        <v>2623</v>
      </c>
      <c r="B77" s="2687">
        <f t="shared" si="158"/>
        <v>104</v>
      </c>
      <c r="C77" s="2687">
        <f t="shared" si="158"/>
        <v>105</v>
      </c>
      <c r="D77" s="2687">
        <f t="shared" si="120"/>
        <v>105</v>
      </c>
      <c r="E77" s="2687">
        <f t="shared" si="159"/>
        <v>104</v>
      </c>
      <c r="F77" s="2687">
        <f t="shared" si="159"/>
        <v>101</v>
      </c>
      <c r="G77" s="3450">
        <v>2002</v>
      </c>
      <c r="H77" s="2623">
        <v>2</v>
      </c>
      <c r="I77" s="2685"/>
      <c r="J77" s="2685"/>
      <c r="K77" s="2685"/>
      <c r="L77" s="2685"/>
      <c r="X77" s="2677"/>
      <c r="Y77" s="2677"/>
      <c r="Z77" s="2677"/>
    </row>
    <row r="78" spans="1:26" s="2654" customFormat="1" ht="13.8" thickBot="1">
      <c r="A78" s="2650" t="s">
        <v>2624</v>
      </c>
      <c r="B78" s="2691">
        <f t="shared" si="158"/>
        <v>103</v>
      </c>
      <c r="C78" s="2691">
        <f t="shared" si="158"/>
        <v>104</v>
      </c>
      <c r="D78" s="2691">
        <f t="shared" si="120"/>
        <v>104</v>
      </c>
      <c r="E78" s="2691">
        <f t="shared" si="159"/>
        <v>103.5</v>
      </c>
      <c r="F78" s="2691">
        <f t="shared" si="159"/>
        <v>100.5</v>
      </c>
      <c r="G78" s="3453">
        <v>2002</v>
      </c>
      <c r="H78" s="2692">
        <v>1</v>
      </c>
      <c r="I78" s="2693"/>
      <c r="J78" s="2693"/>
      <c r="K78" s="2693"/>
      <c r="L78" s="2693"/>
      <c r="N78" s="2694"/>
      <c r="S78" s="2694"/>
      <c r="X78" s="2695"/>
      <c r="Y78" s="2695"/>
      <c r="Z78" s="2695"/>
    </row>
    <row r="79" spans="1:26" ht="13.8" thickBot="1">
      <c r="B79" s="2696">
        <v>102</v>
      </c>
      <c r="C79" s="2697">
        <v>103</v>
      </c>
      <c r="D79" s="2697">
        <f t="shared" si="120"/>
        <v>103</v>
      </c>
      <c r="E79" s="2697">
        <v>103</v>
      </c>
      <c r="F79" s="2698">
        <v>100</v>
      </c>
      <c r="I79" s="2685"/>
      <c r="J79" s="2685"/>
      <c r="K79" s="2685"/>
      <c r="L79" s="2685"/>
      <c r="N79" s="2686"/>
      <c r="O79" s="2685"/>
      <c r="P79" s="2685"/>
      <c r="Q79" s="2685"/>
      <c r="S79" s="2686"/>
      <c r="T79" s="2685"/>
      <c r="U79" s="2685"/>
      <c r="V79" s="2685"/>
      <c r="X79" s="2631"/>
      <c r="Y79" s="2631"/>
      <c r="Z79" s="2631"/>
    </row>
    <row r="81" spans="1:22" s="2700" customFormat="1">
      <c r="A81" s="2699" t="s">
        <v>2625</v>
      </c>
      <c r="G81" s="2701"/>
      <c r="N81" s="2701"/>
      <c r="S81" s="2701"/>
    </row>
    <row r="82" spans="1:22" s="2700" customFormat="1">
      <c r="A82" s="2700" t="s">
        <v>2626</v>
      </c>
      <c r="G82" s="2701"/>
      <c r="N82" s="2701"/>
      <c r="S82" s="2701"/>
    </row>
    <row r="83" spans="1:22" s="2700" customFormat="1">
      <c r="A83" s="2700" t="s">
        <v>2627</v>
      </c>
      <c r="G83" s="2701"/>
      <c r="I83" s="2702"/>
      <c r="J83" s="2702"/>
      <c r="K83" s="2702"/>
      <c r="L83" s="2702"/>
      <c r="N83" s="2703"/>
      <c r="O83" s="2702"/>
      <c r="P83" s="2702"/>
      <c r="Q83" s="2702"/>
      <c r="S83" s="2703"/>
      <c r="T83" s="2702"/>
      <c r="U83" s="2702"/>
      <c r="V83" s="2702"/>
    </row>
    <row r="84" spans="1:22" s="2700" customFormat="1">
      <c r="A84" s="2700" t="s">
        <v>2628</v>
      </c>
      <c r="G84" s="2701"/>
      <c r="N84" s="2701"/>
      <c r="S84" s="2701"/>
    </row>
    <row r="91" spans="1:22" ht="13.8" thickBot="1"/>
    <row r="92" spans="1:22">
      <c r="G92" s="2626"/>
      <c r="S92" s="2704" t="s">
        <v>2629</v>
      </c>
      <c r="T92" s="2705" t="s">
        <v>2630</v>
      </c>
      <c r="U92" s="2705" t="s">
        <v>2631</v>
      </c>
      <c r="V92" s="2705" t="s">
        <v>2632</v>
      </c>
    </row>
    <row r="93" spans="1:22">
      <c r="G93" s="2626"/>
      <c r="N93" s="2630"/>
      <c r="O93" s="2631"/>
      <c r="P93" s="2631"/>
      <c r="Q93" s="2631"/>
      <c r="S93" s="2706">
        <v>2006</v>
      </c>
      <c r="T93" s="2707">
        <v>15.1</v>
      </c>
      <c r="U93" s="2707">
        <v>7.43</v>
      </c>
      <c r="V93" s="2707">
        <v>26.26</v>
      </c>
    </row>
    <row r="94" spans="1:22">
      <c r="G94" s="2626"/>
      <c r="N94" s="2630"/>
      <c r="O94" s="2631"/>
      <c r="P94" s="2631"/>
      <c r="Q94" s="2631"/>
      <c r="S94" s="2709">
        <v>2005</v>
      </c>
      <c r="T94" s="2708">
        <v>13.9</v>
      </c>
      <c r="U94" s="2708">
        <v>7.49</v>
      </c>
      <c r="V94" s="2708">
        <v>24.92</v>
      </c>
    </row>
    <row r="95" spans="1:22">
      <c r="G95" s="2626"/>
      <c r="N95" s="2630"/>
      <c r="O95" s="2631"/>
      <c r="P95" s="2631"/>
      <c r="Q95" s="2631"/>
      <c r="S95" s="2706">
        <v>2004</v>
      </c>
      <c r="T95" s="2707">
        <v>9.48</v>
      </c>
      <c r="U95" s="2707">
        <v>7.2</v>
      </c>
      <c r="V95" s="2707">
        <v>14.68</v>
      </c>
    </row>
    <row r="96" spans="1:22">
      <c r="G96" s="2626"/>
      <c r="N96" s="2630"/>
      <c r="O96" s="2631"/>
      <c r="P96" s="2631"/>
      <c r="Q96" s="2631"/>
      <c r="S96" s="2709">
        <v>2003</v>
      </c>
      <c r="T96" s="2708">
        <v>4.5</v>
      </c>
      <c r="U96" s="2708">
        <v>6.12</v>
      </c>
      <c r="V96" s="2708">
        <v>2.34</v>
      </c>
    </row>
    <row r="97" spans="7:22" ht="13.8" thickBot="1">
      <c r="G97" s="2626"/>
      <c r="N97" s="2630"/>
      <c r="O97" s="2631"/>
      <c r="P97" s="2631"/>
      <c r="Q97" s="2631"/>
      <c r="S97" s="2710">
        <v>2002</v>
      </c>
      <c r="T97" s="2711">
        <v>3.59</v>
      </c>
      <c r="U97" s="2711">
        <v>4.54</v>
      </c>
      <c r="V97" s="2711">
        <v>2.5499999999999998</v>
      </c>
    </row>
    <row r="98" spans="7:22">
      <c r="G98" s="2626"/>
      <c r="N98" s="2630"/>
      <c r="O98" s="2631"/>
      <c r="P98" s="2631"/>
      <c r="Q98" s="2631"/>
    </row>
    <row r="99" spans="7:22">
      <c r="G99" s="2626"/>
      <c r="N99" s="2630"/>
      <c r="O99" s="2631"/>
      <c r="P99" s="2631"/>
      <c r="Q99" s="2631"/>
    </row>
    <row r="100" spans="7:22">
      <c r="G100" s="2626"/>
      <c r="N100" s="2630"/>
      <c r="O100" s="2631"/>
      <c r="P100" s="2631"/>
      <c r="Q100" s="2631"/>
    </row>
    <row r="101" spans="7:22">
      <c r="G101" s="2626"/>
      <c r="N101" s="2630"/>
      <c r="O101" s="2631"/>
      <c r="P101" s="2631"/>
      <c r="Q101" s="2631"/>
    </row>
    <row r="102" spans="7:22">
      <c r="G102" s="2626"/>
      <c r="N102" s="2630"/>
      <c r="O102" s="2631"/>
      <c r="P102" s="2631"/>
      <c r="Q102" s="2631"/>
    </row>
    <row r="103" spans="7:22">
      <c r="G103" s="2626"/>
      <c r="N103" s="2630"/>
      <c r="O103" s="2631"/>
      <c r="P103" s="2631"/>
      <c r="Q103" s="2631"/>
    </row>
    <row r="104" spans="7:22">
      <c r="G104" s="2626"/>
      <c r="N104" s="2630"/>
      <c r="O104" s="2631"/>
      <c r="P104" s="2631"/>
      <c r="Q104" s="2631"/>
    </row>
    <row r="105" spans="7:22">
      <c r="G105" s="2626"/>
      <c r="N105" s="2630"/>
      <c r="O105" s="2631"/>
      <c r="P105" s="2631"/>
      <c r="Q105" s="2631"/>
    </row>
    <row r="106" spans="7:22">
      <c r="G106" s="2626"/>
      <c r="N106" s="2630"/>
      <c r="O106" s="2631"/>
      <c r="P106" s="2631"/>
      <c r="Q106" s="2631"/>
    </row>
    <row r="107" spans="7:22">
      <c r="G107" s="2626"/>
      <c r="N107" s="2630"/>
      <c r="O107" s="2631"/>
      <c r="P107" s="2631"/>
      <c r="Q107" s="2631"/>
    </row>
    <row r="108" spans="7:22">
      <c r="G108" s="2626"/>
      <c r="N108" s="2630"/>
      <c r="O108" s="2631"/>
      <c r="P108" s="2631"/>
      <c r="Q108" s="2631"/>
      <c r="S108" s="2626"/>
    </row>
    <row r="109" spans="7:22">
      <c r="G109" s="2626"/>
      <c r="N109" s="2630"/>
      <c r="O109" s="2631"/>
      <c r="P109" s="2631"/>
      <c r="Q109" s="2631"/>
      <c r="S109" s="2626"/>
    </row>
    <row r="110" spans="7:22">
      <c r="G110" s="2626"/>
      <c r="N110" s="2630"/>
      <c r="O110" s="2631"/>
      <c r="P110" s="2631"/>
      <c r="Q110" s="2631"/>
      <c r="S110" s="2626"/>
    </row>
    <row r="111" spans="7:22">
      <c r="G111" s="2626"/>
      <c r="N111" s="2630"/>
      <c r="O111" s="2631"/>
      <c r="P111" s="2631"/>
      <c r="Q111" s="2631"/>
      <c r="S111" s="2626"/>
    </row>
    <row r="112" spans="7:22">
      <c r="G112" s="2626"/>
      <c r="N112" s="2630"/>
      <c r="O112" s="2631"/>
      <c r="P112" s="2631"/>
      <c r="Q112" s="2631"/>
      <c r="S112" s="2626"/>
    </row>
    <row r="113" spans="7:19">
      <c r="G113" s="2626"/>
      <c r="N113" s="2630"/>
      <c r="O113" s="2631"/>
      <c r="P113" s="2631"/>
      <c r="Q113" s="2631"/>
      <c r="S113" s="2626"/>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9" t="s">
        <v>2944</v>
      </c>
      <c r="B1" s="3051"/>
      <c r="C1" s="3051"/>
      <c r="D1" s="3051"/>
      <c r="E1" s="3051"/>
      <c r="F1" s="3051"/>
    </row>
    <row r="2" spans="1:6" ht="15.6">
      <c r="A2" s="3052" t="s">
        <v>2939</v>
      </c>
      <c r="B2" s="3053" t="e">
        <f ca="1">SUMIF(B7:B14,"&lt;&gt;#ref!",B7:B14)</f>
        <v>#DIV/0!</v>
      </c>
      <c r="C2" s="3052" t="s">
        <v>2940</v>
      </c>
      <c r="D2" s="3051"/>
      <c r="E2" s="3051"/>
      <c r="F2" s="3051"/>
    </row>
    <row r="3" spans="1:6" ht="15.6">
      <c r="A3" s="3052" t="s">
        <v>2972</v>
      </c>
      <c r="B3" s="3053" t="e">
        <f ca="1">ROUND(B2*10000/E3,0)</f>
        <v>#DIV/0!</v>
      </c>
      <c r="C3" s="3052" t="s">
        <v>2074</v>
      </c>
      <c r="D3" s="3052" t="s">
        <v>2941</v>
      </c>
      <c r="E3" s="3053">
        <f ca="1">SUMIF(E7:E14,"&lt;&gt;#ref!",E7:E14)</f>
        <v>0</v>
      </c>
      <c r="F3" s="3051"/>
    </row>
    <row r="4" spans="1:6" ht="15.6">
      <c r="A4" s="3052" t="s">
        <v>2948</v>
      </c>
      <c r="B4" s="3053" t="e">
        <f ca="1">ROUND(B2*10000/E4,0)</f>
        <v>#DIV/0!</v>
      </c>
      <c r="C4" s="3052" t="s">
        <v>2074</v>
      </c>
      <c r="D4" s="3052" t="s">
        <v>2949</v>
      </c>
      <c r="E4" s="3053">
        <f ca="1">SUMIF(F7:F14,"&lt;&gt;#ref!",F7:F14)</f>
        <v>0</v>
      </c>
      <c r="F4" s="3051"/>
    </row>
    <row r="5" spans="1:6" ht="15.6">
      <c r="A5" s="3054"/>
      <c r="B5" s="1866"/>
      <c r="C5" s="1866"/>
      <c r="D5" s="1866"/>
      <c r="E5" s="1866"/>
      <c r="F5" s="3051"/>
    </row>
    <row r="6" spans="1:6" ht="31.2">
      <c r="A6" s="3055" t="s">
        <v>2945</v>
      </c>
      <c r="B6" s="3052" t="s">
        <v>2942</v>
      </c>
      <c r="C6" s="3053"/>
      <c r="D6" s="1866"/>
      <c r="E6" s="3052" t="s">
        <v>2943</v>
      </c>
      <c r="F6" s="3052" t="s">
        <v>2947</v>
      </c>
    </row>
    <row r="7" spans="1:6" ht="15.6">
      <c r="A7" s="260" t="s">
        <v>2946</v>
      </c>
      <c r="B7" s="3056" t="e">
        <f ca="1">SUMIF(INDIRECT("'"&amp;A7&amp;"'"&amp;"!A:A"),"总价",INDIRECT("'"&amp;A7&amp;"'"&amp;"!B:B"))</f>
        <v>#DIV/0!</v>
      </c>
      <c r="C7" s="3052" t="s">
        <v>2940</v>
      </c>
      <c r="D7" s="1866"/>
      <c r="E7" s="3057">
        <f ca="1">SUMIF(INDIRECT("'"&amp;A7&amp;"'"&amp;"!C:C"),"建筑面积",INDIRECT("'"&amp;A7&amp;"'"&amp;"!D:D"))</f>
        <v>0</v>
      </c>
      <c r="F7" s="3057">
        <f ca="1">SUMIF(INDIRECT("'"&amp;A7&amp;"'"&amp;"!E:E"),"土地面积",INDIRECT("'"&amp;A7&amp;"'"&amp;"!F:F"))</f>
        <v>0</v>
      </c>
    </row>
    <row r="8" spans="1:6" ht="15.6">
      <c r="A8" s="260"/>
      <c r="B8" s="3056" t="e">
        <f t="shared" ref="B8:B14" ca="1" si="0">SUMIF(INDIRECT("'"&amp;A8&amp;"'"&amp;"!A:A"),"总价",INDIRECT("'"&amp;A8&amp;"'"&amp;"!B:B"))</f>
        <v>#REF!</v>
      </c>
      <c r="C8" s="3052" t="s">
        <v>2940</v>
      </c>
      <c r="D8" s="1866"/>
      <c r="E8" s="3057" t="e">
        <f t="shared" ref="E8:E14" ca="1" si="1">SUMIF(INDIRECT("'"&amp;A8&amp;"'"&amp;"!C:C"),"建筑面积",INDIRECT("'"&amp;A8&amp;"'"&amp;"!D:D"))</f>
        <v>#REF!</v>
      </c>
      <c r="F8" s="3057" t="e">
        <f t="shared" ref="F8:F14" ca="1" si="2">SUMIF(INDIRECT("'"&amp;A8&amp;"'"&amp;"!E:E"),"土地面积",INDIRECT("'"&amp;A8&amp;"'"&amp;"!F:F"))</f>
        <v>#REF!</v>
      </c>
    </row>
    <row r="9" spans="1:6" ht="15.6">
      <c r="A9" s="260"/>
      <c r="B9" s="3056" t="e">
        <f t="shared" ca="1" si="0"/>
        <v>#REF!</v>
      </c>
      <c r="C9" s="3052" t="s">
        <v>2940</v>
      </c>
      <c r="D9" s="1866"/>
      <c r="E9" s="3057" t="e">
        <f t="shared" ca="1" si="1"/>
        <v>#REF!</v>
      </c>
      <c r="F9" s="3057" t="e">
        <f t="shared" ca="1" si="2"/>
        <v>#REF!</v>
      </c>
    </row>
    <row r="10" spans="1:6" ht="15.6">
      <c r="A10" s="260"/>
      <c r="B10" s="3056" t="e">
        <f t="shared" ca="1" si="0"/>
        <v>#REF!</v>
      </c>
      <c r="C10" s="3052" t="s">
        <v>2940</v>
      </c>
      <c r="D10" s="1866"/>
      <c r="E10" s="3057" t="e">
        <f t="shared" ca="1" si="1"/>
        <v>#REF!</v>
      </c>
      <c r="F10" s="3057" t="e">
        <f t="shared" ca="1" si="2"/>
        <v>#REF!</v>
      </c>
    </row>
    <row r="11" spans="1:6" ht="15.6">
      <c r="A11" s="260"/>
      <c r="B11" s="3056" t="e">
        <f t="shared" ca="1" si="0"/>
        <v>#REF!</v>
      </c>
      <c r="C11" s="3052" t="s">
        <v>2940</v>
      </c>
      <c r="D11" s="1866"/>
      <c r="E11" s="3057" t="e">
        <f t="shared" ca="1" si="1"/>
        <v>#REF!</v>
      </c>
      <c r="F11" s="3057" t="e">
        <f t="shared" ca="1" si="2"/>
        <v>#REF!</v>
      </c>
    </row>
    <row r="12" spans="1:6" ht="15.6">
      <c r="A12" s="260"/>
      <c r="B12" s="3056" t="e">
        <f t="shared" ca="1" si="0"/>
        <v>#REF!</v>
      </c>
      <c r="C12" s="3052" t="s">
        <v>2940</v>
      </c>
      <c r="D12" s="1866"/>
      <c r="E12" s="3057" t="e">
        <f t="shared" ca="1" si="1"/>
        <v>#REF!</v>
      </c>
      <c r="F12" s="3057" t="e">
        <f t="shared" ca="1" si="2"/>
        <v>#REF!</v>
      </c>
    </row>
    <row r="13" spans="1:6" ht="15.6">
      <c r="A13" s="260"/>
      <c r="B13" s="3056" t="e">
        <f t="shared" ca="1" si="0"/>
        <v>#REF!</v>
      </c>
      <c r="C13" s="3052" t="s">
        <v>2940</v>
      </c>
      <c r="D13" s="1866"/>
      <c r="E13" s="3057" t="e">
        <f t="shared" ca="1" si="1"/>
        <v>#REF!</v>
      </c>
      <c r="F13" s="3057" t="e">
        <f t="shared" ca="1" si="2"/>
        <v>#REF!</v>
      </c>
    </row>
    <row r="14" spans="1:6" ht="15.6">
      <c r="A14" s="3050"/>
      <c r="B14" s="3056" t="e">
        <f t="shared" ca="1" si="0"/>
        <v>#REF!</v>
      </c>
      <c r="C14" s="3052" t="s">
        <v>2940</v>
      </c>
      <c r="D14" s="1866"/>
      <c r="E14" s="3057" t="e">
        <f t="shared" ca="1" si="1"/>
        <v>#REF!</v>
      </c>
      <c r="F14" s="3057"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1902</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受贵公司委托，我公司对太原市尖草坪区大东流村出让国有建设用地使用权抵押价格进行了预评估。</v>
      </c>
    </row>
    <row r="5" spans="1:4" ht="17.399999999999999">
      <c r="A5" s="1779" t="s">
        <v>1903</v>
      </c>
    </row>
    <row r="6" spans="1:4" ht="69.599999999999994">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太原市尖草坪区大东流村出让国有建设用地使用权。根据《国有土地使用证》[]，估价对象（分摊）出让国有建设用地使用权面积为13713.98平方米。根据《建设工程规划许可证》[]、《出让合同》[]，估价对象规划建筑面积为110119平方米。</v>
      </c>
    </row>
    <row r="7" spans="1:4" ht="52.2">
      <c r="A7" s="1780" t="s">
        <v>2741</v>
      </c>
    </row>
    <row r="8" spans="1:4" ht="17.399999999999999">
      <c r="A8" s="1779" t="s">
        <v>1904</v>
      </c>
    </row>
    <row r="9" spans="1:4" ht="69.599999999999994">
      <c r="A9" s="1781" t="str">
        <f>IF(项目基本情况!B8="抵押",IF(项目基本情况!B5=项目基本情况!B6,定义!C51,定义!B51),定义!D51)</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2" t="s">
        <v>2022</v>
      </c>
    </row>
    <row r="11" spans="1:4" ht="17.399999999999999">
      <c r="A11" s="1765" t="str">
        <f>TEXT(项目基本情况!D3,"yyyy年m月d日;;")&amp;IF(项目基本情况!B3=项目基本情况!D3,"（评估专业人员勘察现场之日）","")</f>
        <v>2020年6月24日</v>
      </c>
    </row>
    <row r="12" spans="1:4" ht="17.399999999999999">
      <c r="A12" s="1782" t="s">
        <v>2021</v>
      </c>
    </row>
    <row r="13" spans="1:4" ht="17.399999999999999">
      <c r="A13" s="1776" t="s">
        <v>2937</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2068</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4.799999999999997">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6" t="s">
        <v>2069</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根据《国有土地使用证》[]，估价对象（分摊）出让国有建设用地使用权面积为13713.98平方米。根据《建设工程规划许可证》[]、《出让合同》[]，估价对象规划建筑面积为110119平方米。</v>
      </c>
    </row>
    <row r="21" spans="1:1" ht="17.399999999999999">
      <c r="A21" s="1776" t="s">
        <v>2070</v>
      </c>
    </row>
    <row r="22" spans="1:1" ht="87">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2058年9月18日车库2058年9月18日。截至估价期日，出让国有建设用地使用权剩余土地使用年限为。</v>
      </c>
    </row>
    <row r="23" spans="1:1" ht="17.399999999999999">
      <c r="A23" s="1776" t="str">
        <f>IF(项目基本情况!B16="出让","本次评估设定估价对象剩余土地使用年限为"&amp;项目基本情况!D20&amp;"。","")</f>
        <v>本次评估设定估价对象剩余土地使用年限为。</v>
      </c>
    </row>
    <row r="24" spans="1:1" ht="17.399999999999999">
      <c r="A24" s="1776" t="s">
        <v>2071</v>
      </c>
    </row>
    <row r="25" spans="1:1" ht="87">
      <c r="A25" s="1776" t="str">
        <f>定义!C53</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row>
    <row r="26" spans="1:1" ht="52.2">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2023</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34" zoomScale="70" zoomScaleNormal="70" workbookViewId="0">
      <selection activeCell="L53" sqref="L53"/>
    </sheetView>
  </sheetViews>
  <sheetFormatPr defaultColWidth="9" defaultRowHeight="15"/>
  <cols>
    <col min="1" max="1" width="9" style="2083"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8.33203125" style="2044" customWidth="1"/>
    <col min="16" max="16" width="30.21875" style="2044" customWidth="1"/>
    <col min="17" max="17" width="13.77734375" style="2044" customWidth="1"/>
    <col min="18" max="18" width="22.21875" style="2044" customWidth="1"/>
    <col min="19" max="19" width="1.44140625" style="2044" customWidth="1"/>
    <col min="20" max="25" width="9" style="2044"/>
    <col min="26" max="16384" width="9" style="2045"/>
  </cols>
  <sheetData>
    <row r="1" spans="1:25" s="2039" customFormat="1" ht="21.6">
      <c r="A1" s="772" t="s">
        <v>628</v>
      </c>
      <c r="B1" s="738"/>
      <c r="C1" s="773"/>
      <c r="D1" s="2035"/>
      <c r="E1" s="2351" t="s">
        <v>2369</v>
      </c>
      <c r="F1" s="2352">
        <f ca="1">J54</f>
        <v>-1.5</v>
      </c>
      <c r="G1" s="774">
        <f>MATCH(C1,'数据-取费表'!A6:A16,0)+5</f>
        <v>8</v>
      </c>
      <c r="H1" s="1345"/>
      <c r="I1" s="2036"/>
      <c r="J1" s="2036"/>
      <c r="K1" s="2037"/>
      <c r="L1" s="2036"/>
      <c r="M1" s="2036"/>
      <c r="N1" s="2038"/>
      <c r="O1" s="2038"/>
      <c r="P1" s="2038"/>
      <c r="Q1" s="2038"/>
      <c r="R1" s="2038"/>
      <c r="S1" s="2038"/>
      <c r="T1" s="2038"/>
      <c r="U1" s="2038"/>
      <c r="V1" s="2038"/>
      <c r="W1" s="2038"/>
      <c r="X1" s="2038"/>
      <c r="Y1" s="2038"/>
    </row>
    <row r="2" spans="1:25" ht="18" customHeight="1">
      <c r="A2" s="1629" t="s">
        <v>629</v>
      </c>
      <c r="B2" s="775">
        <f ca="1">IF(ISERROR(C45+J31),0,C45+J31)</f>
        <v>0</v>
      </c>
      <c r="C2" s="1346"/>
      <c r="D2" s="2040"/>
      <c r="E2" s="2041"/>
      <c r="F2" s="2041"/>
      <c r="G2" s="1576"/>
      <c r="H2" s="1358"/>
      <c r="I2" s="2042"/>
      <c r="J2" s="2042"/>
      <c r="K2" s="2043"/>
      <c r="L2" s="2042"/>
      <c r="M2" s="2042"/>
    </row>
    <row r="3" spans="1:25" ht="18" customHeight="1">
      <c r="A3" s="1630" t="s">
        <v>1684</v>
      </c>
      <c r="B3" s="1387">
        <f ca="1">ROUND(B2*10000/'数据-汇总表'!E3,0)</f>
        <v>0</v>
      </c>
      <c r="C3" s="1346"/>
      <c r="D3" s="2040"/>
      <c r="E3" s="2041"/>
      <c r="F3" s="2041"/>
      <c r="G3" s="1576"/>
      <c r="H3" s="776" t="s">
        <v>695</v>
      </c>
      <c r="I3" s="2042"/>
      <c r="J3" s="2042"/>
      <c r="K3" s="2043"/>
      <c r="L3" s="2042"/>
      <c r="M3" s="2042"/>
    </row>
    <row r="4" spans="1:25" ht="18" customHeight="1">
      <c r="A4" s="1631" t="s">
        <v>696</v>
      </c>
      <c r="B4" s="1347">
        <f ca="1">ROUND(B2*10000/'数据-汇总表'!D3,0)</f>
        <v>0</v>
      </c>
      <c r="C4" s="428"/>
      <c r="D4" s="2040"/>
      <c r="E4" s="2041"/>
      <c r="F4" s="2041"/>
      <c r="G4" s="1576"/>
      <c r="H4" s="776"/>
      <c r="I4" s="2042"/>
      <c r="J4" s="2042"/>
      <c r="K4" s="2043"/>
      <c r="L4" s="2042"/>
      <c r="M4" s="2042"/>
    </row>
    <row r="5" spans="1:25" ht="18" customHeight="1" thickBot="1">
      <c r="A5" s="1632"/>
      <c r="B5" s="430">
        <f ca="1">ROUND(B2/('数据-汇总表'!D3/666.67),0)</f>
        <v>0</v>
      </c>
      <c r="C5" s="431" t="s">
        <v>697</v>
      </c>
      <c r="D5" s="2040"/>
      <c r="E5" s="2041"/>
      <c r="F5" s="2041"/>
      <c r="G5" s="1576"/>
      <c r="H5" s="776"/>
      <c r="I5" s="2042"/>
      <c r="J5" s="2042"/>
      <c r="K5" s="2043"/>
      <c r="L5" s="2042"/>
      <c r="M5" s="2042"/>
    </row>
    <row r="6" spans="1:25" ht="18" customHeight="1">
      <c r="A6" s="1813" t="s">
        <v>698</v>
      </c>
      <c r="B6" s="1805" t="s">
        <v>699</v>
      </c>
      <c r="C6" s="1805" t="s">
        <v>632</v>
      </c>
      <c r="D6" s="1805" t="s">
        <v>633</v>
      </c>
      <c r="E6" s="779" t="s">
        <v>634</v>
      </c>
      <c r="F6" s="780"/>
      <c r="G6" s="1578"/>
      <c r="H6" s="1813" t="s">
        <v>630</v>
      </c>
      <c r="I6" s="1805" t="s">
        <v>631</v>
      </c>
      <c r="J6" s="1805" t="s">
        <v>632</v>
      </c>
      <c r="K6" s="1805" t="s">
        <v>633</v>
      </c>
      <c r="L6" s="779" t="s">
        <v>634</v>
      </c>
      <c r="M6" s="780"/>
    </row>
    <row r="7" spans="1:25" ht="18" customHeight="1">
      <c r="A7" s="781">
        <v>1</v>
      </c>
      <c r="B7" s="782" t="s">
        <v>2453</v>
      </c>
      <c r="C7" s="53">
        <f ca="1">C8+C12+C14</f>
        <v>0</v>
      </c>
      <c r="D7" s="2460" t="s">
        <v>2456</v>
      </c>
      <c r="E7" s="2454"/>
      <c r="F7" s="2455"/>
      <c r="G7" s="1578"/>
      <c r="H7" s="781">
        <v>1</v>
      </c>
      <c r="I7" s="782" t="s">
        <v>2453</v>
      </c>
      <c r="J7" s="53">
        <f ca="1">J8+J12+J14</f>
        <v>0</v>
      </c>
      <c r="K7" s="2460" t="s">
        <v>2456</v>
      </c>
      <c r="L7" s="2454"/>
      <c r="M7" s="2455"/>
    </row>
    <row r="8" spans="1:25" ht="18" customHeight="1">
      <c r="A8" s="1815" t="s">
        <v>1822</v>
      </c>
      <c r="B8" s="3461" t="s">
        <v>2458</v>
      </c>
      <c r="C8" s="1810">
        <f ca="1">ROUND(F8*F10*F9*(1-F11)/10000,0)</f>
        <v>0</v>
      </c>
      <c r="D8" s="1807" t="s">
        <v>2529</v>
      </c>
      <c r="E8" s="61" t="s">
        <v>637</v>
      </c>
      <c r="F8" s="785">
        <f ca="1">INDIRECT("'数据-取费表'!u"&amp;$G$1)</f>
        <v>0</v>
      </c>
      <c r="G8" s="1578"/>
      <c r="H8" s="2468" t="s">
        <v>1822</v>
      </c>
      <c r="I8" s="3461" t="s">
        <v>2458</v>
      </c>
      <c r="J8" s="783">
        <f ca="1">ROUND(M8*M10*M9*(1-M11)/10000,0)</f>
        <v>0</v>
      </c>
      <c r="K8" s="341" t="s">
        <v>2529</v>
      </c>
      <c r="L8" s="784" t="s">
        <v>1736</v>
      </c>
      <c r="M8" s="785">
        <f ca="1">INDIRECT("'数据-取费表'!z"&amp;$G$1)</f>
        <v>0</v>
      </c>
    </row>
    <row r="9" spans="1:25" ht="18" customHeight="1">
      <c r="A9" s="2464"/>
      <c r="B9" s="3462"/>
      <c r="C9" s="1811"/>
      <c r="D9" s="1808"/>
      <c r="E9" s="61" t="s">
        <v>638</v>
      </c>
      <c r="F9" s="785">
        <f ca="1">IF(INDIRECT("'数据-取费表'!ah"&amp;$G$1)="",INDIRECT("'数据-取费表'!k"&amp;$G$1),INDIRECT("'数据-取费表'!ah"&amp;$G$1))</f>
        <v>0</v>
      </c>
      <c r="G9" s="1578"/>
      <c r="H9" s="2453"/>
      <c r="I9" s="3462"/>
      <c r="J9" s="788"/>
      <c r="K9" s="789"/>
      <c r="L9" s="784" t="s">
        <v>1737</v>
      </c>
      <c r="M9" s="785">
        <f ca="1">F9</f>
        <v>0</v>
      </c>
    </row>
    <row r="10" spans="1:25" ht="18" customHeight="1">
      <c r="A10" s="2457"/>
      <c r="B10" s="3463"/>
      <c r="C10" s="1811"/>
      <c r="D10" s="1808"/>
      <c r="E10" s="61" t="s">
        <v>639</v>
      </c>
      <c r="F10" s="785">
        <f ca="1">INDIRECT("'数据-取费表'!ai"&amp;$G$1)</f>
        <v>0</v>
      </c>
      <c r="G10" s="1578"/>
      <c r="H10" s="2453"/>
      <c r="I10" s="3463"/>
      <c r="J10" s="788"/>
      <c r="K10" s="789"/>
      <c r="L10" s="784" t="s">
        <v>1738</v>
      </c>
      <c r="M10" s="785">
        <f ca="1">INDIRECT("'数据-取费表'!ai"&amp;$G$1)</f>
        <v>0</v>
      </c>
    </row>
    <row r="11" spans="1:25" ht="18" customHeight="1">
      <c r="A11" s="786"/>
      <c r="B11" s="3464"/>
      <c r="C11" s="1811"/>
      <c r="D11" s="1808"/>
      <c r="E11" s="61" t="s">
        <v>640</v>
      </c>
      <c r="F11" s="794">
        <f ca="1">INDIRECT("'数据-取费表'!w"&amp;$G$1)</f>
        <v>0</v>
      </c>
      <c r="G11" s="1578"/>
      <c r="H11" s="2469"/>
      <c r="I11" s="3463"/>
      <c r="J11" s="788"/>
      <c r="K11" s="789"/>
      <c r="L11" s="795" t="s">
        <v>1739</v>
      </c>
      <c r="M11" s="796">
        <f ca="1">INDIRECT("'数据-取费表'!ab"&amp;$G$1)</f>
        <v>0</v>
      </c>
    </row>
    <row r="12" spans="1:25" ht="18" customHeight="1">
      <c r="A12" s="1815" t="s">
        <v>1823</v>
      </c>
      <c r="B12" s="2458" t="s">
        <v>2454</v>
      </c>
      <c r="C12" s="799">
        <f ca="1">ROUND(IF(F12="押一",C8/12*F13,IF(F12="押二",C8/12*2*F13,IF(F12="押三",C8/12*3*F13,C13*F13))),0)</f>
        <v>0</v>
      </c>
      <c r="D12" s="2465" t="s">
        <v>2969</v>
      </c>
      <c r="E12" s="2462" t="s">
        <v>2459</v>
      </c>
      <c r="F12" s="2585"/>
      <c r="G12" s="1578"/>
      <c r="H12" s="2525" t="s">
        <v>1823</v>
      </c>
      <c r="I12" s="2530" t="s">
        <v>2454</v>
      </c>
      <c r="J12" s="783">
        <f ca="1">ROUND(IF(M12="押一",J8/12*M13,IF(M12="押二",J8/12*2*M13,IF(M12="押三",J8/12*3*M13,J13*M13))),0)</f>
        <v>0</v>
      </c>
      <c r="K12" s="2465" t="s">
        <v>2969</v>
      </c>
      <c r="L12" s="2462" t="s">
        <v>2459</v>
      </c>
      <c r="M12" s="2585"/>
    </row>
    <row r="13" spans="1:25" ht="18" customHeight="1">
      <c r="A13" s="790"/>
      <c r="B13" s="2459" t="s">
        <v>2568</v>
      </c>
      <c r="C13" s="2463"/>
      <c r="D13" s="789"/>
      <c r="E13" s="2462" t="s">
        <v>2451</v>
      </c>
      <c r="F13" s="796">
        <f ca="1">'数据-取费表'!B39</f>
        <v>1.4999999999999999E-2</v>
      </c>
      <c r="G13" s="1578"/>
      <c r="H13" s="2526"/>
      <c r="I13" s="2459" t="s">
        <v>2568</v>
      </c>
      <c r="J13" s="2463"/>
      <c r="K13" s="2527"/>
      <c r="L13" s="2462" t="s">
        <v>2451</v>
      </c>
      <c r="M13" s="2456">
        <f ca="1">'数据-取费表'!B39</f>
        <v>1.4999999999999999E-2</v>
      </c>
    </row>
    <row r="14" spans="1:25" ht="18" customHeight="1" thickBot="1">
      <c r="A14" s="2501" t="s">
        <v>2462</v>
      </c>
      <c r="B14" s="2502" t="s">
        <v>2455</v>
      </c>
      <c r="C14" s="2503"/>
      <c r="D14" s="2504"/>
      <c r="E14" s="2505"/>
      <c r="F14" s="2506"/>
      <c r="G14" s="1578"/>
      <c r="H14" s="2515" t="s">
        <v>2462</v>
      </c>
      <c r="I14" s="2528" t="s">
        <v>2455</v>
      </c>
      <c r="J14" s="2529"/>
      <c r="K14" s="2504"/>
      <c r="L14" s="2505"/>
      <c r="M14" s="2518"/>
    </row>
    <row r="15" spans="1:25" ht="18" customHeight="1" thickTop="1">
      <c r="A15" s="1814" t="s">
        <v>1872</v>
      </c>
      <c r="B15" s="1812" t="s">
        <v>641</v>
      </c>
      <c r="C15" s="792">
        <f ca="1">ROUND(C31*F15,0)</f>
        <v>0</v>
      </c>
      <c r="D15" s="1819" t="s">
        <v>642</v>
      </c>
      <c r="E15" s="795" t="s">
        <v>643</v>
      </c>
      <c r="F15" s="800">
        <f ca="1">INDIRECT("'数据-取费表'!y"&amp;$G$1)</f>
        <v>0</v>
      </c>
      <c r="G15" s="1578"/>
      <c r="H15" s="1814" t="s">
        <v>1824</v>
      </c>
      <c r="I15" s="1812" t="s">
        <v>644</v>
      </c>
      <c r="J15" s="1804">
        <f ca="1">ROUND(J16*J17,0)</f>
        <v>0</v>
      </c>
      <c r="K15" s="1806" t="s">
        <v>642</v>
      </c>
      <c r="L15" s="801"/>
      <c r="M15" s="802"/>
    </row>
    <row r="16" spans="1:25" ht="18" customHeight="1">
      <c r="A16" s="803" t="s">
        <v>1873</v>
      </c>
      <c r="B16" s="784" t="s">
        <v>645</v>
      </c>
      <c r="C16" s="804">
        <f ca="1">INDIRECT("'数据-取费表'!m"&amp;$G$1)+INDIRECT("'数据-取费表'!t"&amp;$G$1)</f>
        <v>0</v>
      </c>
      <c r="D16" s="1964" t="s">
        <v>646</v>
      </c>
      <c r="E16" s="1965"/>
      <c r="F16" s="805"/>
      <c r="G16" s="1578"/>
      <c r="H16" s="803" t="s">
        <v>2065</v>
      </c>
      <c r="I16" s="2216" t="s">
        <v>2819</v>
      </c>
      <c r="J16" s="53">
        <f ca="1">C31</f>
        <v>0</v>
      </c>
      <c r="K16" s="26"/>
      <c r="L16" s="801"/>
      <c r="M16" s="802"/>
    </row>
    <row r="17" spans="1:25" s="2049" customFormat="1" ht="18" customHeight="1">
      <c r="A17" s="803" t="s">
        <v>1847</v>
      </c>
      <c r="B17" s="784" t="s">
        <v>647</v>
      </c>
      <c r="C17" s="53">
        <f ca="1">ROUND(C16*F17,0)</f>
        <v>0</v>
      </c>
      <c r="D17" s="806" t="s">
        <v>648</v>
      </c>
      <c r="E17" s="806" t="s">
        <v>649</v>
      </c>
      <c r="F17" s="807">
        <f>'数据-取费表'!B33</f>
        <v>0.03</v>
      </c>
      <c r="G17" s="1579"/>
      <c r="H17" s="803" t="s">
        <v>2066</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8"/>
      <c r="H18" s="797" t="s">
        <v>1825</v>
      </c>
      <c r="I18" s="798" t="s">
        <v>651</v>
      </c>
      <c r="J18" s="799">
        <f ca="1">ROUND(J19+J24+J25+J26,0)</f>
        <v>0</v>
      </c>
      <c r="K18" s="26" t="s">
        <v>652</v>
      </c>
      <c r="L18" s="1967"/>
      <c r="M18" s="56"/>
    </row>
    <row r="19" spans="1:25" s="2049" customFormat="1" ht="18" customHeight="1">
      <c r="A19" s="803" t="s">
        <v>1849</v>
      </c>
      <c r="B19" s="784" t="s">
        <v>653</v>
      </c>
      <c r="C19" s="53">
        <f ca="1">ROUND(F19*(INDIRECT("'数据-取费表'!k"&amp;$G$1)+INDIRECT("'数据-取费表'!S"&amp;$G$1))/10000,0)</f>
        <v>0</v>
      </c>
      <c r="D19" s="784" t="s">
        <v>654</v>
      </c>
      <c r="E19" s="784" t="s">
        <v>655</v>
      </c>
      <c r="F19" s="56">
        <f>'数据-取费表'!B35</f>
        <v>200</v>
      </c>
      <c r="G19" s="1579"/>
      <c r="H19" s="803" t="s">
        <v>2065</v>
      </c>
      <c r="I19" s="784" t="s">
        <v>656</v>
      </c>
      <c r="J19" s="53">
        <f ca="1">ROUND(IF(项目基本情况!B11="自然人",J8*M19/(1+'数据-取费表'!C42),J20+J21+J22),0)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1850</v>
      </c>
      <c r="B20" s="784" t="s">
        <v>659</v>
      </c>
      <c r="C20" s="53">
        <f ca="1">ROUND(C16*F20,0)</f>
        <v>0</v>
      </c>
      <c r="D20" s="784" t="s">
        <v>648</v>
      </c>
      <c r="E20" s="784" t="s">
        <v>649</v>
      </c>
      <c r="F20" s="809">
        <f>'数据-取费表'!B36</f>
        <v>1.4999999999999999E-2</v>
      </c>
      <c r="G20" s="1579"/>
      <c r="H20" s="803" t="s">
        <v>1829</v>
      </c>
      <c r="I20" s="784" t="s">
        <v>660</v>
      </c>
      <c r="J20" s="53">
        <f ca="1">ROUND(J8*M20/(1+'数据-取费表'!C42),1)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1874</v>
      </c>
      <c r="B21" s="784" t="s">
        <v>662</v>
      </c>
      <c r="C21" s="53">
        <f ca="1">SUM(C16:C20)</f>
        <v>0</v>
      </c>
      <c r="D21" s="261" t="s">
        <v>663</v>
      </c>
      <c r="E21" s="1967"/>
      <c r="F21" s="56"/>
      <c r="G21" s="1578"/>
      <c r="H21" s="1815"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9" customFormat="1" ht="18" customHeight="1">
      <c r="A22" s="803" t="s">
        <v>1875</v>
      </c>
      <c r="B22" s="784" t="s">
        <v>666</v>
      </c>
      <c r="C22" s="53">
        <f ca="1">ROUND(C21*F22,0)</f>
        <v>0</v>
      </c>
      <c r="D22" s="812" t="s">
        <v>667</v>
      </c>
      <c r="E22" s="784" t="s">
        <v>649</v>
      </c>
      <c r="F22" s="809">
        <f>'数据-取费表'!B37</f>
        <v>0.02</v>
      </c>
      <c r="G22" s="1579"/>
      <c r="H22" s="1817" t="s">
        <v>1848</v>
      </c>
      <c r="I22" s="1807" t="s">
        <v>668</v>
      </c>
      <c r="J22" s="54">
        <f ca="1">ROUND(M22*M23/10000,0)</f>
        <v>0</v>
      </c>
      <c r="K22" s="814" t="s">
        <v>669</v>
      </c>
      <c r="L22" s="784" t="s">
        <v>670</v>
      </c>
      <c r="M22" s="640">
        <f>'数据-取费表'!B52</f>
        <v>0</v>
      </c>
      <c r="N22" s="2048"/>
      <c r="O22" s="2048"/>
      <c r="P22" s="2048"/>
      <c r="Q22" s="2048"/>
      <c r="R22" s="2048"/>
      <c r="S22" s="2048"/>
      <c r="T22" s="2048"/>
      <c r="U22" s="2048"/>
      <c r="V22" s="2048"/>
      <c r="W22" s="2048"/>
      <c r="X22" s="2048"/>
      <c r="Y22" s="2048"/>
    </row>
    <row r="23" spans="1:25" s="2049" customFormat="1" ht="18" customHeight="1">
      <c r="A23" s="803" t="s">
        <v>1876</v>
      </c>
      <c r="B23" s="784" t="s">
        <v>671</v>
      </c>
      <c r="C23" s="53" t="s">
        <v>1</v>
      </c>
      <c r="D23" s="812" t="s">
        <v>672</v>
      </c>
      <c r="E23" s="784" t="s">
        <v>673</v>
      </c>
      <c r="F23" s="809">
        <f>'数据-取费表'!B38</f>
        <v>0.02</v>
      </c>
      <c r="G23" s="1579"/>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1877</v>
      </c>
      <c r="B24" s="784" t="s">
        <v>675</v>
      </c>
      <c r="C24" s="53"/>
      <c r="D24" s="2536" t="str">
        <f>IF(F25&lt;=1,"单利计息。","复利计息。")&amp;"建造成本、管理费用、销售费用产生的利息。"</f>
        <v>复利计息。建造成本、管理费用、销售费用产生的利息。</v>
      </c>
      <c r="E24" s="1967"/>
      <c r="F24" s="56"/>
      <c r="G24" s="1578"/>
      <c r="H24" s="1816" t="s">
        <v>2066</v>
      </c>
      <c r="I24" s="784" t="s">
        <v>676</v>
      </c>
      <c r="J24" s="53">
        <f ca="1">ROUND(J16*M24,0)</f>
        <v>0</v>
      </c>
      <c r="K24" s="1962" t="s">
        <v>677</v>
      </c>
      <c r="L24" s="784" t="s">
        <v>649</v>
      </c>
      <c r="M24" s="817">
        <f ca="1">INDIRECT("'数据-取费表'!Ak"&amp;$G$1)</f>
        <v>0</v>
      </c>
    </row>
    <row r="25" spans="1:25" s="2049" customFormat="1" ht="18" customHeight="1">
      <c r="A25" s="803" t="s">
        <v>1873</v>
      </c>
      <c r="B25" s="784" t="s">
        <v>2432</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1.5</v>
      </c>
      <c r="G25" s="1579"/>
      <c r="H25" s="803" t="s">
        <v>1876</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1847</v>
      </c>
      <c r="B26" s="784" t="s">
        <v>681</v>
      </c>
      <c r="C26" s="53">
        <f ca="1">ROUND(IF('数据-取费表'!B22&lt;=1,F23*F26*F25/2,F23*(POWER((1+F26),F25/2)-1)),4)</f>
        <v>6.9999999999999999E-4</v>
      </c>
      <c r="D26" s="2535" t="str">
        <f>IF(F25&lt;=1,"销售费用×利率×(建设周期÷2)","销售费用×((1+利率)^(建设周期÷2)-1)")</f>
        <v>销售费用×((1+利率)^(建设周期÷2)-1)</v>
      </c>
      <c r="E26" s="784" t="s">
        <v>682</v>
      </c>
      <c r="F26" s="819">
        <f ca="1">'数据-取费表'!B40</f>
        <v>4.7500000000000001E-2</v>
      </c>
      <c r="G26" s="1579"/>
      <c r="H26" s="803" t="s">
        <v>1877</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1879</v>
      </c>
      <c r="B27" s="784" t="s">
        <v>684</v>
      </c>
      <c r="C27" s="53"/>
      <c r="D27" s="261" t="s">
        <v>685</v>
      </c>
      <c r="E27" s="1967"/>
      <c r="F27" s="56"/>
      <c r="G27" s="1578"/>
      <c r="H27" s="797" t="s">
        <v>1826</v>
      </c>
      <c r="I27" s="2963" t="s">
        <v>2816</v>
      </c>
      <c r="J27" s="799">
        <f ca="1">J7-J18</f>
        <v>0</v>
      </c>
      <c r="K27" s="1964" t="s">
        <v>700</v>
      </c>
      <c r="L27" s="1966"/>
      <c r="M27" s="820"/>
    </row>
    <row r="28" spans="1:25" ht="18" customHeight="1">
      <c r="A28" s="803" t="s">
        <v>1873</v>
      </c>
      <c r="B28" s="784" t="s">
        <v>2433</v>
      </c>
      <c r="C28" s="53">
        <f ca="1">ROUND((C21+C22)*F28,0)</f>
        <v>0</v>
      </c>
      <c r="D28" s="812" t="s">
        <v>701</v>
      </c>
      <c r="E28" s="795" t="s">
        <v>702</v>
      </c>
      <c r="F28" s="794">
        <f ca="1">INDIRECT("'数据-取费表'!q"&amp;$G$1)</f>
        <v>0</v>
      </c>
      <c r="G28" s="1578"/>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8"/>
      <c r="H29" s="786"/>
      <c r="I29" s="787"/>
      <c r="J29" s="788"/>
      <c r="K29" s="821" t="s">
        <v>707</v>
      </c>
      <c r="L29" s="784" t="s">
        <v>708</v>
      </c>
      <c r="M29" s="822">
        <f ca="1">INDIRECT("'数据-取费表'!ag"&amp;$G$1)</f>
        <v>0</v>
      </c>
    </row>
    <row r="30" spans="1:25" s="2049" customFormat="1" ht="18" customHeight="1">
      <c r="A30" s="803" t="s">
        <v>1880</v>
      </c>
      <c r="B30" s="784" t="s">
        <v>687</v>
      </c>
      <c r="C30" s="53">
        <f>ROUND(F30/(1+'数据-取费表'!C42),4)</f>
        <v>5.33E-2</v>
      </c>
      <c r="D30" s="812" t="s">
        <v>709</v>
      </c>
      <c r="E30" s="784" t="s">
        <v>649</v>
      </c>
      <c r="F30" s="809">
        <f>'数据-取费表'!B41</f>
        <v>5.6000000000000001E-2</v>
      </c>
      <c r="G30" s="1579"/>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1881</v>
      </c>
      <c r="B31" s="2505" t="s">
        <v>2817</v>
      </c>
      <c r="C31" s="2508">
        <f ca="1">ROUND((C21+C22+C25+C28)/(1-F23-C26-C29-C30),0)</f>
        <v>0</v>
      </c>
      <c r="D31" s="2509"/>
      <c r="E31" s="2510"/>
      <c r="F31" s="2511"/>
      <c r="G31" s="1579"/>
      <c r="H31" s="823" t="s">
        <v>1870</v>
      </c>
      <c r="I31" s="2964" t="s">
        <v>2818</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1874</v>
      </c>
      <c r="B33" s="784" t="s">
        <v>656</v>
      </c>
      <c r="C33" s="53">
        <f ca="1">ROUND(IF(项目基本情况!B11="自然人",C8*F33/(1+'数据-取费表'!C42),C34+C35+C36),1)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1873</v>
      </c>
      <c r="B34" s="784" t="s">
        <v>660</v>
      </c>
      <c r="C34" s="53">
        <f ca="1">ROUND(C8*F34/(1+'数据-取费表'!C42),1)</f>
        <v>0</v>
      </c>
      <c r="D34" s="1962" t="s">
        <v>661</v>
      </c>
      <c r="E34" s="784" t="s">
        <v>649</v>
      </c>
      <c r="F34" s="809">
        <f>'数据-取费表'!B41</f>
        <v>5.6000000000000001E-2</v>
      </c>
      <c r="G34" s="2047"/>
      <c r="H34" s="2056"/>
      <c r="I34" s="2057"/>
      <c r="J34" s="2058"/>
      <c r="K34" s="2059"/>
      <c r="L34" s="2060"/>
      <c r="M34" s="2061"/>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7"/>
      <c r="H35" s="2062"/>
      <c r="I35" s="2062"/>
      <c r="J35" s="2062"/>
      <c r="K35" s="2063"/>
      <c r="L35" s="2062"/>
      <c r="M35" s="2062"/>
    </row>
    <row r="36" spans="1:18" ht="18" customHeight="1">
      <c r="A36" s="813" t="s">
        <v>1878</v>
      </c>
      <c r="B36" s="341" t="s">
        <v>668</v>
      </c>
      <c r="C36" s="54">
        <f ca="1">ROUND(F36*F37/10000,1)</f>
        <v>0</v>
      </c>
      <c r="D36" s="814" t="s">
        <v>669</v>
      </c>
      <c r="E36" s="784" t="s">
        <v>670</v>
      </c>
      <c r="F36" s="640">
        <f>'数据-取费表'!B52</f>
        <v>0</v>
      </c>
      <c r="G36" s="2047"/>
      <c r="H36" s="2050"/>
      <c r="I36" s="3460"/>
      <c r="J36" s="2064"/>
      <c r="K36" s="2065"/>
      <c r="L36" s="2064"/>
      <c r="M36" s="2064"/>
    </row>
    <row r="37" spans="1:18" ht="18" customHeight="1">
      <c r="A37" s="815"/>
      <c r="B37" s="793"/>
      <c r="C37" s="69"/>
      <c r="D37" s="816"/>
      <c r="E37" s="784" t="s">
        <v>674</v>
      </c>
      <c r="F37" s="785">
        <f ca="1">INDIRECT("'数据-取费表'!r"&amp;$G$1)</f>
        <v>0</v>
      </c>
      <c r="G37" s="2047"/>
      <c r="H37" s="2050"/>
      <c r="I37" s="3460"/>
      <c r="J37" s="2062"/>
      <c r="K37" s="2063"/>
      <c r="L37" s="2062"/>
      <c r="M37" s="2062"/>
    </row>
    <row r="38" spans="1:18" ht="18" customHeight="1">
      <c r="A38" s="803" t="s">
        <v>1875</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1876</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1877</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8"/>
      <c r="D41" s="1349"/>
      <c r="E41" s="1349"/>
      <c r="F41" s="1350"/>
      <c r="G41" s="2047"/>
      <c r="H41" s="2047"/>
      <c r="I41" s="2047"/>
      <c r="J41" s="2047"/>
      <c r="K41" s="2068"/>
      <c r="L41" s="2047"/>
      <c r="M41" s="2047"/>
    </row>
    <row r="42" spans="1:18" ht="18" customHeight="1">
      <c r="A42" s="803" t="s">
        <v>1874</v>
      </c>
      <c r="B42" s="835" t="s">
        <v>693</v>
      </c>
      <c r="C42" s="829">
        <f ca="1">C7-C32</f>
        <v>0</v>
      </c>
      <c r="D42" s="1964" t="s">
        <v>694</v>
      </c>
      <c r="E42" s="1966"/>
      <c r="F42" s="820"/>
      <c r="G42" s="2047"/>
      <c r="H42" s="2047"/>
      <c r="I42" s="2047"/>
      <c r="J42" s="2047"/>
      <c r="K42" s="2068"/>
      <c r="L42" s="2047"/>
      <c r="M42" s="2047"/>
    </row>
    <row r="43" spans="1:18" ht="18" customHeight="1">
      <c r="A43" s="803" t="s">
        <v>1875</v>
      </c>
      <c r="B43" s="835" t="s">
        <v>711</v>
      </c>
      <c r="C43" s="836">
        <f ca="1">ROUND(C15*F43,0)</f>
        <v>0</v>
      </c>
      <c r="D43" s="1351" t="s">
        <v>712</v>
      </c>
      <c r="E43" s="3068" t="s">
        <v>2957</v>
      </c>
      <c r="F43" s="3069">
        <f ca="1">INDIRECT("'数据-取费表'!j"&amp;$G$1)</f>
        <v>0</v>
      </c>
      <c r="G43" s="2047"/>
      <c r="H43" s="2047"/>
      <c r="I43" s="2047"/>
      <c r="J43" s="2047"/>
      <c r="K43" s="2068"/>
      <c r="L43" s="2047"/>
      <c r="M43" s="2047"/>
    </row>
    <row r="44" spans="1:18" ht="18" customHeight="1">
      <c r="A44" s="803" t="s">
        <v>1876</v>
      </c>
      <c r="B44" s="835" t="s">
        <v>713</v>
      </c>
      <c r="C44" s="1352">
        <f ca="1">C42-C43</f>
        <v>0</v>
      </c>
      <c r="D44" s="463" t="s">
        <v>714</v>
      </c>
      <c r="E44" s="464"/>
      <c r="F44" s="465"/>
      <c r="G44" s="2047"/>
      <c r="H44" s="2047"/>
      <c r="I44" s="2047"/>
      <c r="J44" s="2047"/>
      <c r="K44" s="2068"/>
      <c r="L44" s="2047"/>
      <c r="M44" s="2047"/>
    </row>
    <row r="45" spans="1:18" ht="18" customHeight="1">
      <c r="A45" s="803" t="s">
        <v>1877</v>
      </c>
      <c r="B45" s="1351" t="s">
        <v>715</v>
      </c>
      <c r="C45" s="2990">
        <f ca="1">ROUND(-PV(F45,F46,C44,0),0)</f>
        <v>0</v>
      </c>
      <c r="D45" s="1353" t="s">
        <v>716</v>
      </c>
      <c r="E45" s="806" t="s">
        <v>717</v>
      </c>
      <c r="F45" s="830">
        <f ca="1">INDIRECT("'数据-取费表'!h"&amp;$G$1)</f>
        <v>0</v>
      </c>
      <c r="G45" s="2047"/>
      <c r="H45" s="2047"/>
      <c r="I45" s="2047"/>
      <c r="J45" s="2047"/>
      <c r="K45" s="2068"/>
      <c r="L45" s="2047"/>
      <c r="M45" s="2047"/>
    </row>
    <row r="46" spans="1:18" ht="18" customHeight="1" thickBot="1">
      <c r="A46" s="831"/>
      <c r="B46" s="1354"/>
      <c r="C46" s="1355"/>
      <c r="D46" s="1356"/>
      <c r="E46" s="3070" t="s">
        <v>2960</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2338</v>
      </c>
      <c r="J47" s="2343"/>
      <c r="K47" s="2344"/>
      <c r="L47" s="3102" t="str">
        <f ca="1">IF(M48="住宅",0,IF(L49&gt;J52,L61,J61))</f>
        <v>0</v>
      </c>
      <c r="O47" s="2358" t="s">
        <v>2405</v>
      </c>
      <c r="P47" s="1578"/>
      <c r="Q47" s="1589"/>
      <c r="R47" s="1578"/>
    </row>
    <row r="48" spans="1:18" s="2044" customFormat="1" ht="18" customHeight="1" thickBot="1">
      <c r="A48" s="2069"/>
      <c r="C48" s="2072"/>
      <c r="D48" s="2073"/>
      <c r="E48" s="2073"/>
      <c r="F48" s="2074"/>
      <c r="G48" s="2075"/>
      <c r="I48" s="3093" t="s">
        <v>2339</v>
      </c>
      <c r="J48" s="2345"/>
      <c r="K48" s="3099" t="s">
        <v>2344</v>
      </c>
      <c r="L48" s="3103">
        <f ca="1">INDIRECT("'数据-取费表'!d"&amp;$G$1)</f>
        <v>0</v>
      </c>
      <c r="M48" s="3067" t="str">
        <f>IF(ISNUMBER(FIND("住宅",C1)),"住宅","非住宅")</f>
        <v>非住宅</v>
      </c>
      <c r="O48" s="2359" t="s">
        <v>2370</v>
      </c>
      <c r="P48" s="2360" t="s">
        <v>2371</v>
      </c>
      <c r="Q48" s="2361" t="s">
        <v>2372</v>
      </c>
      <c r="R48" s="2360" t="s">
        <v>2373</v>
      </c>
    </row>
    <row r="49" spans="1:18" s="2044" customFormat="1" ht="18" customHeight="1" thickBot="1">
      <c r="A49" s="2069"/>
      <c r="D49" s="2076"/>
      <c r="E49" s="2077"/>
      <c r="F49" s="2074"/>
      <c r="G49" s="2075"/>
      <c r="H49" s="2078"/>
      <c r="I49" s="3072" t="s">
        <v>2340</v>
      </c>
      <c r="J49" s="2346"/>
      <c r="K49" s="3100" t="s">
        <v>2346</v>
      </c>
      <c r="L49" s="1893">
        <f ca="1">INDIRECT("'数据-取费表'!f"&amp;$G$1)</f>
        <v>0</v>
      </c>
      <c r="O49" s="2362" t="s">
        <v>2374</v>
      </c>
      <c r="P49" s="2363" t="s">
        <v>2400</v>
      </c>
      <c r="Q49" s="2364">
        <f ca="1">C41+J31</f>
        <v>0</v>
      </c>
      <c r="R49" s="2363" t="s">
        <v>2375</v>
      </c>
    </row>
    <row r="50" spans="1:18" s="2044" customFormat="1" ht="18" customHeight="1" thickBot="1">
      <c r="A50" s="2069"/>
      <c r="D50" s="2079"/>
      <c r="E50" s="2079"/>
      <c r="F50" s="2073"/>
      <c r="G50" s="2080"/>
      <c r="H50" s="2078"/>
      <c r="I50" s="3072" t="s">
        <v>2341</v>
      </c>
      <c r="J50" s="2347"/>
      <c r="K50" s="3101" t="s">
        <v>2347</v>
      </c>
      <c r="L50" s="2348"/>
      <c r="O50" s="2362" t="s">
        <v>2376</v>
      </c>
      <c r="P50" s="2363" t="s">
        <v>2401</v>
      </c>
      <c r="Q50" s="2364" t="str">
        <f ca="1">J61</f>
        <v>0</v>
      </c>
      <c r="R50" s="2363" t="s">
        <v>2377</v>
      </c>
    </row>
    <row r="51" spans="1:18" s="2044" customFormat="1" ht="18" customHeight="1" thickBot="1">
      <c r="A51" s="2081"/>
      <c r="D51" s="2079"/>
      <c r="E51" s="2079"/>
      <c r="F51" s="2070"/>
      <c r="H51" s="2078"/>
      <c r="I51" s="3072" t="s">
        <v>2342</v>
      </c>
      <c r="J51" s="3097">
        <f>SUMPRODUCT((I64:I66=J48)*(J63:L63=J49)*(J64:L66))</f>
        <v>0</v>
      </c>
      <c r="K51" s="3101" t="s">
        <v>2348</v>
      </c>
      <c r="L51" s="2348"/>
      <c r="O51" s="2365" t="s">
        <v>2378</v>
      </c>
      <c r="P51" s="2363" t="s">
        <v>2402</v>
      </c>
      <c r="Q51" s="2364">
        <f ca="1">C31</f>
        <v>0</v>
      </c>
      <c r="R51" s="2363" t="s">
        <v>2375</v>
      </c>
    </row>
    <row r="52" spans="1:18" s="2044" customFormat="1" ht="18" customHeight="1" thickBot="1">
      <c r="A52" s="2081"/>
      <c r="F52" s="2070"/>
      <c r="I52" s="3094" t="s">
        <v>2343</v>
      </c>
      <c r="J52" s="3098">
        <f>IF(J50="",J51,J50+J51-YEAR('数据-取费表'!B3))</f>
        <v>0</v>
      </c>
      <c r="K52" s="3072" t="s">
        <v>2349</v>
      </c>
      <c r="L52" s="3104">
        <f ca="1">C45</f>
        <v>0</v>
      </c>
      <c r="O52" s="2365" t="s">
        <v>2379</v>
      </c>
      <c r="P52" s="2363" t="s">
        <v>2380</v>
      </c>
      <c r="Q52" s="2366" t="e">
        <f ca="1">J59</f>
        <v>#VALUE!</v>
      </c>
      <c r="R52" s="2367"/>
    </row>
    <row r="53" spans="1:18" s="2044" customFormat="1" ht="18" customHeight="1" thickBot="1">
      <c r="A53" s="2081"/>
      <c r="F53" s="2070"/>
      <c r="I53" s="3095" t="s">
        <v>2416</v>
      </c>
      <c r="J53" s="2349"/>
      <c r="K53" s="3095" t="s">
        <v>2415</v>
      </c>
      <c r="L53" s="2349"/>
      <c r="O53" s="2365" t="s">
        <v>2381</v>
      </c>
      <c r="P53" s="2363" t="s">
        <v>2382</v>
      </c>
      <c r="Q53" s="2366">
        <f>J53</f>
        <v>0</v>
      </c>
      <c r="R53" s="2367"/>
    </row>
    <row r="54" spans="1:18" s="2044" customFormat="1" ht="31.8" thickBot="1">
      <c r="A54" s="2081"/>
      <c r="I54" s="3096" t="s">
        <v>2973</v>
      </c>
      <c r="J54" s="3175">
        <f ca="1">IF(M48="住宅",MAX(J52,L49-'数据-取费表'!B20),MIN(J52,L49-'数据-取费表'!B20))</f>
        <v>-1.5</v>
      </c>
      <c r="K54" s="3465"/>
      <c r="L54" s="3466"/>
      <c r="O54" s="2365" t="s">
        <v>2383</v>
      </c>
      <c r="P54" s="2363" t="s">
        <v>2384</v>
      </c>
      <c r="Q54" s="2364">
        <f ca="1">J54</f>
        <v>-1.5</v>
      </c>
      <c r="R54" s="2363" t="s">
        <v>2385</v>
      </c>
    </row>
    <row r="55" spans="1:18" s="2044" customFormat="1" ht="18" customHeight="1" thickBot="1">
      <c r="A55" s="2081"/>
      <c r="I55" s="310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5"/>
      <c r="K55" s="3106"/>
      <c r="O55" s="2362" t="s">
        <v>2386</v>
      </c>
      <c r="P55" s="2363" t="s">
        <v>2403</v>
      </c>
      <c r="Q55" s="2364">
        <f ca="1">Q49+Q50</f>
        <v>0</v>
      </c>
      <c r="R55" s="2367" t="s">
        <v>2387</v>
      </c>
    </row>
    <row r="56" spans="1:18" s="2044" customFormat="1" ht="16.2" thickBot="1">
      <c r="A56" s="2081"/>
      <c r="B56" s="2082"/>
      <c r="C56" s="2082"/>
      <c r="I56" s="3107" t="s">
        <v>2350</v>
      </c>
      <c r="J56" s="3047" t="e">
        <f ca="1">ROUND(IF(J48="钢混",J58/J51,1-(1-2%)*(J51-J58)/J51),3)</f>
        <v>#VALUE!</v>
      </c>
      <c r="K56" s="3108" t="s">
        <v>2351</v>
      </c>
      <c r="L56" s="2350"/>
      <c r="O56" s="2368" t="s">
        <v>2406</v>
      </c>
      <c r="P56" s="1578"/>
      <c r="Q56" s="1589"/>
      <c r="R56" s="1578"/>
    </row>
    <row r="57" spans="1:18" s="2044" customFormat="1" ht="47.4" thickBot="1">
      <c r="A57" s="2081"/>
      <c r="B57" s="2082"/>
      <c r="C57" s="2082"/>
      <c r="I57" s="3109" t="s">
        <v>2352</v>
      </c>
      <c r="J57" s="3119" t="s">
        <v>1676</v>
      </c>
      <c r="K57" s="3072" t="s">
        <v>2357</v>
      </c>
      <c r="L57" s="1893">
        <f ca="1">IF(L49&lt;J52,"——",L49-J52)</f>
        <v>0</v>
      </c>
      <c r="O57" s="2359" t="s">
        <v>2370</v>
      </c>
      <c r="P57" s="2360" t="s">
        <v>2371</v>
      </c>
      <c r="Q57" s="2361" t="s">
        <v>2372</v>
      </c>
      <c r="R57" s="2360" t="s">
        <v>2373</v>
      </c>
    </row>
    <row r="58" spans="1:18" s="2044" customFormat="1" ht="31.8" thickBot="1">
      <c r="A58" s="2081"/>
      <c r="B58" s="2082"/>
      <c r="C58" s="2082"/>
      <c r="I58" s="3110" t="s">
        <v>2353</v>
      </c>
      <c r="J58" s="3111" t="str">
        <f ca="1">IF(OR(M48="住宅",J52&lt;L49,J57="是"),"——",J52-L49)</f>
        <v>——</v>
      </c>
      <c r="K58" s="3072" t="s">
        <v>2358</v>
      </c>
      <c r="L58" s="1893">
        <f ca="1">IF(L49&lt;J52,"——",IF(L56="比较法",L50,IF(L56="基准地价",L51,L52)))</f>
        <v>0</v>
      </c>
      <c r="O58" s="2362" t="s">
        <v>2374</v>
      </c>
      <c r="P58" s="2363" t="s">
        <v>2400</v>
      </c>
      <c r="Q58" s="2364">
        <f ca="1">C41+J31</f>
        <v>0</v>
      </c>
      <c r="R58" s="2363" t="s">
        <v>2375</v>
      </c>
    </row>
    <row r="59" spans="1:18" s="2044" customFormat="1" ht="31.8" thickBot="1">
      <c r="A59" s="2081"/>
      <c r="B59" s="2082"/>
      <c r="C59" s="2082"/>
      <c r="I59" s="3110" t="s">
        <v>2354</v>
      </c>
      <c r="J59" s="3048" t="e">
        <f ca="1">IF(J56&lt;0.4,0.4,J56)</f>
        <v>#VALUE!</v>
      </c>
      <c r="K59" s="3072" t="s">
        <v>2359</v>
      </c>
      <c r="L59" s="1893">
        <f ca="1">IF(ISERROR(POWER(1+L53,L48-L49)*(POWER(1+L53,L49)-1)/(POWER(1+L53,L48)-1)),0,POWER(1+L53,L48-L49)*(POWER(1+L53,L49)-1)/(POWER(1+L53,L48)-1))</f>
        <v>0</v>
      </c>
      <c r="O59" s="2362" t="s">
        <v>2376</v>
      </c>
      <c r="P59" s="2363" t="s">
        <v>2407</v>
      </c>
      <c r="Q59" s="2364" t="e">
        <f ca="1">L61</f>
        <v>#DIV/0!</v>
      </c>
      <c r="R59" s="2367" t="s">
        <v>2409</v>
      </c>
    </row>
    <row r="60" spans="1:18" s="2044" customFormat="1" ht="31.8" thickBot="1">
      <c r="A60" s="2081"/>
      <c r="B60" s="2082"/>
      <c r="C60" s="2082"/>
      <c r="I60" s="3110" t="s">
        <v>2355</v>
      </c>
      <c r="J60" s="3111" t="str">
        <f ca="1">IF(OR(M48="住宅",J52&lt;L49,J57="是"),"——",ROUND(C30*J59,0))</f>
        <v>——</v>
      </c>
      <c r="K60" s="3072" t="s">
        <v>2360</v>
      </c>
      <c r="L60" s="1893">
        <f ca="1">IF(ISERROR(POWER(1+L53,L48-J52)*(POWER(1+L53,J52)-1)/(POWER(1+L53,L48)-1)),0,POWER(1+L53,L48-J52)*(POWER(1+L53,J52)-1)/(POWER(1+L53,L48)-1))</f>
        <v>0</v>
      </c>
      <c r="O60" s="2365" t="s">
        <v>2378</v>
      </c>
      <c r="P60" s="2363" t="s">
        <v>2408</v>
      </c>
      <c r="Q60" s="2364">
        <f>IF(L56="比较法",L50,IF(L56="基准地价",L51,0))</f>
        <v>0</v>
      </c>
      <c r="R60" s="2363" t="s">
        <v>2375</v>
      </c>
    </row>
    <row r="61" spans="1:18" s="2044" customFormat="1" ht="16.2" thickBot="1">
      <c r="A61" s="2081"/>
      <c r="B61" s="2082"/>
      <c r="C61" s="2082"/>
      <c r="I61" s="3112" t="s">
        <v>2356</v>
      </c>
      <c r="J61" s="3113" t="str">
        <f ca="1">IF(OR(M48="住宅",J52&lt;L49,J57="是"),"0",ROUND(J60/(1+J53)^J54,0))</f>
        <v>0</v>
      </c>
      <c r="K61" s="3114" t="s">
        <v>2361</v>
      </c>
      <c r="L61" s="3113" t="e">
        <f ca="1">IF(OR(M48="住宅",L49&lt;J52),0,ROUND(L58*(L59/L60-1),0))</f>
        <v>#DIV/0!</v>
      </c>
      <c r="O61" s="2365" t="s">
        <v>2379</v>
      </c>
      <c r="P61" s="2363" t="s">
        <v>2388</v>
      </c>
      <c r="Q61" s="2366">
        <f>L53</f>
        <v>0</v>
      </c>
      <c r="R61" s="2367"/>
    </row>
    <row r="62" spans="1:18" s="2044" customFormat="1" ht="19.2" thickBot="1">
      <c r="A62" s="2081"/>
      <c r="B62" s="2082"/>
      <c r="C62" s="2082"/>
      <c r="K62" s="2071"/>
      <c r="O62" s="2365" t="s">
        <v>2381</v>
      </c>
      <c r="P62" s="2363" t="s">
        <v>2389</v>
      </c>
      <c r="Q62" s="2364">
        <f ca="1">L59</f>
        <v>0</v>
      </c>
      <c r="R62" s="2367" t="s">
        <v>2390</v>
      </c>
    </row>
    <row r="63" spans="1:18" s="2044" customFormat="1" ht="19.2" thickBot="1">
      <c r="A63" s="2081"/>
      <c r="B63" s="2082"/>
      <c r="C63" s="2082"/>
      <c r="I63" s="3115" t="s">
        <v>2362</v>
      </c>
      <c r="J63" s="3116" t="s">
        <v>2363</v>
      </c>
      <c r="K63" s="3116" t="s">
        <v>2364</v>
      </c>
      <c r="L63" s="3116" t="s">
        <v>2345</v>
      </c>
      <c r="M63" s="3117" t="s">
        <v>2938</v>
      </c>
      <c r="O63" s="2365" t="s">
        <v>2383</v>
      </c>
      <c r="P63" s="2363" t="s">
        <v>2391</v>
      </c>
      <c r="Q63" s="2364">
        <f ca="1">L60</f>
        <v>0</v>
      </c>
      <c r="R63" s="2367" t="s">
        <v>2392</v>
      </c>
    </row>
    <row r="64" spans="1:18" s="2044" customFormat="1" ht="16.2" thickBot="1">
      <c r="A64" s="2081"/>
      <c r="B64" s="2082"/>
      <c r="C64" s="2082"/>
      <c r="I64" s="3115" t="s">
        <v>2365</v>
      </c>
      <c r="J64" s="3116">
        <v>70</v>
      </c>
      <c r="K64" s="3116">
        <v>50</v>
      </c>
      <c r="L64" s="3116">
        <v>80</v>
      </c>
      <c r="M64" s="3118">
        <v>0.02</v>
      </c>
      <c r="O64" s="2362" t="s">
        <v>2386</v>
      </c>
      <c r="P64" s="2363" t="s">
        <v>2403</v>
      </c>
      <c r="Q64" s="2364" t="e">
        <f ca="1">Q58+Q59</f>
        <v>#DIV/0!</v>
      </c>
      <c r="R64" s="2367" t="s">
        <v>2387</v>
      </c>
    </row>
    <row r="65" spans="1:18" s="2044" customFormat="1" ht="16.2" thickBot="1">
      <c r="A65" s="2081"/>
      <c r="B65" s="2082"/>
      <c r="C65" s="2082"/>
      <c r="I65" s="3115" t="s">
        <v>2366</v>
      </c>
      <c r="J65" s="3116">
        <v>50</v>
      </c>
      <c r="K65" s="3116">
        <v>35</v>
      </c>
      <c r="L65" s="3116">
        <v>60</v>
      </c>
      <c r="M65" s="846">
        <v>0</v>
      </c>
      <c r="O65" s="2368" t="s">
        <v>2410</v>
      </c>
      <c r="P65" s="1578"/>
      <c r="Q65" s="1589"/>
      <c r="R65" s="1578"/>
    </row>
    <row r="66" spans="1:18" s="2044" customFormat="1" ht="16.2" thickBot="1">
      <c r="A66" s="2081"/>
      <c r="B66" s="2082"/>
      <c r="C66" s="2082"/>
      <c r="I66" s="3115" t="s">
        <v>2367</v>
      </c>
      <c r="J66" s="3116">
        <v>40</v>
      </c>
      <c r="K66" s="3116">
        <v>30</v>
      </c>
      <c r="L66" s="3116">
        <v>50</v>
      </c>
      <c r="M66" s="3118">
        <v>0.02</v>
      </c>
      <c r="O66" s="2359" t="s">
        <v>2370</v>
      </c>
      <c r="P66" s="2360" t="s">
        <v>2371</v>
      </c>
      <c r="Q66" s="2361" t="s">
        <v>2372</v>
      </c>
      <c r="R66" s="2360" t="s">
        <v>2373</v>
      </c>
    </row>
    <row r="67" spans="1:18" s="2044" customFormat="1" ht="16.2" thickBot="1">
      <c r="A67" s="2081"/>
      <c r="B67" s="2082"/>
      <c r="C67" s="2082"/>
      <c r="K67" s="2071"/>
      <c r="O67" s="2362" t="s">
        <v>2374</v>
      </c>
      <c r="P67" s="2363" t="s">
        <v>2400</v>
      </c>
      <c r="Q67" s="2364">
        <f ca="1">C41+J31</f>
        <v>0</v>
      </c>
      <c r="R67" s="2363" t="s">
        <v>2375</v>
      </c>
    </row>
    <row r="68" spans="1:18" s="2044" customFormat="1" ht="19.2" thickBot="1">
      <c r="A68" s="2081"/>
      <c r="B68" s="2082"/>
      <c r="C68" s="2082"/>
      <c r="K68" s="2071"/>
      <c r="O68" s="2362" t="s">
        <v>2376</v>
      </c>
      <c r="P68" s="2363" t="s">
        <v>2407</v>
      </c>
      <c r="Q68" s="2364" t="e">
        <f ca="1">L61</f>
        <v>#DIV/0!</v>
      </c>
      <c r="R68" s="2367" t="s">
        <v>2409</v>
      </c>
    </row>
    <row r="69" spans="1:18" s="2044" customFormat="1" ht="20.399999999999999" thickBot="1">
      <c r="A69" s="2081"/>
      <c r="B69" s="2082"/>
      <c r="C69" s="2082"/>
      <c r="K69" s="2071"/>
      <c r="O69" s="2365" t="s">
        <v>2378</v>
      </c>
      <c r="P69" s="2363" t="s">
        <v>2408</v>
      </c>
      <c r="Q69" s="2369">
        <f ca="1">L52</f>
        <v>0</v>
      </c>
      <c r="R69" s="2370" t="s">
        <v>2411</v>
      </c>
    </row>
    <row r="70" spans="1:18" s="2044" customFormat="1" ht="19.2" thickBot="1">
      <c r="A70" s="2081"/>
      <c r="B70" s="2082"/>
      <c r="C70" s="2082"/>
      <c r="K70" s="2071"/>
      <c r="O70" s="2365" t="s">
        <v>2379</v>
      </c>
      <c r="P70" s="2371" t="s">
        <v>2393</v>
      </c>
      <c r="Q70" s="2364">
        <f ca="1">ROUND(Q71-Q72*Q73,0)</f>
        <v>0</v>
      </c>
      <c r="R70" s="2367"/>
    </row>
    <row r="71" spans="1:18" s="2044" customFormat="1" ht="16.2" thickBot="1">
      <c r="A71" s="2081"/>
      <c r="B71" s="2082"/>
      <c r="C71" s="2082"/>
      <c r="K71" s="2071"/>
      <c r="O71" s="2365" t="s">
        <v>2394</v>
      </c>
      <c r="P71" s="2371" t="s">
        <v>2395</v>
      </c>
      <c r="Q71" s="2364">
        <f ca="1">C42</f>
        <v>0</v>
      </c>
      <c r="R71" s="2363" t="s">
        <v>2375</v>
      </c>
    </row>
    <row r="72" spans="1:18" s="2044" customFormat="1" ht="16.2" thickBot="1">
      <c r="A72" s="2081"/>
      <c r="B72" s="2082"/>
      <c r="C72" s="2082"/>
      <c r="K72" s="2071"/>
      <c r="O72" s="2365" t="s">
        <v>2396</v>
      </c>
      <c r="P72" s="2371" t="s">
        <v>2397</v>
      </c>
      <c r="Q72" s="2364">
        <f ca="1">C15</f>
        <v>0</v>
      </c>
      <c r="R72" s="2363" t="s">
        <v>2375</v>
      </c>
    </row>
    <row r="73" spans="1:18" s="2044" customFormat="1" ht="16.2" thickBot="1">
      <c r="A73" s="2081"/>
      <c r="B73" s="2082"/>
      <c r="C73" s="2082"/>
      <c r="K73" s="2071"/>
      <c r="O73" s="2365" t="s">
        <v>2398</v>
      </c>
      <c r="P73" s="2371" t="s">
        <v>2399</v>
      </c>
      <c r="Q73" s="2366">
        <f ca="1">F43</f>
        <v>0</v>
      </c>
      <c r="R73" s="2367"/>
    </row>
    <row r="74" spans="1:18" s="2044" customFormat="1" ht="16.2" thickBot="1">
      <c r="A74" s="2081"/>
      <c r="B74" s="2082"/>
      <c r="C74" s="2082"/>
      <c r="K74" s="2071"/>
      <c r="O74" s="2365" t="s">
        <v>2381</v>
      </c>
      <c r="P74" s="2363" t="s">
        <v>2388</v>
      </c>
      <c r="Q74" s="2366">
        <f>L53</f>
        <v>0</v>
      </c>
      <c r="R74" s="2367"/>
    </row>
    <row r="75" spans="1:18" s="2044" customFormat="1" ht="19.2" thickBot="1">
      <c r="A75" s="2081"/>
      <c r="B75" s="2082"/>
      <c r="C75" s="2082"/>
      <c r="K75" s="2071"/>
      <c r="O75" s="2365" t="s">
        <v>2383</v>
      </c>
      <c r="P75" s="2363" t="s">
        <v>2389</v>
      </c>
      <c r="Q75" s="2364">
        <f ca="1">L59</f>
        <v>0</v>
      </c>
      <c r="R75" s="2367" t="s">
        <v>2390</v>
      </c>
    </row>
    <row r="76" spans="1:18" s="2044" customFormat="1" ht="19.2" thickBot="1">
      <c r="A76" s="2081"/>
      <c r="B76" s="2082"/>
      <c r="C76" s="2082"/>
      <c r="K76" s="2071"/>
      <c r="O76" s="2365" t="s">
        <v>2412</v>
      </c>
      <c r="P76" s="2363" t="s">
        <v>2391</v>
      </c>
      <c r="Q76" s="2364">
        <f ca="1">L60</f>
        <v>0</v>
      </c>
      <c r="R76" s="2367" t="s">
        <v>2392</v>
      </c>
    </row>
    <row r="77" spans="1:18" s="2044" customFormat="1" ht="16.2" thickBot="1">
      <c r="A77" s="2081"/>
      <c r="B77" s="2082"/>
      <c r="C77" s="2082"/>
      <c r="K77" s="2071"/>
      <c r="O77" s="2362" t="s">
        <v>2386</v>
      </c>
      <c r="P77" s="2363" t="s">
        <v>2403</v>
      </c>
      <c r="Q77" s="2364" t="e">
        <f ca="1">Q67+Q68</f>
        <v>#DIV/0!</v>
      </c>
      <c r="R77" s="2367" t="s">
        <v>2387</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8" zoomScale="80" zoomScaleNormal="80" workbookViewId="0">
      <selection activeCell="H16" sqref="H16"/>
    </sheetView>
  </sheetViews>
  <sheetFormatPr defaultColWidth="9" defaultRowHeight="15"/>
  <cols>
    <col min="1" max="1" width="9" style="2045" customWidth="1"/>
    <col min="2" max="2" width="20.6640625" style="2084" customWidth="1"/>
    <col min="3" max="3" width="11.88671875" style="2084" customWidth="1"/>
    <col min="4" max="4" width="40.44140625" style="2045" customWidth="1"/>
    <col min="5" max="5" width="15.77734375" style="2045" customWidth="1"/>
    <col min="6" max="6" width="10.6640625" style="2045" customWidth="1"/>
    <col min="7" max="7" width="4.88671875" style="2045" customWidth="1"/>
    <col min="8" max="8" width="8.44140625" style="2045" customWidth="1"/>
    <col min="9" max="9" width="21.21875" style="2045" customWidth="1"/>
    <col min="10" max="10" width="12.21875" style="2045" customWidth="1"/>
    <col min="11" max="11" width="40.109375" style="2085" customWidth="1"/>
    <col min="12" max="12" width="18.33203125" style="2045" customWidth="1"/>
    <col min="13" max="13" width="13" style="2045" customWidth="1"/>
    <col min="14" max="14" width="9.44140625" style="2044" bestFit="1" customWidth="1"/>
    <col min="15" max="15" width="5.88671875" style="2044" customWidth="1"/>
    <col min="16" max="16" width="27.6640625" style="2044" customWidth="1"/>
    <col min="17" max="17" width="13.77734375" style="2082" customWidth="1"/>
    <col min="18" max="18" width="23.44140625" style="2044" customWidth="1"/>
    <col min="19" max="19" width="1.44140625" style="2044" customWidth="1"/>
    <col min="20" max="33" width="9" style="2044"/>
    <col min="34" max="16384" width="9" style="2045"/>
  </cols>
  <sheetData>
    <row r="1" spans="1:33" s="2039" customFormat="1" ht="21.6">
      <c r="A1" s="832" t="s">
        <v>1723</v>
      </c>
      <c r="B1" s="738"/>
      <c r="C1" s="773" t="s">
        <v>3003</v>
      </c>
      <c r="D1" s="3071" t="s">
        <v>3091</v>
      </c>
      <c r="E1" s="2351" t="s">
        <v>2369</v>
      </c>
      <c r="F1" s="2352">
        <f ca="1">J53</f>
        <v>36.76</v>
      </c>
      <c r="G1" s="774">
        <f>MATCH(C1,'数据-取费表'!A6:A16,0)+5</f>
        <v>7</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1724</v>
      </c>
      <c r="B2" s="775">
        <f ca="1">C40+J29+L46</f>
        <v>3430</v>
      </c>
      <c r="C2" s="2042"/>
      <c r="D2" s="2040"/>
      <c r="E2" s="2041"/>
      <c r="F2" s="2041"/>
      <c r="G2" s="1576"/>
      <c r="H2" s="2042"/>
      <c r="I2" s="2042"/>
      <c r="J2" s="2042"/>
      <c r="K2" s="2043"/>
      <c r="L2" s="2042"/>
      <c r="M2" s="2042"/>
    </row>
    <row r="3" spans="1:33" ht="18" customHeight="1" thickBot="1">
      <c r="A3" s="833" t="s">
        <v>1725</v>
      </c>
      <c r="B3" s="834">
        <f ca="1">IF(ISERROR(B2*10000/F43),0,ROUND(B2*10000/F43,0))</f>
        <v>1013</v>
      </c>
      <c r="C3" s="2042"/>
      <c r="D3" s="2040"/>
      <c r="E3" s="2041"/>
      <c r="F3" s="2041"/>
      <c r="G3" s="1576"/>
      <c r="H3" s="776" t="s">
        <v>695</v>
      </c>
      <c r="I3" s="1358"/>
      <c r="J3" s="1358"/>
      <c r="K3" s="1577"/>
      <c r="L3" s="1358"/>
      <c r="M3" s="1358"/>
    </row>
    <row r="4" spans="1:33" ht="18" customHeight="1">
      <c r="A4" s="777" t="s">
        <v>1726</v>
      </c>
      <c r="B4" s="778" t="s">
        <v>1727</v>
      </c>
      <c r="C4" s="778" t="s">
        <v>1728</v>
      </c>
      <c r="D4" s="778" t="s">
        <v>633</v>
      </c>
      <c r="E4" s="779" t="s">
        <v>1729</v>
      </c>
      <c r="F4" s="780"/>
      <c r="G4" s="1578"/>
      <c r="H4" s="777" t="s">
        <v>1730</v>
      </c>
      <c r="I4" s="778" t="s">
        <v>1731</v>
      </c>
      <c r="J4" s="778" t="s">
        <v>1732</v>
      </c>
      <c r="K4" s="778" t="s">
        <v>1733</v>
      </c>
      <c r="L4" s="779" t="s">
        <v>1734</v>
      </c>
      <c r="M4" s="780"/>
    </row>
    <row r="5" spans="1:33" ht="18" customHeight="1">
      <c r="A5" s="781">
        <v>1</v>
      </c>
      <c r="B5" s="782" t="s">
        <v>2453</v>
      </c>
      <c r="C5" s="55">
        <f ca="1">C6+C10+C12</f>
        <v>325</v>
      </c>
      <c r="D5" s="2460" t="s">
        <v>2456</v>
      </c>
      <c r="E5" s="2454"/>
      <c r="F5" s="2455"/>
      <c r="G5" s="1578"/>
      <c r="H5" s="781">
        <v>1</v>
      </c>
      <c r="I5" s="782" t="s">
        <v>2453</v>
      </c>
      <c r="J5" s="55">
        <f ca="1">J6+J10+J12</f>
        <v>0</v>
      </c>
      <c r="K5" s="2460" t="s">
        <v>2456</v>
      </c>
      <c r="L5" s="2454"/>
      <c r="M5" s="2455"/>
    </row>
    <row r="6" spans="1:33" ht="18" customHeight="1">
      <c r="A6" s="1815" t="s">
        <v>1822</v>
      </c>
      <c r="B6" s="3461" t="s">
        <v>2458</v>
      </c>
      <c r="C6" s="783">
        <f ca="1">ROUND(F6*F8*F7*(1-F9)/10000,0)</f>
        <v>325</v>
      </c>
      <c r="D6" s="2461" t="s">
        <v>2457</v>
      </c>
      <c r="E6" s="784" t="s">
        <v>1736</v>
      </c>
      <c r="F6" s="785">
        <f ca="1">INDIRECT("'数据-取费表'!u"&amp;$G$1)</f>
        <v>350</v>
      </c>
      <c r="G6" s="1578"/>
      <c r="H6" s="2468" t="s">
        <v>2463</v>
      </c>
      <c r="I6" s="3461" t="s">
        <v>2458</v>
      </c>
      <c r="J6" s="783">
        <f ca="1">ROUND(M6*M8*M7*(1-M9)/10000,0)</f>
        <v>0</v>
      </c>
      <c r="K6" s="341" t="s">
        <v>1735</v>
      </c>
      <c r="L6" s="784" t="s">
        <v>1736</v>
      </c>
      <c r="M6" s="785">
        <f ca="1">INDIRECT("'数据-取费表'!z"&amp;$G$1)</f>
        <v>0</v>
      </c>
    </row>
    <row r="7" spans="1:33" ht="18" customHeight="1">
      <c r="A7" s="2464"/>
      <c r="B7" s="3462"/>
      <c r="C7" s="788"/>
      <c r="D7" s="789"/>
      <c r="E7" s="784" t="s">
        <v>1737</v>
      </c>
      <c r="F7" s="785">
        <f ca="1">IF(INDIRECT("'数据-取费表'!ah"&amp;$G$1)="",INDIRECT("'数据-取费表'!k"&amp;$G$1),INDIRECT("'数据-取费表'!ah"&amp;$G$1))</f>
        <v>967</v>
      </c>
      <c r="G7" s="1578"/>
      <c r="H7" s="2453"/>
      <c r="I7" s="3462"/>
      <c r="J7" s="788"/>
      <c r="K7" s="789"/>
      <c r="L7" s="784" t="s">
        <v>1737</v>
      </c>
      <c r="M7" s="785">
        <f ca="1">F7</f>
        <v>967</v>
      </c>
    </row>
    <row r="8" spans="1:33" ht="18" customHeight="1">
      <c r="A8" s="2457"/>
      <c r="B8" s="3463"/>
      <c r="C8" s="788"/>
      <c r="D8" s="789"/>
      <c r="E8" s="784" t="s">
        <v>1738</v>
      </c>
      <c r="F8" s="785">
        <f ca="1">INDIRECT("'数据-取费表'!ai"&amp;$G$1)</f>
        <v>12</v>
      </c>
      <c r="G8" s="1578"/>
      <c r="H8" s="2453"/>
      <c r="I8" s="3463"/>
      <c r="J8" s="788"/>
      <c r="K8" s="789"/>
      <c r="L8" s="784" t="s">
        <v>1738</v>
      </c>
      <c r="M8" s="785">
        <f ca="1">INDIRECT("'数据-取费表'!ai"&amp;$G$1)</f>
        <v>12</v>
      </c>
    </row>
    <row r="9" spans="1:33" ht="18" customHeight="1">
      <c r="A9" s="786"/>
      <c r="B9" s="3464"/>
      <c r="C9" s="788"/>
      <c r="D9" s="789"/>
      <c r="E9" s="784" t="s">
        <v>1739</v>
      </c>
      <c r="F9" s="794">
        <f ca="1">INDIRECT("'数据-取费表'!w"&amp;$G$1)</f>
        <v>0.2</v>
      </c>
      <c r="G9" s="1578"/>
      <c r="H9" s="2469"/>
      <c r="I9" s="3463"/>
      <c r="J9" s="788"/>
      <c r="K9" s="789"/>
      <c r="L9" s="795" t="s">
        <v>1739</v>
      </c>
      <c r="M9" s="796">
        <f ca="1">INDIRECT("'数据-取费表'!ab"&amp;$G$1)</f>
        <v>0</v>
      </c>
    </row>
    <row r="10" spans="1:33" ht="18" customHeight="1">
      <c r="A10" s="1815" t="s">
        <v>2461</v>
      </c>
      <c r="B10" s="2458" t="s">
        <v>2454</v>
      </c>
      <c r="C10" s="799">
        <f ca="1">ROUND(IF(F10="押一",C6/12*F11,IF(F10="押二",C6/12*2*F11,IF(F10="押三",C6/12*3*F11,C11*F11))),0)</f>
        <v>0</v>
      </c>
      <c r="D10" s="2465" t="s">
        <v>2969</v>
      </c>
      <c r="E10" s="2462" t="s">
        <v>2459</v>
      </c>
      <c r="F10" s="2585" t="s">
        <v>3089</v>
      </c>
      <c r="G10" s="1578"/>
      <c r="H10" s="2525" t="s">
        <v>2464</v>
      </c>
      <c r="I10" s="2530" t="s">
        <v>2454</v>
      </c>
      <c r="J10" s="783">
        <f ca="1">ROUND(IF(M10="押一",J6/12*M11,IF(M10="押二",J6/12*2*M11,IF(M10="押三",J6/12*3*M11,J11*M11))),0)</f>
        <v>0</v>
      </c>
      <c r="K10" s="2465" t="s">
        <v>2969</v>
      </c>
      <c r="L10" s="2462" t="s">
        <v>2459</v>
      </c>
      <c r="M10" s="2585"/>
    </row>
    <row r="11" spans="1:33" ht="18" customHeight="1">
      <c r="A11" s="790"/>
      <c r="B11" s="2459" t="s">
        <v>2568</v>
      </c>
      <c r="C11" s="2463"/>
      <c r="D11" s="789"/>
      <c r="E11" s="2462" t="s">
        <v>2460</v>
      </c>
      <c r="F11" s="796">
        <f ca="1">'数据-取费表'!B39</f>
        <v>1.4999999999999999E-2</v>
      </c>
      <c r="G11" s="1578"/>
      <c r="H11" s="2526"/>
      <c r="I11" s="2459" t="s">
        <v>2568</v>
      </c>
      <c r="J11" s="2463"/>
      <c r="K11" s="2527"/>
      <c r="L11" s="2462" t="s">
        <v>2460</v>
      </c>
      <c r="M11" s="2456">
        <f ca="1">'数据-取费表'!B39</f>
        <v>1.4999999999999999E-2</v>
      </c>
    </row>
    <row r="12" spans="1:33" ht="18" customHeight="1" thickBot="1">
      <c r="A12" s="2501" t="s">
        <v>2462</v>
      </c>
      <c r="B12" s="2502" t="s">
        <v>2455</v>
      </c>
      <c r="C12" s="2503"/>
      <c r="D12" s="2504"/>
      <c r="E12" s="2505"/>
      <c r="F12" s="2506"/>
      <c r="G12" s="1578"/>
      <c r="H12" s="2515" t="s">
        <v>2465</v>
      </c>
      <c r="I12" s="2528" t="s">
        <v>2455</v>
      </c>
      <c r="J12" s="2529"/>
      <c r="K12" s="2504"/>
      <c r="L12" s="2505"/>
      <c r="M12" s="2518"/>
    </row>
    <row r="13" spans="1:33" ht="18" customHeight="1" thickTop="1">
      <c r="A13" s="1814">
        <v>2</v>
      </c>
      <c r="B13" s="1812" t="s">
        <v>1740</v>
      </c>
      <c r="C13" s="792">
        <f ca="1">ROUND(C29*F13,0)</f>
        <v>9348</v>
      </c>
      <c r="D13" s="1819" t="s">
        <v>2292</v>
      </c>
      <c r="E13" s="1819" t="s">
        <v>1742</v>
      </c>
      <c r="F13" s="2500">
        <f ca="1">INDIRECT("'数据-取费表'!y"&amp;$G$1)</f>
        <v>1</v>
      </c>
      <c r="G13" s="1578"/>
      <c r="H13" s="1814">
        <v>2</v>
      </c>
      <c r="I13" s="1812" t="s">
        <v>1740</v>
      </c>
      <c r="J13" s="1804">
        <f ca="1">ROUND(J14*J15,0)</f>
        <v>0</v>
      </c>
      <c r="K13" s="1806" t="s">
        <v>1741</v>
      </c>
      <c r="L13" s="2516"/>
      <c r="M13" s="2517"/>
    </row>
    <row r="14" spans="1:33" ht="18" customHeight="1">
      <c r="A14" s="1633" t="s">
        <v>1882</v>
      </c>
      <c r="B14" s="784" t="s">
        <v>645</v>
      </c>
      <c r="C14" s="804">
        <f ca="1">INDIRECT("'数据-取费表'!m"&amp;$G$1)+INDIRECT("'数据-取费表'!t"&amp;$G$1)</f>
        <v>6822</v>
      </c>
      <c r="D14" s="1964" t="s">
        <v>1743</v>
      </c>
      <c r="E14" s="1965"/>
      <c r="F14" s="805"/>
      <c r="G14" s="1578"/>
      <c r="H14" s="1634" t="s">
        <v>1828</v>
      </c>
      <c r="I14" s="2216" t="s">
        <v>2820</v>
      </c>
      <c r="J14" s="53">
        <f ca="1">C29</f>
        <v>9348</v>
      </c>
      <c r="K14" s="26"/>
      <c r="L14" s="801"/>
      <c r="M14" s="802"/>
    </row>
    <row r="15" spans="1:33" s="2049" customFormat="1" ht="18" customHeight="1" thickBot="1">
      <c r="A15" s="1633" t="s">
        <v>1883</v>
      </c>
      <c r="B15" s="784" t="s">
        <v>647</v>
      </c>
      <c r="C15" s="53">
        <f ca="1">ROUND(C14*F15,0)</f>
        <v>205</v>
      </c>
      <c r="D15" s="806" t="s">
        <v>1744</v>
      </c>
      <c r="E15" s="806" t="s">
        <v>1745</v>
      </c>
      <c r="F15" s="807">
        <f>'数据-取费表'!B33</f>
        <v>0.03</v>
      </c>
      <c r="G15" s="1579"/>
      <c r="H15" s="2515" t="s">
        <v>1887</v>
      </c>
      <c r="I15" s="2510" t="s">
        <v>1742</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3" t="s">
        <v>1884</v>
      </c>
      <c r="B16" s="784" t="s">
        <v>650</v>
      </c>
      <c r="C16" s="53">
        <f ca="1">ROUND(INDIRECT("'数据-取费表'!m"&amp;$G$1)*F16,0)</f>
        <v>0</v>
      </c>
      <c r="D16" s="784" t="s">
        <v>1744</v>
      </c>
      <c r="E16" s="784" t="s">
        <v>1745</v>
      </c>
      <c r="F16" s="809">
        <f ca="1">IF(INDIRECT("'数据-取费表'!c"&amp;$G$1)="住宅",'数据-取费表'!B34,0)</f>
        <v>0</v>
      </c>
      <c r="G16" s="1578"/>
      <c r="H16" s="1814" t="s">
        <v>1746</v>
      </c>
      <c r="I16" s="1812" t="s">
        <v>1747</v>
      </c>
      <c r="J16" s="792">
        <f ca="1">ROUND(J17+J22+J23+J24,0)</f>
        <v>878</v>
      </c>
      <c r="K16" s="1806" t="s">
        <v>1748</v>
      </c>
      <c r="L16" s="2450"/>
      <c r="M16" s="2455"/>
    </row>
    <row r="17" spans="1:33" s="2049" customFormat="1" ht="18" customHeight="1">
      <c r="A17" s="1633" t="s">
        <v>1885</v>
      </c>
      <c r="B17" s="784" t="s">
        <v>653</v>
      </c>
      <c r="C17" s="53">
        <f ca="1">ROUND(F17*(F43+INDIRECT("'数据-取费表'!S"&amp;$G$1))/10000,0)</f>
        <v>682</v>
      </c>
      <c r="D17" s="784" t="s">
        <v>1749</v>
      </c>
      <c r="E17" s="784" t="s">
        <v>1750</v>
      </c>
      <c r="F17" s="56">
        <f>'数据-取费表'!B35</f>
        <v>200</v>
      </c>
      <c r="G17" s="1579"/>
      <c r="H17" s="1634" t="s">
        <v>1828</v>
      </c>
      <c r="I17" s="784" t="s">
        <v>656</v>
      </c>
      <c r="J17" s="53">
        <f ca="1">ROUND(IF(项目基本情况!B11="自然人",J6*M17/(1+'数据-取费表'!C42),J18+J19+J20),0)</f>
        <v>785</v>
      </c>
      <c r="K17" s="2449" t="s">
        <v>1751</v>
      </c>
      <c r="L17" s="2448" t="s">
        <v>1752</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3" t="s">
        <v>1886</v>
      </c>
      <c r="B18" s="784" t="s">
        <v>659</v>
      </c>
      <c r="C18" s="53">
        <f ca="1">ROUND(C14*F18,0)</f>
        <v>102</v>
      </c>
      <c r="D18" s="784" t="s">
        <v>1744</v>
      </c>
      <c r="E18" s="784" t="s">
        <v>1745</v>
      </c>
      <c r="F18" s="809">
        <f>'数据-取费表'!B36</f>
        <v>1.4999999999999999E-2</v>
      </c>
      <c r="G18" s="1579"/>
      <c r="H18" s="1633" t="s">
        <v>1882</v>
      </c>
      <c r="I18" s="784" t="s">
        <v>1753</v>
      </c>
      <c r="J18" s="53">
        <f ca="1">ROUND(J6*M18/(1+'数据-取费表'!C42),1)</f>
        <v>0</v>
      </c>
      <c r="K18" s="2448" t="s">
        <v>1754</v>
      </c>
      <c r="L18" s="784" t="s">
        <v>1745</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4" t="s">
        <v>1828</v>
      </c>
      <c r="B19" s="784" t="s">
        <v>662</v>
      </c>
      <c r="C19" s="53">
        <f ca="1">SUM(C14:C18)</f>
        <v>7811</v>
      </c>
      <c r="D19" s="261" t="s">
        <v>1755</v>
      </c>
      <c r="E19" s="1967"/>
      <c r="F19" s="56"/>
      <c r="G19" s="1578"/>
      <c r="H19" s="1633" t="s">
        <v>1883</v>
      </c>
      <c r="I19" s="784" t="s">
        <v>1756</v>
      </c>
      <c r="J19" s="53">
        <f ca="1">IF(K19="按租金收入计税",ROUND(J6*M19/(1+'数据-取费表'!C42),1),ROUND(C29*F33*0.7,1))</f>
        <v>785.2</v>
      </c>
      <c r="K19" s="811" t="s">
        <v>665</v>
      </c>
      <c r="L19" s="784" t="s">
        <v>1745</v>
      </c>
      <c r="M19" s="809">
        <f>IF(K19="按租金收入计税",'数据-取费表'!B51,'数据-取费表'!B50)</f>
        <v>1.2E-2</v>
      </c>
    </row>
    <row r="20" spans="1:33" s="2049" customFormat="1" ht="18" customHeight="1">
      <c r="A20" s="1634" t="s">
        <v>1887</v>
      </c>
      <c r="B20" s="784" t="s">
        <v>666</v>
      </c>
      <c r="C20" s="53">
        <f ca="1">ROUND(C19*F20,0)</f>
        <v>156</v>
      </c>
      <c r="D20" s="812" t="s">
        <v>1757</v>
      </c>
      <c r="E20" s="784" t="s">
        <v>1745</v>
      </c>
      <c r="F20" s="809">
        <f>'数据-取费表'!B37</f>
        <v>0.02</v>
      </c>
      <c r="G20" s="1579"/>
      <c r="H20" s="1636" t="s">
        <v>1878</v>
      </c>
      <c r="I20" s="341" t="s">
        <v>1758</v>
      </c>
      <c r="J20" s="54">
        <f ca="1">ROUND(M20*M21/10000,0)</f>
        <v>0</v>
      </c>
      <c r="K20" s="814" t="s">
        <v>1759</v>
      </c>
      <c r="L20" s="784" t="s">
        <v>1760</v>
      </c>
      <c r="M20" s="640">
        <f>'数据-取费表'!B52</f>
        <v>0</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4" t="s">
        <v>1888</v>
      </c>
      <c r="B21" s="784" t="s">
        <v>1761</v>
      </c>
      <c r="C21" s="53" t="s">
        <v>1762</v>
      </c>
      <c r="D21" s="812" t="s">
        <v>2293</v>
      </c>
      <c r="E21" s="784" t="s">
        <v>1763</v>
      </c>
      <c r="F21" s="809">
        <f>'数据-取费表'!B38</f>
        <v>0.02</v>
      </c>
      <c r="G21" s="1579"/>
      <c r="H21" s="2470"/>
      <c r="I21" s="793"/>
      <c r="J21" s="69"/>
      <c r="K21" s="816"/>
      <c r="L21" s="784" t="s">
        <v>1764</v>
      </c>
      <c r="M21" s="785">
        <f ca="1">INDIRECT("'数据-取费表'!r"&amp;$G$1)</f>
        <v>4248.2700000000004</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4" t="s">
        <v>1889</v>
      </c>
      <c r="B22" s="784" t="s">
        <v>1765</v>
      </c>
      <c r="C22" s="53"/>
      <c r="D22" s="2536" t="str">
        <f>IF(F23&lt;=1,"单利计息。","复利计息。")&amp;"建造成本、管理费用、销售费用产生的利息。"</f>
        <v>复利计息。建造成本、管理费用、销售费用产生的利息。</v>
      </c>
      <c r="E22" s="1967"/>
      <c r="F22" s="56"/>
      <c r="G22" s="1578"/>
      <c r="H22" s="1634" t="s">
        <v>1887</v>
      </c>
      <c r="I22" s="784" t="s">
        <v>1766</v>
      </c>
      <c r="J22" s="53">
        <f ca="1">ROUND(J14*M22,0)</f>
        <v>93</v>
      </c>
      <c r="K22" s="2448" t="s">
        <v>1767</v>
      </c>
      <c r="L22" s="784" t="s">
        <v>1745</v>
      </c>
      <c r="M22" s="817">
        <f ca="1">INDIRECT("'数据-取费表'!Ak"&amp;$G$1)</f>
        <v>0.01</v>
      </c>
    </row>
    <row r="23" spans="1:33" s="2049" customFormat="1" ht="18" customHeight="1">
      <c r="A23" s="1633" t="s">
        <v>1829</v>
      </c>
      <c r="B23" s="784" t="s">
        <v>2530</v>
      </c>
      <c r="C23" s="53">
        <f ca="1">ROUND(IF('数据-取费表'!B22&lt;=1,(C19+C20)*F24*F23/2,(C19+C20)*(POWER((1+F24),F23/2)-1)),0)</f>
        <v>282</v>
      </c>
      <c r="D23" s="2535" t="str">
        <f>IF(F23&lt;=1,"(建造成本+管理费用)×利率×(建设周期÷2)","(建造成本+管理费用)×((1+利率)^(建设周期÷2)-1)")</f>
        <v>(建造成本+管理费用)×((1+利率)^(建设周期÷2)-1)</v>
      </c>
      <c r="E23" s="784" t="s">
        <v>1768</v>
      </c>
      <c r="F23" s="640">
        <f>'数据-取费表'!B20</f>
        <v>1.5</v>
      </c>
      <c r="G23" s="1579"/>
      <c r="H23" s="1634" t="s">
        <v>1888</v>
      </c>
      <c r="I23" s="784" t="s">
        <v>679</v>
      </c>
      <c r="J23" s="53">
        <f ca="1">ROUND(J13*M23,0)</f>
        <v>0</v>
      </c>
      <c r="K23" s="2448" t="s">
        <v>1769</v>
      </c>
      <c r="L23" s="784" t="s">
        <v>1745</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3" t="s">
        <v>1830</v>
      </c>
      <c r="B24" s="784" t="s">
        <v>1770</v>
      </c>
      <c r="C24" s="53">
        <f ca="1">ROUND(IF('数据-取费表'!B22&lt;=1,F21*F24*F23/2,F21*(POWER((1+F24),F23/2)-1)),4)</f>
        <v>6.9999999999999999E-4</v>
      </c>
      <c r="D24" s="2535" t="str">
        <f>IF(F23&lt;=1,"销售费用×利率×(建设周期÷2)","销售费用×((1+利率)^(建设周期÷2)-1)")</f>
        <v>销售费用×((1+利率)^(建设周期÷2)-1)</v>
      </c>
      <c r="E24" s="784" t="s">
        <v>1771</v>
      </c>
      <c r="F24" s="819">
        <f ca="1">'数据-取费表'!B40</f>
        <v>4.7500000000000001E-2</v>
      </c>
      <c r="G24" s="1579"/>
      <c r="H24" s="2515" t="s">
        <v>1889</v>
      </c>
      <c r="I24" s="2510" t="s">
        <v>666</v>
      </c>
      <c r="J24" s="2508">
        <f ca="1">ROUND(J5*M24,0)</f>
        <v>0</v>
      </c>
      <c r="K24" s="2509" t="s">
        <v>1772</v>
      </c>
      <c r="L24" s="2510" t="s">
        <v>1745</v>
      </c>
      <c r="M24" s="2506">
        <f ca="1">INDIRECT("'数据-取费表'!Am"&amp;$G$1)</f>
        <v>0.02</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5" t="s">
        <v>1838</v>
      </c>
      <c r="B25" s="784" t="s">
        <v>684</v>
      </c>
      <c r="C25" s="53"/>
      <c r="D25" s="261" t="s">
        <v>1773</v>
      </c>
      <c r="E25" s="1967"/>
      <c r="F25" s="56"/>
      <c r="G25" s="1578"/>
      <c r="H25" s="1814" t="s">
        <v>1774</v>
      </c>
      <c r="I25" s="2962" t="s">
        <v>2816</v>
      </c>
      <c r="J25" s="792">
        <f ca="1">J5-J16</f>
        <v>-878</v>
      </c>
      <c r="K25" s="2512" t="s">
        <v>1775</v>
      </c>
      <c r="L25" s="2513"/>
      <c r="M25" s="2514"/>
    </row>
    <row r="26" spans="1:33" ht="18" customHeight="1">
      <c r="A26" s="1633" t="s">
        <v>1829</v>
      </c>
      <c r="B26" s="784" t="s">
        <v>2433</v>
      </c>
      <c r="C26" s="53">
        <f ca="1">ROUND((C19+C20)*F26,0)</f>
        <v>398</v>
      </c>
      <c r="D26" s="812" t="s">
        <v>1776</v>
      </c>
      <c r="E26" s="795" t="s">
        <v>1777</v>
      </c>
      <c r="F26" s="794">
        <f ca="1">INDIRECT("'数据-取费表'!q"&amp;$G$1)</f>
        <v>0.05</v>
      </c>
      <c r="G26" s="1578"/>
      <c r="H26" s="2466" t="s">
        <v>1778</v>
      </c>
      <c r="I26" s="2217" t="s">
        <v>2821</v>
      </c>
      <c r="J26" s="783">
        <f ca="1">IF(J5&lt;&gt;0,ROUND(J25*(1-((1+M28)/(1+M26))^M27)/(M26-M28),0),0)</f>
        <v>0</v>
      </c>
      <c r="K26" s="814" t="s">
        <v>1779</v>
      </c>
      <c r="L26" s="784" t="s">
        <v>2414</v>
      </c>
      <c r="M26" s="794">
        <f ca="1">INDIRECT("'数据-取费表'!I"&amp;$G$1)</f>
        <v>0.05</v>
      </c>
    </row>
    <row r="27" spans="1:33" ht="18" customHeight="1">
      <c r="A27" s="1633" t="s">
        <v>1830</v>
      </c>
      <c r="B27" s="784" t="s">
        <v>686</v>
      </c>
      <c r="C27" s="53">
        <f ca="1">ROUND(F21*F26,4)</f>
        <v>1E-3</v>
      </c>
      <c r="D27" s="812" t="s">
        <v>1780</v>
      </c>
      <c r="E27" s="806"/>
      <c r="F27" s="807"/>
      <c r="G27" s="1578"/>
      <c r="H27" s="2467"/>
      <c r="I27" s="787"/>
      <c r="J27" s="788"/>
      <c r="K27" s="821" t="s">
        <v>1781</v>
      </c>
      <c r="L27" s="784" t="s">
        <v>1782</v>
      </c>
      <c r="M27" s="822">
        <f ca="1">INDIRECT("'数据-取费表'!ag"&amp;$G$1)</f>
        <v>0</v>
      </c>
    </row>
    <row r="28" spans="1:33" s="2049" customFormat="1" ht="18" customHeight="1">
      <c r="A28" s="1635" t="s">
        <v>1839</v>
      </c>
      <c r="B28" s="784" t="s">
        <v>687</v>
      </c>
      <c r="C28" s="53">
        <f>ROUND(F28/(1+'数据-取费表'!C42),4)</f>
        <v>5.33E-2</v>
      </c>
      <c r="D28" s="812" t="s">
        <v>2294</v>
      </c>
      <c r="E28" s="784" t="s">
        <v>1783</v>
      </c>
      <c r="F28" s="809">
        <f>'数据-取费表'!B41</f>
        <v>5.6000000000000001E-2</v>
      </c>
      <c r="G28" s="1579"/>
      <c r="H28" s="1814"/>
      <c r="I28" s="791"/>
      <c r="J28" s="792"/>
      <c r="K28" s="816"/>
      <c r="L28" s="784" t="s">
        <v>1784</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1890</v>
      </c>
      <c r="B29" s="2505" t="s">
        <v>2295</v>
      </c>
      <c r="C29" s="2508">
        <f ca="1">ROUND((C19+C20+C23+C26)/(1-F21-C24-C27-C28),0)</f>
        <v>9348</v>
      </c>
      <c r="D29" s="2509"/>
      <c r="E29" s="2510"/>
      <c r="F29" s="2511"/>
      <c r="G29" s="1579"/>
      <c r="H29" s="823" t="s">
        <v>1785</v>
      </c>
      <c r="I29" s="824" t="s">
        <v>1786</v>
      </c>
      <c r="J29" s="825">
        <f ca="1">ROUND(J26/(1+F40)^F41,0)</f>
        <v>0</v>
      </c>
      <c r="K29" s="826" t="s">
        <v>1787</v>
      </c>
      <c r="L29" s="827"/>
      <c r="M29" s="828">
        <f ca="1">INDIRECT("'数据-取费表'!k"&amp;$G$1)</f>
        <v>33875</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1891</v>
      </c>
      <c r="B30" s="1812" t="s">
        <v>1788</v>
      </c>
      <c r="C30" s="792">
        <f ca="1">ROUND(C31+C36+C37+C38,0)</f>
        <v>168</v>
      </c>
      <c r="D30" s="1806" t="s">
        <v>1789</v>
      </c>
      <c r="E30" s="2450"/>
      <c r="F30" s="2455"/>
      <c r="G30" s="2047"/>
      <c r="H30" s="2050"/>
      <c r="I30" s="2051"/>
      <c r="J30" s="2052"/>
      <c r="K30" s="2053"/>
      <c r="L30" s="2054"/>
      <c r="M30" s="2055"/>
    </row>
    <row r="31" spans="1:33" ht="18" customHeight="1">
      <c r="A31" s="1634" t="s">
        <v>1828</v>
      </c>
      <c r="B31" s="784" t="s">
        <v>656</v>
      </c>
      <c r="C31" s="53">
        <f ca="1">ROUND(IF(项目基本情况!B11="自然人",C6*F31/(1+'数据-取费表'!C42),C32+C33+C34),1)</f>
        <v>54.4</v>
      </c>
      <c r="D31" s="1964" t="s">
        <v>1790</v>
      </c>
      <c r="E31" s="1962" t="s">
        <v>1791</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3" t="s">
        <v>1829</v>
      </c>
      <c r="B32" s="784" t="s">
        <v>1792</v>
      </c>
      <c r="C32" s="53">
        <f ca="1">ROUND(C6*F32/(1+'数据-取费表'!C42),1)</f>
        <v>17.3</v>
      </c>
      <c r="D32" s="1962" t="s">
        <v>1793</v>
      </c>
      <c r="E32" s="784" t="s">
        <v>1794</v>
      </c>
      <c r="F32" s="809">
        <f>'数据-取费表'!B41</f>
        <v>5.6000000000000001E-2</v>
      </c>
      <c r="G32" s="2047"/>
      <c r="H32" s="2056"/>
      <c r="I32" s="2057"/>
      <c r="J32" s="2058"/>
      <c r="K32" s="2059"/>
      <c r="L32" s="2060"/>
      <c r="M32" s="2061"/>
    </row>
    <row r="33" spans="1:18" ht="18" customHeight="1">
      <c r="A33" s="1633" t="s">
        <v>1830</v>
      </c>
      <c r="B33" s="784" t="s">
        <v>1795</v>
      </c>
      <c r="C33" s="53">
        <f ca="1">IF(D33="按租金收入计税",ROUND(C6*F33/(1+'数据-取费表'!C42),1),IF(D33="按房产原值计税",ROUND(C29*F33*0.7,1),INDIRECT("'数据-取费表'!Aj"&amp;$G$1)))</f>
        <v>37.1</v>
      </c>
      <c r="D33" s="811" t="s">
        <v>3090</v>
      </c>
      <c r="E33" s="784" t="s">
        <v>1794</v>
      </c>
      <c r="F33" s="809">
        <f>IF(D33="按租金收入计税",'数据-取费表'!B51,'数据-取费表'!B50)</f>
        <v>0.12</v>
      </c>
      <c r="G33" s="2047"/>
      <c r="H33" s="2062"/>
      <c r="I33" s="2062"/>
      <c r="J33" s="2062"/>
      <c r="K33" s="2063"/>
      <c r="L33" s="2062"/>
      <c r="M33" s="2062"/>
    </row>
    <row r="34" spans="1:18" ht="18" customHeight="1">
      <c r="A34" s="1636" t="s">
        <v>1831</v>
      </c>
      <c r="B34" s="341" t="s">
        <v>1796</v>
      </c>
      <c r="C34" s="54">
        <f ca="1">ROUND(F34*F35/10000,1)</f>
        <v>0</v>
      </c>
      <c r="D34" s="814" t="s">
        <v>1797</v>
      </c>
      <c r="E34" s="784" t="s">
        <v>1798</v>
      </c>
      <c r="F34" s="640">
        <f>'数据-取费表'!B52</f>
        <v>0</v>
      </c>
      <c r="G34" s="2047"/>
      <c r="H34" s="2050"/>
      <c r="I34" s="835" t="s">
        <v>1811</v>
      </c>
      <c r="J34" s="836"/>
      <c r="K34" s="2065"/>
      <c r="L34" s="2064"/>
      <c r="M34" s="2064"/>
    </row>
    <row r="35" spans="1:18" ht="18" customHeight="1">
      <c r="A35" s="815"/>
      <c r="B35" s="793"/>
      <c r="C35" s="69"/>
      <c r="D35" s="816"/>
      <c r="E35" s="784" t="s">
        <v>1799</v>
      </c>
      <c r="F35" s="785">
        <f ca="1">INDIRECT("'数据-取费表'!r"&amp;$G$1)</f>
        <v>4248.2700000000004</v>
      </c>
      <c r="G35" s="2047"/>
      <c r="H35" s="2050"/>
      <c r="I35" s="837" t="s">
        <v>1812</v>
      </c>
      <c r="J35" s="838">
        <f ca="1">ROUND(C13*J36,0)</f>
        <v>795</v>
      </c>
      <c r="K35" s="2063"/>
      <c r="L35" s="2062"/>
      <c r="M35" s="2062"/>
    </row>
    <row r="36" spans="1:18" ht="18" customHeight="1">
      <c r="A36" s="1634" t="s">
        <v>1887</v>
      </c>
      <c r="B36" s="784" t="s">
        <v>1800</v>
      </c>
      <c r="C36" s="53">
        <f ca="1">ROUND(C29*F36,1)</f>
        <v>93.5</v>
      </c>
      <c r="D36" s="1962" t="s">
        <v>1801</v>
      </c>
      <c r="E36" s="784" t="s">
        <v>1794</v>
      </c>
      <c r="F36" s="817">
        <f ca="1">INDIRECT("'数据-取费表'!Ak"&amp;$G$1)</f>
        <v>0.01</v>
      </c>
      <c r="G36" s="2047"/>
      <c r="H36" s="2062"/>
      <c r="I36" s="839" t="s">
        <v>1813</v>
      </c>
      <c r="J36" s="840">
        <f ca="1">INDIRECT("'数据-取费表'!j"&amp;$G$1)</f>
        <v>8.5000000000000006E-2</v>
      </c>
      <c r="K36" s="2067"/>
      <c r="L36" s="2062"/>
      <c r="M36" s="2062"/>
    </row>
    <row r="37" spans="1:18" ht="18" customHeight="1">
      <c r="A37" s="1634" t="s">
        <v>1888</v>
      </c>
      <c r="B37" s="784" t="s">
        <v>679</v>
      </c>
      <c r="C37" s="53">
        <f ca="1">ROUND(C13*F37,1)</f>
        <v>14</v>
      </c>
      <c r="D37" s="1962" t="s">
        <v>1802</v>
      </c>
      <c r="E37" s="784" t="s">
        <v>1794</v>
      </c>
      <c r="F37" s="818">
        <f ca="1">INDIRECT("'数据-取费表'!Al"&amp;$G$1)</f>
        <v>1.5E-3</v>
      </c>
      <c r="G37" s="2047"/>
      <c r="H37" s="2062"/>
      <c r="I37" s="841" t="s">
        <v>1814</v>
      </c>
      <c r="J37" s="842"/>
      <c r="K37" s="2067"/>
      <c r="L37" s="2062"/>
      <c r="M37" s="2062"/>
    </row>
    <row r="38" spans="1:18" ht="18" customHeight="1" thickBot="1">
      <c r="A38" s="2515" t="s">
        <v>1889</v>
      </c>
      <c r="B38" s="2510" t="s">
        <v>666</v>
      </c>
      <c r="C38" s="2508">
        <f ca="1">ROUND(C5*F38,1)</f>
        <v>6.5</v>
      </c>
      <c r="D38" s="2509" t="s">
        <v>1803</v>
      </c>
      <c r="E38" s="2510" t="s">
        <v>1794</v>
      </c>
      <c r="F38" s="2506">
        <f ca="1">INDIRECT("'数据-取费表'!Am"&amp;$G$1)</f>
        <v>0.02</v>
      </c>
      <c r="G38" s="2047"/>
      <c r="H38" s="2062"/>
      <c r="I38" s="843" t="s">
        <v>1815</v>
      </c>
      <c r="J38" s="844"/>
      <c r="K38" s="2068"/>
      <c r="L38" s="2062"/>
      <c r="M38" s="2062"/>
    </row>
    <row r="39" spans="1:18" ht="24.6" customHeight="1" thickTop="1">
      <c r="A39" s="1814" t="s">
        <v>1892</v>
      </c>
      <c r="B39" s="2962" t="s">
        <v>2816</v>
      </c>
      <c r="C39" s="792">
        <f ca="1">C5-C30</f>
        <v>157</v>
      </c>
      <c r="D39" s="2512" t="s">
        <v>1804</v>
      </c>
      <c r="E39" s="2513"/>
      <c r="F39" s="2514"/>
      <c r="G39" s="2047"/>
      <c r="H39" s="2062"/>
      <c r="I39" s="837" t="s">
        <v>1816</v>
      </c>
      <c r="J39" s="845">
        <f ca="1">ROUND(J35/C39,3)</f>
        <v>5.0640000000000001</v>
      </c>
      <c r="K39" s="2068"/>
      <c r="L39" s="2062"/>
      <c r="M39" s="2062"/>
    </row>
    <row r="40" spans="1:18" ht="18" customHeight="1">
      <c r="A40" s="781" t="s">
        <v>1893</v>
      </c>
      <c r="B40" s="2217" t="s">
        <v>2296</v>
      </c>
      <c r="C40" s="783">
        <f ca="1">ROUND(C39*(1-((1+F42)/(1+F40))^F41)/(F40-F42),0)</f>
        <v>3430</v>
      </c>
      <c r="D40" s="814" t="s">
        <v>1805</v>
      </c>
      <c r="E40" s="784" t="s">
        <v>2414</v>
      </c>
      <c r="F40" s="794">
        <f ca="1">INDIRECT("'数据-取费表'!I"&amp;$G$1)</f>
        <v>0.05</v>
      </c>
      <c r="G40" s="2047"/>
      <c r="H40" s="2047"/>
      <c r="I40" s="837" t="s">
        <v>1817</v>
      </c>
      <c r="J40" s="845">
        <f ca="1">1-J39</f>
        <v>-4.0640000000000001</v>
      </c>
      <c r="K40" s="2068"/>
      <c r="L40" s="2047"/>
      <c r="M40" s="2047"/>
    </row>
    <row r="41" spans="1:18" ht="18" customHeight="1">
      <c r="A41" s="786"/>
      <c r="B41" s="787"/>
      <c r="C41" s="788"/>
      <c r="D41" s="821" t="s">
        <v>1806</v>
      </c>
      <c r="E41" s="784" t="s">
        <v>2959</v>
      </c>
      <c r="F41" s="822">
        <f ca="1">IF(INDIRECT("'数据-取费表'!af"&amp;$G$1)=0,INDIRECT("'数据-取费表'!ae"&amp;$G$1),INDIRECT("'数据-取费表'!af"&amp;$G$1))</f>
        <v>36.76</v>
      </c>
      <c r="G41" s="2047"/>
      <c r="H41" s="1973"/>
      <c r="I41" s="843" t="s">
        <v>1818</v>
      </c>
      <c r="J41" s="846"/>
      <c r="K41" s="2067"/>
      <c r="L41" s="1973"/>
      <c r="M41" s="1973"/>
    </row>
    <row r="42" spans="1:18" ht="18" customHeight="1">
      <c r="A42" s="790"/>
      <c r="B42" s="791"/>
      <c r="C42" s="792"/>
      <c r="D42" s="816"/>
      <c r="E42" s="784" t="s">
        <v>1807</v>
      </c>
      <c r="F42" s="794">
        <f ca="1">INDIRECT("'数据-取费表'!v"&amp;$G$1)</f>
        <v>0.02</v>
      </c>
      <c r="G42" s="2047"/>
      <c r="H42" s="1973"/>
      <c r="I42" s="847" t="s">
        <v>1819</v>
      </c>
      <c r="J42" s="845">
        <f ca="1">ROUND(C13/C40,3)</f>
        <v>2.7250000000000001</v>
      </c>
      <c r="K42" s="2067"/>
      <c r="L42" s="1973"/>
      <c r="M42" s="1973"/>
    </row>
    <row r="43" spans="1:18" ht="18" customHeight="1" thickBot="1">
      <c r="A43" s="823" t="s">
        <v>1785</v>
      </c>
      <c r="B43" s="824" t="s">
        <v>1808</v>
      </c>
      <c r="C43" s="825">
        <f ca="1">ROUND(C40*10000/F43,0)</f>
        <v>1013</v>
      </c>
      <c r="D43" s="826" t="s">
        <v>1809</v>
      </c>
      <c r="E43" s="827" t="s">
        <v>1810</v>
      </c>
      <c r="F43" s="828">
        <f ca="1">INDIRECT("'数据-取费表'!k"&amp;$G$1)</f>
        <v>33875</v>
      </c>
      <c r="G43" s="2047"/>
      <c r="H43" s="1973"/>
      <c r="I43" s="847" t="s">
        <v>1820</v>
      </c>
      <c r="J43" s="848">
        <f ca="1">1-J42</f>
        <v>-1.7250000000000001</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2290</v>
      </c>
      <c r="B46" s="2070"/>
      <c r="C46" s="2538">
        <f ca="1">C67-C40</f>
        <v>-5231</v>
      </c>
      <c r="D46" s="2070"/>
      <c r="E46" s="2070"/>
      <c r="F46" s="2070"/>
      <c r="I46" s="2342" t="s">
        <v>2338</v>
      </c>
      <c r="J46" s="2343"/>
      <c r="K46" s="2344"/>
      <c r="L46" s="3102">
        <f>IF(OR(M47="住宅",D1="土地（套用方法）"),0,IF(L48&gt;J51,L60,J60))</f>
        <v>0</v>
      </c>
      <c r="O46" s="2358" t="s">
        <v>2405</v>
      </c>
      <c r="P46" s="1578"/>
      <c r="Q46" s="1589"/>
      <c r="R46" s="1578"/>
    </row>
    <row r="47" spans="1:18" s="2044" customFormat="1" ht="18" customHeight="1" thickBot="1">
      <c r="A47" s="2336">
        <v>1</v>
      </c>
      <c r="B47" s="2337" t="s">
        <v>635</v>
      </c>
      <c r="C47" s="2538">
        <f ca="1">C48+C52+C54</f>
        <v>0</v>
      </c>
      <c r="D47" s="2070"/>
      <c r="E47" s="2070"/>
      <c r="F47" s="2070"/>
      <c r="I47" s="3093" t="s">
        <v>2339</v>
      </c>
      <c r="J47" s="2345" t="s">
        <v>3092</v>
      </c>
      <c r="K47" s="3099" t="s">
        <v>2344</v>
      </c>
      <c r="L47" s="3103">
        <f ca="1">INDIRECT("'数据-取费表'!d"&amp;$G$1)</f>
        <v>40</v>
      </c>
      <c r="M47" s="1589" t="str">
        <f>IF(ISNUMBER(FIND("住宅",C1)),"住宅","非住宅")</f>
        <v>非住宅</v>
      </c>
      <c r="O47" s="2359" t="s">
        <v>2370</v>
      </c>
      <c r="P47" s="2360" t="s">
        <v>2371</v>
      </c>
      <c r="Q47" s="2361" t="s">
        <v>2372</v>
      </c>
      <c r="R47" s="2360" t="s">
        <v>2373</v>
      </c>
    </row>
    <row r="48" spans="1:18" s="2044" customFormat="1" ht="18" customHeight="1" thickBot="1">
      <c r="A48" s="2606" t="s">
        <v>2532</v>
      </c>
      <c r="B48" s="2607" t="s">
        <v>2533</v>
      </c>
      <c r="C48" s="2338">
        <f ca="1">ROUND(F48*F50*F49*(1-F51)/10000,0)</f>
        <v>0</v>
      </c>
      <c r="D48" s="2339" t="s">
        <v>636</v>
      </c>
      <c r="E48" s="2340" t="s">
        <v>2291</v>
      </c>
      <c r="F48" s="2341"/>
      <c r="G48" s="2075"/>
      <c r="I48" s="3072" t="s">
        <v>2340</v>
      </c>
      <c r="J48" s="2346" t="s">
        <v>2345</v>
      </c>
      <c r="K48" s="3100" t="s">
        <v>2346</v>
      </c>
      <c r="L48" s="1893">
        <f ca="1">INDIRECT("'数据-取费表'!f"&amp;$G$1)</f>
        <v>38.26</v>
      </c>
      <c r="O48" s="2362" t="s">
        <v>2374</v>
      </c>
      <c r="P48" s="2363" t="s">
        <v>2400</v>
      </c>
      <c r="Q48" s="2364">
        <f ca="1">C40+J29</f>
        <v>3430</v>
      </c>
      <c r="R48" s="2363" t="s">
        <v>2375</v>
      </c>
    </row>
    <row r="49" spans="1:18" s="2044" customFormat="1" ht="18" customHeight="1" thickBot="1">
      <c r="A49" s="786"/>
      <c r="B49" s="787"/>
      <c r="C49" s="788"/>
      <c r="D49" s="789"/>
      <c r="E49" s="784" t="s">
        <v>1737</v>
      </c>
      <c r="F49" s="785">
        <f ca="1">F7</f>
        <v>967</v>
      </c>
      <c r="G49" s="2075"/>
      <c r="H49" s="2078"/>
      <c r="I49" s="3072" t="s">
        <v>2341</v>
      </c>
      <c r="J49" s="2347"/>
      <c r="K49" s="3101" t="s">
        <v>2347</v>
      </c>
      <c r="L49" s="2348"/>
      <c r="O49" s="2362" t="s">
        <v>2376</v>
      </c>
      <c r="P49" s="2363" t="s">
        <v>2401</v>
      </c>
      <c r="Q49" s="2364">
        <f ca="1">J60</f>
        <v>3739</v>
      </c>
      <c r="R49" s="2363" t="s">
        <v>2377</v>
      </c>
    </row>
    <row r="50" spans="1:18" s="2044" customFormat="1" ht="18" customHeight="1" thickBot="1">
      <c r="A50" s="786"/>
      <c r="B50" s="787"/>
      <c r="C50" s="788"/>
      <c r="D50" s="789"/>
      <c r="E50" s="784" t="s">
        <v>1738</v>
      </c>
      <c r="F50" s="785">
        <f ca="1">F8</f>
        <v>12</v>
      </c>
      <c r="G50" s="2080"/>
      <c r="H50" s="2078"/>
      <c r="I50" s="3072" t="s">
        <v>2342</v>
      </c>
      <c r="J50" s="3097">
        <f>SUMPRODUCT((I63:I65=J47)*(J62:L62=J48)*(J63:L65))</f>
        <v>60</v>
      </c>
      <c r="K50" s="3101" t="s">
        <v>2348</v>
      </c>
      <c r="L50" s="2348"/>
      <c r="O50" s="2365" t="s">
        <v>2378</v>
      </c>
      <c r="P50" s="2363" t="s">
        <v>2402</v>
      </c>
      <c r="Q50" s="2364">
        <f ca="1">C29</f>
        <v>9348</v>
      </c>
      <c r="R50" s="2363" t="s">
        <v>2375</v>
      </c>
    </row>
    <row r="51" spans="1:18" s="2044" customFormat="1" ht="18" customHeight="1" thickBot="1">
      <c r="A51" s="786"/>
      <c r="B51" s="787"/>
      <c r="C51" s="788"/>
      <c r="D51" s="789"/>
      <c r="E51" s="784" t="s">
        <v>640</v>
      </c>
      <c r="F51" s="2335"/>
      <c r="H51" s="2078"/>
      <c r="I51" s="3094" t="s">
        <v>2343</v>
      </c>
      <c r="J51" s="3098">
        <f>IF(J49="",J50,J49+J50-YEAR('数据-取费表'!B2))</f>
        <v>60</v>
      </c>
      <c r="K51" s="3072" t="s">
        <v>2349</v>
      </c>
      <c r="L51" s="3104">
        <f ca="1">ROUND(-PV(INDIRECT("'数据-取费表'!h"&amp;$G$1),J51,(C39-C13*J36),0),0)</f>
        <v>-13158</v>
      </c>
      <c r="O51" s="2365" t="s">
        <v>2379</v>
      </c>
      <c r="P51" s="2363" t="s">
        <v>2380</v>
      </c>
      <c r="Q51" s="2366">
        <f ca="1">J58</f>
        <v>0.4</v>
      </c>
      <c r="R51" s="2367"/>
    </row>
    <row r="52" spans="1:18" s="2044" customFormat="1" ht="18" customHeight="1" thickBot="1">
      <c r="A52" s="781" t="s">
        <v>2531</v>
      </c>
      <c r="B52" s="2458" t="s">
        <v>2454</v>
      </c>
      <c r="C52" s="799">
        <f ca="1">ROUND(IF(F52="押一",C48/12*F11,IF(F52="押二",C48/12*2*F11,IF(F52="押三",C48/12*3*F11,C53*F11))),0)</f>
        <v>0</v>
      </c>
      <c r="D52" s="2465" t="s">
        <v>2970</v>
      </c>
      <c r="E52" s="2462" t="s">
        <v>2459</v>
      </c>
      <c r="F52" s="2585"/>
      <c r="I52" s="3095" t="s">
        <v>2416</v>
      </c>
      <c r="J52" s="2349"/>
      <c r="K52" s="3095" t="s">
        <v>2415</v>
      </c>
      <c r="L52" s="2349"/>
      <c r="O52" s="2365" t="s">
        <v>2381</v>
      </c>
      <c r="P52" s="2363" t="s">
        <v>2382</v>
      </c>
      <c r="Q52" s="2366">
        <f>J52</f>
        <v>0</v>
      </c>
      <c r="R52" s="2367"/>
    </row>
    <row r="53" spans="1:18" s="2044" customFormat="1" ht="39.75" customHeight="1" thickBot="1">
      <c r="A53" s="786"/>
      <c r="B53" s="2459" t="s">
        <v>2568</v>
      </c>
      <c r="C53" s="2463"/>
      <c r="D53" s="2465"/>
      <c r="E53" s="2462"/>
      <c r="F53" s="800"/>
      <c r="I53" s="3096" t="s">
        <v>2973</v>
      </c>
      <c r="J53" s="3175">
        <f ca="1">IF(M47="住宅",IF(D1="——",MAX(J51,L48),MAX(J51,L48-'数据-取费表'!B20)),IF(D1="——",MIN(J51,L48),MIN(J51,L48-'数据-取费表'!B20)))</f>
        <v>36.76</v>
      </c>
      <c r="K53" s="3467" t="s">
        <v>2961</v>
      </c>
      <c r="L53" s="3468"/>
      <c r="O53" s="2365" t="s">
        <v>2383</v>
      </c>
      <c r="P53" s="2363" t="s">
        <v>2384</v>
      </c>
      <c r="Q53" s="2364">
        <f ca="1">J53</f>
        <v>36.76</v>
      </c>
      <c r="R53" s="2363" t="s">
        <v>2385</v>
      </c>
    </row>
    <row r="54" spans="1:18" s="2044" customFormat="1" ht="18" customHeight="1" thickBot="1">
      <c r="A54" s="2501" t="s">
        <v>2462</v>
      </c>
      <c r="B54" s="2502" t="s">
        <v>2455</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2386</v>
      </c>
      <c r="P54" s="2363" t="s">
        <v>2403</v>
      </c>
      <c r="Q54" s="2364">
        <f ca="1">Q48+Q49</f>
        <v>7169</v>
      </c>
      <c r="R54" s="2367" t="s">
        <v>2387</v>
      </c>
    </row>
    <row r="55" spans="1:18" s="2044" customFormat="1" ht="18" customHeight="1" thickTop="1" thickBot="1">
      <c r="A55" s="797">
        <v>2</v>
      </c>
      <c r="B55" s="798" t="s">
        <v>644</v>
      </c>
      <c r="C55" s="799">
        <f ca="1">C13</f>
        <v>9348</v>
      </c>
      <c r="D55" s="795"/>
      <c r="E55" s="795"/>
      <c r="F55" s="800"/>
      <c r="I55" s="3107" t="s">
        <v>2350</v>
      </c>
      <c r="J55" s="3047">
        <f ca="1">ROUND(IF(J47="钢混",J57/J50,1-(1-2%)*(J50-J57)/J50),3)</f>
        <v>0.36199999999999999</v>
      </c>
      <c r="K55" s="3108" t="s">
        <v>2351</v>
      </c>
      <c r="L55" s="2350"/>
      <c r="O55" s="2368" t="s">
        <v>2406</v>
      </c>
      <c r="P55" s="1578"/>
      <c r="Q55" s="1589"/>
      <c r="R55" s="1578"/>
    </row>
    <row r="56" spans="1:18" s="2044" customFormat="1" ht="42.75" customHeight="1" thickBot="1">
      <c r="A56" s="1635"/>
      <c r="B56" s="2216" t="s">
        <v>2297</v>
      </c>
      <c r="C56" s="53">
        <f ca="1">C29</f>
        <v>9348</v>
      </c>
      <c r="D56" s="2603"/>
      <c r="E56" s="784"/>
      <c r="F56" s="809"/>
      <c r="I56" s="3109" t="s">
        <v>2352</v>
      </c>
      <c r="J56" s="3119"/>
      <c r="K56" s="3072" t="s">
        <v>2357</v>
      </c>
      <c r="L56" s="1893" t="str">
        <f ca="1">IF(L48&lt;J51,"——",L48-J51)</f>
        <v>——</v>
      </c>
      <c r="O56" s="2359" t="s">
        <v>2370</v>
      </c>
      <c r="P56" s="2360" t="s">
        <v>2371</v>
      </c>
      <c r="Q56" s="2361" t="s">
        <v>2372</v>
      </c>
      <c r="R56" s="2360" t="s">
        <v>2373</v>
      </c>
    </row>
    <row r="57" spans="1:18" s="2044" customFormat="1" ht="28.5" customHeight="1" thickBot="1">
      <c r="A57" s="797" t="s">
        <v>1746</v>
      </c>
      <c r="B57" s="798" t="s">
        <v>651</v>
      </c>
      <c r="C57" s="799">
        <f ca="1">ROUND(C58+C63+C64+C65,0)</f>
        <v>108</v>
      </c>
      <c r="D57" s="26" t="s">
        <v>1748</v>
      </c>
      <c r="E57" s="2604"/>
      <c r="F57" s="56"/>
      <c r="I57" s="3110" t="s">
        <v>2353</v>
      </c>
      <c r="J57" s="3111">
        <f ca="1">IF(OR(M47="住宅",J51&lt;L48,J56="是"),"——",J51-L48)</f>
        <v>21.740000000000002</v>
      </c>
      <c r="K57" s="3072" t="s">
        <v>2358</v>
      </c>
      <c r="L57" s="1893" t="str">
        <f ca="1">IF(L48&lt;J51,"——",IF(L55="比较法",L49,IF(L55="基准地价",L50,L51)))</f>
        <v>——</v>
      </c>
      <c r="O57" s="2362" t="s">
        <v>2374</v>
      </c>
      <c r="P57" s="2363" t="s">
        <v>2404</v>
      </c>
      <c r="Q57" s="2364">
        <f ca="1">C40+J29</f>
        <v>3430</v>
      </c>
      <c r="R57" s="2363" t="s">
        <v>2375</v>
      </c>
    </row>
    <row r="58" spans="1:18" s="2044" customFormat="1" ht="28.5" customHeight="1" thickBot="1">
      <c r="A58" s="1634" t="s">
        <v>1822</v>
      </c>
      <c r="B58" s="784" t="s">
        <v>656</v>
      </c>
      <c r="C58" s="53">
        <f ca="1">ROUND(IF(项目基本情况!B11="自然人",C47*F58,C59+C60+C61),1)</f>
        <v>0</v>
      </c>
      <c r="D58" s="2602" t="s">
        <v>657</v>
      </c>
      <c r="E58" s="2603" t="s">
        <v>690</v>
      </c>
      <c r="F58" s="810" t="str">
        <f ca="1">IF(项目基本情况!B11="企业","",IF(INDIRECT("'数据-取费表'!c"&amp;$G$1)="住宅",5%,IF(F48*F49*F50/12/(1+'数据-取费表'!C42)&gt;20000,12%,7%)))</f>
        <v/>
      </c>
      <c r="I58" s="3110" t="s">
        <v>2354</v>
      </c>
      <c r="J58" s="3048">
        <f ca="1">IF(J55&lt;0.4,0.4,J55)</f>
        <v>0.4</v>
      </c>
      <c r="K58" s="3072" t="s">
        <v>2359</v>
      </c>
      <c r="L58" s="1893" t="e">
        <f ca="1">ROUND(POWER(1+L52,L47-L48)*(POWER(1+L52,L48)-1)/(POWER(1+L52,L47)-1),4)</f>
        <v>#DIV/0!</v>
      </c>
      <c r="O58" s="2362" t="s">
        <v>2376</v>
      </c>
      <c r="P58" s="2363" t="s">
        <v>2407</v>
      </c>
      <c r="Q58" s="2364">
        <f ca="1">L60</f>
        <v>0</v>
      </c>
      <c r="R58" s="2367" t="s">
        <v>2409</v>
      </c>
    </row>
    <row r="59" spans="1:18" s="2044" customFormat="1" ht="28.5" customHeight="1" thickBot="1">
      <c r="A59" s="1633" t="s">
        <v>1829</v>
      </c>
      <c r="B59" s="784" t="s">
        <v>660</v>
      </c>
      <c r="C59" s="53">
        <f ca="1">ROUND(C47*F59/1.05,1)</f>
        <v>0</v>
      </c>
      <c r="D59" s="2603" t="s">
        <v>1754</v>
      </c>
      <c r="E59" s="784" t="s">
        <v>1745</v>
      </c>
      <c r="F59" s="809">
        <f t="shared" ref="F59:F65" si="0">F32</f>
        <v>5.6000000000000001E-2</v>
      </c>
      <c r="I59" s="3110" t="s">
        <v>2355</v>
      </c>
      <c r="J59" s="3111">
        <f ca="1">IF(OR(M47="住宅",J51&lt;L48,J56="是"),"——",ROUND(C29*J58,0))</f>
        <v>3739</v>
      </c>
      <c r="K59" s="3072"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2378</v>
      </c>
      <c r="P59" s="2363" t="s">
        <v>2408</v>
      </c>
      <c r="Q59" s="2364">
        <f>IF(L55="比较法",L49,IF(L55="基准地价",L50,0))</f>
        <v>0</v>
      </c>
      <c r="R59" s="2363" t="s">
        <v>2375</v>
      </c>
    </row>
    <row r="60" spans="1:18" s="2044" customFormat="1" ht="18" customHeight="1" thickBot="1">
      <c r="A60" s="1633" t="s">
        <v>1830</v>
      </c>
      <c r="B60" s="784" t="s">
        <v>1756</v>
      </c>
      <c r="C60" s="53">
        <f ca="1">IF(D60="按租金收入计税",ROUND(C47*F60,1),IF(D60="按房产原值计税",ROUND(C56*F60*0.7,1),INDIRECT("'数据-取费表'!Aj"&amp;$G$1)))</f>
        <v>0</v>
      </c>
      <c r="D60" s="2603" t="str">
        <f>D33</f>
        <v>按租金收入计税</v>
      </c>
      <c r="E60" s="784" t="s">
        <v>1745</v>
      </c>
      <c r="F60" s="809">
        <f t="shared" si="0"/>
        <v>0.12</v>
      </c>
      <c r="I60" s="3112" t="s">
        <v>2356</v>
      </c>
      <c r="J60" s="3113">
        <f ca="1">IF(OR(M47="住宅",J51&lt;L48,J56="是"),"0",ROUND(J59/(1+J52)^J53,0))</f>
        <v>3739</v>
      </c>
      <c r="K60" s="3114" t="s">
        <v>2361</v>
      </c>
      <c r="L60" s="3113">
        <f ca="1">IF(OR(M47="住宅",L48&lt;J51),0,ROUND(L57*(L58/L59-1),0))</f>
        <v>0</v>
      </c>
      <c r="O60" s="2365" t="s">
        <v>2379</v>
      </c>
      <c r="P60" s="2363" t="s">
        <v>2388</v>
      </c>
      <c r="Q60" s="2366">
        <f>L52</f>
        <v>0</v>
      </c>
      <c r="R60" s="2367"/>
    </row>
    <row r="61" spans="1:18" s="2044" customFormat="1" ht="18" customHeight="1" thickBot="1">
      <c r="A61" s="1636" t="s">
        <v>1831</v>
      </c>
      <c r="B61" s="341" t="s">
        <v>668</v>
      </c>
      <c r="C61" s="54">
        <f ca="1">ROUND(F61*F62/10000,1)</f>
        <v>0</v>
      </c>
      <c r="D61" s="814" t="s">
        <v>669</v>
      </c>
      <c r="E61" s="784" t="s">
        <v>670</v>
      </c>
      <c r="F61" s="640">
        <f t="shared" si="0"/>
        <v>0</v>
      </c>
      <c r="K61" s="2071"/>
      <c r="O61" s="2365" t="s">
        <v>2381</v>
      </c>
      <c r="P61" s="2363" t="s">
        <v>2389</v>
      </c>
      <c r="Q61" s="2364" t="e">
        <f ca="1">L58</f>
        <v>#DIV/0!</v>
      </c>
      <c r="R61" s="2367" t="s">
        <v>2390</v>
      </c>
    </row>
    <row r="62" spans="1:18" s="2044" customFormat="1" ht="16.2" thickBot="1">
      <c r="A62" s="815"/>
      <c r="B62" s="793"/>
      <c r="C62" s="69"/>
      <c r="D62" s="816"/>
      <c r="E62" s="784" t="s">
        <v>674</v>
      </c>
      <c r="F62" s="785">
        <f t="shared" ca="1" si="0"/>
        <v>4248.2700000000004</v>
      </c>
      <c r="I62" s="3115" t="s">
        <v>2362</v>
      </c>
      <c r="J62" s="3116" t="s">
        <v>2363</v>
      </c>
      <c r="K62" s="3116" t="s">
        <v>2364</v>
      </c>
      <c r="L62" s="3116" t="s">
        <v>2345</v>
      </c>
      <c r="M62" s="3117" t="s">
        <v>2938</v>
      </c>
      <c r="O62" s="2365" t="s">
        <v>2383</v>
      </c>
      <c r="P62" s="2363" t="str">
        <f>K59</f>
        <v>建设期及建筑物耐用年限下的土地年期修正系数Kn</v>
      </c>
      <c r="Q62" s="2364" t="e">
        <f ca="1">L59</f>
        <v>#DIV/0!</v>
      </c>
      <c r="R62" s="2367" t="s">
        <v>2392</v>
      </c>
    </row>
    <row r="63" spans="1:18" s="2044" customFormat="1" ht="16.2" thickBot="1">
      <c r="A63" s="1634" t="s">
        <v>1887</v>
      </c>
      <c r="B63" s="784" t="s">
        <v>676</v>
      </c>
      <c r="C63" s="53">
        <f ca="1">ROUND(C56*F63,1)</f>
        <v>93.5</v>
      </c>
      <c r="D63" s="2603" t="s">
        <v>1801</v>
      </c>
      <c r="E63" s="784" t="s">
        <v>1745</v>
      </c>
      <c r="F63" s="817">
        <f t="shared" ca="1" si="0"/>
        <v>0.01</v>
      </c>
      <c r="I63" s="3115" t="s">
        <v>2365</v>
      </c>
      <c r="J63" s="3116">
        <v>70</v>
      </c>
      <c r="K63" s="3116">
        <v>50</v>
      </c>
      <c r="L63" s="3116">
        <v>80</v>
      </c>
      <c r="M63" s="3118">
        <v>0.02</v>
      </c>
      <c r="O63" s="2362" t="s">
        <v>2386</v>
      </c>
      <c r="P63" s="2363" t="s">
        <v>2403</v>
      </c>
      <c r="Q63" s="2364">
        <f ca="1">Q57+Q58</f>
        <v>3430</v>
      </c>
      <c r="R63" s="2367" t="s">
        <v>2387</v>
      </c>
    </row>
    <row r="64" spans="1:18" s="2044" customFormat="1" ht="16.2" thickBot="1">
      <c r="A64" s="1634" t="s">
        <v>1888</v>
      </c>
      <c r="B64" s="784" t="s">
        <v>679</v>
      </c>
      <c r="C64" s="53">
        <f ca="1">ROUND(C55*F64,1)</f>
        <v>14</v>
      </c>
      <c r="D64" s="2603" t="s">
        <v>680</v>
      </c>
      <c r="E64" s="784" t="s">
        <v>1745</v>
      </c>
      <c r="F64" s="818">
        <f t="shared" ca="1" si="0"/>
        <v>1.5E-3</v>
      </c>
      <c r="I64" s="3115" t="s">
        <v>2366</v>
      </c>
      <c r="J64" s="3116">
        <v>50</v>
      </c>
      <c r="K64" s="3116">
        <v>35</v>
      </c>
      <c r="L64" s="3116">
        <v>60</v>
      </c>
      <c r="M64" s="846">
        <v>0</v>
      </c>
      <c r="O64" s="2368" t="s">
        <v>2410</v>
      </c>
      <c r="P64" s="1578"/>
      <c r="Q64" s="1589"/>
      <c r="R64" s="1578"/>
    </row>
    <row r="65" spans="1:18" s="2044" customFormat="1" ht="16.2" thickBot="1">
      <c r="A65" s="1634" t="s">
        <v>1889</v>
      </c>
      <c r="B65" s="784" t="s">
        <v>666</v>
      </c>
      <c r="C65" s="53">
        <f ca="1">ROUND(C47*F65,1)</f>
        <v>0</v>
      </c>
      <c r="D65" s="2603" t="s">
        <v>683</v>
      </c>
      <c r="E65" s="784" t="s">
        <v>1745</v>
      </c>
      <c r="F65" s="794">
        <f t="shared" ca="1" si="0"/>
        <v>0.02</v>
      </c>
      <c r="I65" s="3115" t="s">
        <v>2367</v>
      </c>
      <c r="J65" s="3116">
        <v>40</v>
      </c>
      <c r="K65" s="3116">
        <v>30</v>
      </c>
      <c r="L65" s="3116">
        <v>50</v>
      </c>
      <c r="M65" s="3118">
        <v>0.02</v>
      </c>
      <c r="O65" s="2359" t="s">
        <v>2370</v>
      </c>
      <c r="P65" s="2360" t="s">
        <v>2371</v>
      </c>
      <c r="Q65" s="2361" t="s">
        <v>2372</v>
      </c>
      <c r="R65" s="2360" t="s">
        <v>2373</v>
      </c>
    </row>
    <row r="66" spans="1:18" s="2044" customFormat="1" ht="24.6" thickBot="1">
      <c r="A66" s="797" t="s">
        <v>1774</v>
      </c>
      <c r="B66" s="2963" t="s">
        <v>2816</v>
      </c>
      <c r="C66" s="799">
        <f ca="1">C47-C57</f>
        <v>-108</v>
      </c>
      <c r="D66" s="2602" t="s">
        <v>700</v>
      </c>
      <c r="E66" s="2601"/>
      <c r="F66" s="820"/>
      <c r="K66" s="2071"/>
      <c r="O66" s="2362" t="s">
        <v>2374</v>
      </c>
      <c r="P66" s="2363" t="s">
        <v>2404</v>
      </c>
      <c r="Q66" s="2364">
        <f ca="1">C40+J29</f>
        <v>3430</v>
      </c>
      <c r="R66" s="2363" t="s">
        <v>2375</v>
      </c>
    </row>
    <row r="67" spans="1:18" s="2044" customFormat="1" ht="19.2" thickBot="1">
      <c r="A67" s="781" t="s">
        <v>1778</v>
      </c>
      <c r="B67" s="2217" t="s">
        <v>2296</v>
      </c>
      <c r="C67" s="783">
        <f ca="1">ROUND(C66*(1-((1+F69)/(1+F67))^F68)/(F67-F69),0)</f>
        <v>-1801</v>
      </c>
      <c r="D67" s="814" t="s">
        <v>704</v>
      </c>
      <c r="E67" s="784" t="s">
        <v>705</v>
      </c>
      <c r="F67" s="794">
        <f ca="1">F40</f>
        <v>0.05</v>
      </c>
      <c r="K67" s="2071"/>
      <c r="O67" s="2362" t="s">
        <v>2376</v>
      </c>
      <c r="P67" s="2363" t="s">
        <v>2407</v>
      </c>
      <c r="Q67" s="2364">
        <f ca="1">L60</f>
        <v>0</v>
      </c>
      <c r="R67" s="2367" t="s">
        <v>2409</v>
      </c>
    </row>
    <row r="68" spans="1:18" ht="20.399999999999999" thickBot="1">
      <c r="A68" s="786"/>
      <c r="B68" s="787"/>
      <c r="C68" s="788"/>
      <c r="D68" s="821" t="s">
        <v>1806</v>
      </c>
      <c r="E68" s="784" t="s">
        <v>1782</v>
      </c>
      <c r="F68" s="822">
        <f ca="1">F41</f>
        <v>36.76</v>
      </c>
      <c r="O68" s="2365" t="s">
        <v>2378</v>
      </c>
      <c r="P68" s="2363" t="s">
        <v>2408</v>
      </c>
      <c r="Q68" s="2369">
        <f ca="1">L51</f>
        <v>-13158</v>
      </c>
      <c r="R68" s="2370" t="s">
        <v>2411</v>
      </c>
    </row>
    <row r="69" spans="1:18" ht="19.2" thickBot="1">
      <c r="A69" s="790"/>
      <c r="B69" s="791"/>
      <c r="C69" s="792"/>
      <c r="D69" s="816"/>
      <c r="E69" s="784" t="s">
        <v>710</v>
      </c>
      <c r="F69" s="2335"/>
      <c r="O69" s="2365" t="s">
        <v>2379</v>
      </c>
      <c r="P69" s="2371" t="s">
        <v>2393</v>
      </c>
      <c r="Q69" s="2364">
        <f ca="1">ROUND(Q70-Q71*Q72,0)</f>
        <v>-638</v>
      </c>
      <c r="R69" s="2367"/>
    </row>
    <row r="70" spans="1:18" ht="16.2" thickBot="1">
      <c r="A70" s="823" t="s">
        <v>1785</v>
      </c>
      <c r="B70" s="824" t="s">
        <v>1808</v>
      </c>
      <c r="C70" s="825">
        <f ca="1">ROUND(C67*10000/F70,0)</f>
        <v>-532</v>
      </c>
      <c r="D70" s="826" t="s">
        <v>1809</v>
      </c>
      <c r="E70" s="827" t="s">
        <v>1810</v>
      </c>
      <c r="F70" s="828">
        <f ca="1">F43</f>
        <v>33875</v>
      </c>
      <c r="O70" s="2365" t="s">
        <v>2394</v>
      </c>
      <c r="P70" s="2371" t="s">
        <v>2395</v>
      </c>
      <c r="Q70" s="2364">
        <f ca="1">C39</f>
        <v>157</v>
      </c>
      <c r="R70" s="2363" t="s">
        <v>2375</v>
      </c>
    </row>
    <row r="71" spans="1:18" ht="16.2" thickBot="1">
      <c r="O71" s="2365" t="s">
        <v>2396</v>
      </c>
      <c r="P71" s="2371" t="s">
        <v>2397</v>
      </c>
      <c r="Q71" s="2364">
        <f ca="1">C13</f>
        <v>9348</v>
      </c>
      <c r="R71" s="2363" t="s">
        <v>2375</v>
      </c>
    </row>
    <row r="72" spans="1:18" ht="16.2" thickBot="1">
      <c r="O72" s="2365" t="s">
        <v>2398</v>
      </c>
      <c r="P72" s="2371" t="s">
        <v>2399</v>
      </c>
      <c r="Q72" s="2366">
        <f ca="1">J36</f>
        <v>8.5000000000000006E-2</v>
      </c>
      <c r="R72" s="2367"/>
    </row>
    <row r="73" spans="1:18" ht="16.2" thickBot="1">
      <c r="O73" s="2365" t="s">
        <v>2381</v>
      </c>
      <c r="P73" s="2363" t="s">
        <v>2388</v>
      </c>
      <c r="Q73" s="2366">
        <f>L52</f>
        <v>0</v>
      </c>
      <c r="R73" s="2367"/>
    </row>
    <row r="74" spans="1:18" ht="19.2" thickBot="1">
      <c r="O74" s="2365" t="s">
        <v>2383</v>
      </c>
      <c r="P74" s="2363" t="s">
        <v>2389</v>
      </c>
      <c r="Q74" s="2364" t="e">
        <f ca="1">L58</f>
        <v>#DIV/0!</v>
      </c>
      <c r="R74" s="2367" t="s">
        <v>2390</v>
      </c>
    </row>
    <row r="75" spans="1:18" ht="16.2" thickBot="1">
      <c r="O75" s="2365" t="s">
        <v>2412</v>
      </c>
      <c r="P75" s="2363" t="str">
        <f>K59</f>
        <v>建设期及建筑物耐用年限下的土地年期修正系数Kn</v>
      </c>
      <c r="Q75" s="2364" t="e">
        <f ca="1">L59</f>
        <v>#DIV/0!</v>
      </c>
      <c r="R75" s="2367" t="s">
        <v>2392</v>
      </c>
    </row>
    <row r="76" spans="1:18" ht="16.2" thickBot="1">
      <c r="O76" s="2362" t="s">
        <v>2386</v>
      </c>
      <c r="P76" s="2363" t="s">
        <v>2403</v>
      </c>
      <c r="Q76" s="2364">
        <f ca="1">Q66+Q67</f>
        <v>3430</v>
      </c>
      <c r="R76" s="2367"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69" t="s">
        <v>2466</v>
      </c>
      <c r="B1" s="3470"/>
      <c r="C1" s="3471"/>
      <c r="D1" s="3472">
        <f>SUM(I10,I15,I20,I21,I23)</f>
        <v>0</v>
      </c>
      <c r="E1" s="3472"/>
      <c r="F1" s="3472"/>
      <c r="G1" s="3472"/>
      <c r="H1" s="3472"/>
      <c r="I1" s="3473"/>
    </row>
    <row r="2" spans="1:9">
      <c r="A2" s="3474" t="s">
        <v>2467</v>
      </c>
      <c r="B2" s="3475" t="s">
        <v>2468</v>
      </c>
      <c r="C2" s="3475"/>
      <c r="D2" s="2471" t="s">
        <v>2469</v>
      </c>
      <c r="E2" s="2471" t="s">
        <v>2470</v>
      </c>
      <c r="F2" s="2471" t="s">
        <v>2471</v>
      </c>
      <c r="G2" s="2471" t="s">
        <v>2472</v>
      </c>
      <c r="H2" s="2471" t="s">
        <v>2473</v>
      </c>
      <c r="I2" s="2472" t="s">
        <v>2474</v>
      </c>
    </row>
    <row r="3" spans="1:9">
      <c r="A3" s="3474"/>
      <c r="B3" s="3475" t="s">
        <v>2475</v>
      </c>
      <c r="C3" s="3475"/>
      <c r="D3" s="2473"/>
      <c r="E3" s="2471"/>
      <c r="F3" s="2474"/>
      <c r="G3" s="2474"/>
      <c r="H3" s="2475"/>
      <c r="I3" s="2476">
        <f>ROUND(D3*E3*F3*G3*H3/10000,0)</f>
        <v>0</v>
      </c>
    </row>
    <row r="4" spans="1:9">
      <c r="A4" s="3474"/>
      <c r="B4" s="3475" t="s">
        <v>2476</v>
      </c>
      <c r="C4" s="3475"/>
      <c r="D4" s="2473"/>
      <c r="E4" s="2471"/>
      <c r="F4" s="2474"/>
      <c r="G4" s="2474"/>
      <c r="H4" s="2475"/>
      <c r="I4" s="2476">
        <f t="shared" ref="I4:I9" si="0">ROUND(D4*E4*F4*G4*H4/10000,0)</f>
        <v>0</v>
      </c>
    </row>
    <row r="5" spans="1:9">
      <c r="A5" s="3474"/>
      <c r="B5" s="3475" t="s">
        <v>2477</v>
      </c>
      <c r="C5" s="3475"/>
      <c r="D5" s="2473"/>
      <c r="E5" s="2471"/>
      <c r="F5" s="2474"/>
      <c r="G5" s="2474"/>
      <c r="H5" s="2475"/>
      <c r="I5" s="2476">
        <f t="shared" si="0"/>
        <v>0</v>
      </c>
    </row>
    <row r="6" spans="1:9">
      <c r="A6" s="3474"/>
      <c r="B6" s="3475" t="s">
        <v>2478</v>
      </c>
      <c r="C6" s="3475"/>
      <c r="D6" s="2473"/>
      <c r="E6" s="2471"/>
      <c r="F6" s="2474"/>
      <c r="G6" s="2474"/>
      <c r="H6" s="2475"/>
      <c r="I6" s="2476">
        <f t="shared" si="0"/>
        <v>0</v>
      </c>
    </row>
    <row r="7" spans="1:9">
      <c r="A7" s="3474"/>
      <c r="B7" s="3475" t="s">
        <v>2479</v>
      </c>
      <c r="C7" s="3475"/>
      <c r="D7" s="2473"/>
      <c r="E7" s="2471"/>
      <c r="F7" s="2474"/>
      <c r="G7" s="2474"/>
      <c r="H7" s="2475"/>
      <c r="I7" s="2476">
        <f t="shared" si="0"/>
        <v>0</v>
      </c>
    </row>
    <row r="8" spans="1:9">
      <c r="A8" s="3474"/>
      <c r="B8" s="3475" t="s">
        <v>2480</v>
      </c>
      <c r="C8" s="3475"/>
      <c r="D8" s="2473"/>
      <c r="E8" s="2471"/>
      <c r="F8" s="2474"/>
      <c r="G8" s="2474"/>
      <c r="H8" s="2475"/>
      <c r="I8" s="2476">
        <f t="shared" si="0"/>
        <v>0</v>
      </c>
    </row>
    <row r="9" spans="1:9">
      <c r="A9" s="3474"/>
      <c r="B9" s="3475" t="s">
        <v>2481</v>
      </c>
      <c r="C9" s="3475"/>
      <c r="D9" s="2473"/>
      <c r="E9" s="2471"/>
      <c r="F9" s="2474"/>
      <c r="G9" s="2474"/>
      <c r="H9" s="2475"/>
      <c r="I9" s="2476">
        <f t="shared" si="0"/>
        <v>0</v>
      </c>
    </row>
    <row r="10" spans="1:9">
      <c r="A10" s="3474"/>
      <c r="B10" s="3476" t="s">
        <v>2482</v>
      </c>
      <c r="C10" s="3476"/>
      <c r="D10" s="2477">
        <v>527</v>
      </c>
      <c r="E10" s="2477" t="e">
        <f>ROUND(D1*10000/D10/H9,0)</f>
        <v>#DIV/0!</v>
      </c>
      <c r="F10" s="2478"/>
      <c r="G10" s="2478"/>
      <c r="H10" s="2479"/>
      <c r="I10" s="2480">
        <f>SUM(I3:I9)</f>
        <v>0</v>
      </c>
    </row>
    <row r="11" spans="1:9" ht="15.6">
      <c r="A11" s="3474" t="s">
        <v>2483</v>
      </c>
      <c r="B11" s="3475" t="s">
        <v>2484</v>
      </c>
      <c r="C11" s="3475"/>
      <c r="D11" s="2473" t="s">
        <v>2485</v>
      </c>
      <c r="E11" s="2473" t="s">
        <v>2486</v>
      </c>
      <c r="F11" s="2474" t="s">
        <v>2487</v>
      </c>
      <c r="G11" s="2474" t="s">
        <v>2488</v>
      </c>
      <c r="H11" s="2481" t="s">
        <v>2489</v>
      </c>
      <c r="I11" s="2472" t="s">
        <v>2490</v>
      </c>
    </row>
    <row r="12" spans="1:9">
      <c r="A12" s="3474"/>
      <c r="B12" s="3475" t="s">
        <v>2491</v>
      </c>
      <c r="C12" s="3475"/>
      <c r="D12" s="2473"/>
      <c r="E12" s="2473"/>
      <c r="F12" s="2474"/>
      <c r="G12" s="2475"/>
      <c r="H12" s="2482"/>
      <c r="I12" s="2472">
        <f>ROUND(D12*E12*F12*G12/10000,0)</f>
        <v>0</v>
      </c>
    </row>
    <row r="13" spans="1:9">
      <c r="A13" s="3474"/>
      <c r="B13" s="3475" t="s">
        <v>2492</v>
      </c>
      <c r="C13" s="3475"/>
      <c r="D13" s="2473"/>
      <c r="E13" s="2473"/>
      <c r="F13" s="2474"/>
      <c r="G13" s="2475"/>
      <c r="H13" s="2482"/>
      <c r="I13" s="2472">
        <f>ROUND(D13*E13*F13*G13/10000,0)</f>
        <v>0</v>
      </c>
    </row>
    <row r="14" spans="1:9">
      <c r="A14" s="3474"/>
      <c r="B14" s="3475" t="s">
        <v>2493</v>
      </c>
      <c r="C14" s="3475"/>
      <c r="D14" s="2473"/>
      <c r="E14" s="2473"/>
      <c r="F14" s="2474"/>
      <c r="G14" s="2475"/>
      <c r="H14" s="2482"/>
      <c r="I14" s="2472">
        <f>ROUND(D14*E14*F14*G14/10000,0)</f>
        <v>0</v>
      </c>
    </row>
    <row r="15" spans="1:9">
      <c r="A15" s="3474"/>
      <c r="B15" s="3476" t="s">
        <v>2482</v>
      </c>
      <c r="C15" s="3476"/>
      <c r="D15" s="2477"/>
      <c r="E15" s="2477">
        <f>SUM(E12:E14)</f>
        <v>0</v>
      </c>
      <c r="F15" s="2478"/>
      <c r="G15" s="2475"/>
      <c r="H15" s="2482"/>
      <c r="I15" s="2483">
        <f>SUM(I12:I14)</f>
        <v>0</v>
      </c>
    </row>
    <row r="16" spans="1:9" ht="24">
      <c r="A16" s="3474" t="s">
        <v>2494</v>
      </c>
      <c r="B16" s="3475" t="s">
        <v>2495</v>
      </c>
      <c r="C16" s="3475"/>
      <c r="D16" s="2473" t="s">
        <v>2496</v>
      </c>
      <c r="E16" s="2484" t="s">
        <v>2497</v>
      </c>
      <c r="F16" s="2474" t="s">
        <v>2498</v>
      </c>
      <c r="G16" s="2475" t="s">
        <v>2488</v>
      </c>
      <c r="H16" s="2481" t="s">
        <v>2489</v>
      </c>
      <c r="I16" s="2472" t="s">
        <v>2490</v>
      </c>
    </row>
    <row r="17" spans="1:9" ht="15.6">
      <c r="A17" s="3474"/>
      <c r="B17" s="3475" t="s">
        <v>2499</v>
      </c>
      <c r="C17" s="3475"/>
      <c r="D17" s="2473"/>
      <c r="E17" s="2473"/>
      <c r="F17" s="2474"/>
      <c r="G17" s="2475"/>
      <c r="H17" s="2485"/>
      <c r="I17" s="2486">
        <f>ROUND(D17*E17*F17*G17/10000,0)</f>
        <v>0</v>
      </c>
    </row>
    <row r="18" spans="1:9" ht="15.6">
      <c r="A18" s="3474"/>
      <c r="B18" s="3475" t="s">
        <v>2500</v>
      </c>
      <c r="C18" s="3475"/>
      <c r="D18" s="2473"/>
      <c r="E18" s="2473"/>
      <c r="F18" s="2474"/>
      <c r="G18" s="2475"/>
      <c r="H18" s="2485"/>
      <c r="I18" s="2486">
        <f>ROUND(D18*E18*F18*G18/10000,0)</f>
        <v>0</v>
      </c>
    </row>
    <row r="19" spans="1:9" ht="15.6">
      <c r="A19" s="3474"/>
      <c r="B19" s="3475" t="s">
        <v>2501</v>
      </c>
      <c r="C19" s="3475"/>
      <c r="D19" s="2473"/>
      <c r="E19" s="2473"/>
      <c r="F19" s="2474"/>
      <c r="G19" s="2475"/>
      <c r="H19" s="2485"/>
      <c r="I19" s="2486">
        <f>ROUND(D19*E19*F19*G19/10000,0)</f>
        <v>0</v>
      </c>
    </row>
    <row r="20" spans="1:9">
      <c r="A20" s="3474"/>
      <c r="B20" s="3476" t="s">
        <v>2482</v>
      </c>
      <c r="C20" s="3476"/>
      <c r="D20" s="2477">
        <f>SUM(D17:D19)</f>
        <v>0</v>
      </c>
      <c r="E20" s="2477"/>
      <c r="F20" s="2478"/>
      <c r="G20" s="2475"/>
      <c r="H20" s="2482"/>
      <c r="I20" s="2483">
        <f>SUM(I17:I19)</f>
        <v>0</v>
      </c>
    </row>
    <row r="21" spans="1:9">
      <c r="A21" s="3474" t="s">
        <v>2502</v>
      </c>
      <c r="B21" s="3478"/>
      <c r="C21" s="3478"/>
      <c r="D21" s="3478"/>
      <c r="E21" s="3478"/>
      <c r="F21" s="3478"/>
      <c r="G21" s="3478"/>
      <c r="H21" s="2487">
        <v>0.1</v>
      </c>
      <c r="I21" s="2480">
        <f>ROUND(I10*H21,0)</f>
        <v>0</v>
      </c>
    </row>
    <row r="22" spans="1:9" ht="15.6">
      <c r="A22" s="3479" t="s">
        <v>2503</v>
      </c>
      <c r="B22" s="3480"/>
      <c r="C22" s="3481"/>
      <c r="D22" s="2488" t="s">
        <v>2504</v>
      </c>
      <c r="E22" s="2488" t="s">
        <v>2505</v>
      </c>
      <c r="F22" s="2489" t="s">
        <v>2506</v>
      </c>
      <c r="G22" s="2489" t="s">
        <v>2507</v>
      </c>
      <c r="H22" s="2481" t="s">
        <v>2508</v>
      </c>
      <c r="I22" s="2472" t="s">
        <v>2509</v>
      </c>
    </row>
    <row r="23" spans="1:9" ht="15" thickBot="1">
      <c r="A23" s="3482"/>
      <c r="B23" s="3483"/>
      <c r="C23" s="3484"/>
      <c r="D23" s="2490"/>
      <c r="E23" s="2490"/>
      <c r="F23" s="2490"/>
      <c r="G23" s="2491"/>
      <c r="H23" s="2492"/>
      <c r="I23" s="2493">
        <f>ROUND(E23*D23*F23*(1-G23)/10000,0)</f>
        <v>0</v>
      </c>
    </row>
    <row r="26" spans="1:9">
      <c r="A26" s="2494" t="s">
        <v>2510</v>
      </c>
      <c r="B26" s="2494"/>
      <c r="C26" s="2494"/>
      <c r="D26" s="2494"/>
      <c r="E26" s="3485">
        <f>C27-C30-C31-C32</f>
        <v>0</v>
      </c>
      <c r="F26" s="3485"/>
      <c r="G26" s="3485"/>
      <c r="H26" s="2995" t="s">
        <v>2837</v>
      </c>
    </row>
    <row r="27" spans="1:9">
      <c r="A27" s="2495">
        <v>1</v>
      </c>
      <c r="B27" s="2496" t="s">
        <v>2511</v>
      </c>
      <c r="C27" s="2496"/>
      <c r="D27" s="2496"/>
      <c r="E27" s="3486"/>
      <c r="F27" s="3486"/>
      <c r="G27" s="3486"/>
    </row>
    <row r="28" spans="1:9">
      <c r="A28" s="2497" t="s">
        <v>2512</v>
      </c>
      <c r="B28" s="2496" t="s">
        <v>2513</v>
      </c>
      <c r="C28" s="2496"/>
      <c r="D28" s="2496"/>
      <c r="E28" s="3486"/>
      <c r="F28" s="3486"/>
      <c r="G28" s="3486"/>
    </row>
    <row r="29" spans="1:9">
      <c r="A29" s="2497" t="s">
        <v>2514</v>
      </c>
      <c r="B29" s="2496" t="s">
        <v>2455</v>
      </c>
      <c r="C29" s="2496"/>
      <c r="D29" s="2496"/>
      <c r="E29" s="2496" t="s">
        <v>2515</v>
      </c>
      <c r="F29" s="2496"/>
      <c r="G29" s="2496"/>
    </row>
    <row r="30" spans="1:9">
      <c r="A30" s="2495">
        <v>2</v>
      </c>
      <c r="B30" s="2496" t="s">
        <v>2516</v>
      </c>
      <c r="C30" s="2496">
        <f>C27*D30</f>
        <v>0</v>
      </c>
      <c r="D30" s="2498">
        <v>0.2</v>
      </c>
      <c r="E30" s="2496" t="s">
        <v>2517</v>
      </c>
      <c r="F30" s="2496"/>
      <c r="G30" s="2496"/>
    </row>
    <row r="31" spans="1:9">
      <c r="A31" s="2495">
        <v>3</v>
      </c>
      <c r="B31" s="2496" t="s">
        <v>2518</v>
      </c>
      <c r="C31" s="2496">
        <f>C25*D31</f>
        <v>0</v>
      </c>
      <c r="D31" s="2498">
        <v>0.15</v>
      </c>
      <c r="E31" s="2496" t="s">
        <v>2519</v>
      </c>
      <c r="F31" s="2496"/>
      <c r="G31" s="2496"/>
    </row>
    <row r="32" spans="1:9">
      <c r="A32" s="2495">
        <v>4</v>
      </c>
      <c r="B32" s="2496" t="s">
        <v>2520</v>
      </c>
      <c r="C32" s="2496">
        <f>C27*D32</f>
        <v>0</v>
      </c>
      <c r="D32" s="2498">
        <v>0.05</v>
      </c>
      <c r="E32" s="3477"/>
      <c r="F32" s="3477"/>
      <c r="G32" s="3477"/>
    </row>
    <row r="33" spans="1:7" hidden="1">
      <c r="A33" s="3487" t="s">
        <v>2521</v>
      </c>
      <c r="B33" s="3488"/>
      <c r="C33" s="3488"/>
      <c r="D33" s="3489"/>
      <c r="E33" s="3485"/>
      <c r="F33" s="3485"/>
      <c r="G33" s="3485"/>
    </row>
    <row r="34" spans="1:7" hidden="1">
      <c r="A34" s="2499">
        <v>1</v>
      </c>
      <c r="B34" s="2496" t="s">
        <v>2522</v>
      </c>
      <c r="C34" s="2496"/>
      <c r="D34" s="2496"/>
      <c r="E34" s="3486"/>
      <c r="F34" s="3486"/>
      <c r="G34" s="3486"/>
    </row>
    <row r="35" spans="1:7" hidden="1">
      <c r="A35" s="2499">
        <v>2</v>
      </c>
      <c r="B35" s="2496" t="s">
        <v>2523</v>
      </c>
      <c r="C35" s="2496"/>
      <c r="D35" s="2496"/>
      <c r="E35" s="3486"/>
      <c r="F35" s="3486"/>
      <c r="G35" s="3486"/>
    </row>
    <row r="36" spans="1:7" hidden="1">
      <c r="A36" s="2499">
        <v>3</v>
      </c>
      <c r="B36" s="2496" t="s">
        <v>2524</v>
      </c>
      <c r="C36" s="2496"/>
      <c r="D36" s="2496"/>
      <c r="E36" s="3486"/>
      <c r="F36" s="3486"/>
      <c r="G36" s="3486"/>
    </row>
    <row r="37" spans="1:7" hidden="1">
      <c r="A37" s="2499">
        <v>4</v>
      </c>
      <c r="B37" s="2496" t="s">
        <v>2525</v>
      </c>
      <c r="C37" s="2496"/>
      <c r="D37" s="2496"/>
      <c r="E37" s="3486"/>
      <c r="F37" s="3486"/>
      <c r="G37" s="3486"/>
    </row>
    <row r="38" spans="1:7" hidden="1">
      <c r="A38" s="3487" t="s">
        <v>2526</v>
      </c>
      <c r="B38" s="3488"/>
      <c r="C38" s="3488"/>
      <c r="D38" s="3489"/>
      <c r="E38" s="3485"/>
      <c r="F38" s="3485"/>
      <c r="G38" s="34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70" customWidth="1"/>
    <col min="2" max="2" width="26.6640625" style="2171" customWidth="1"/>
    <col min="3" max="3" width="11.109375" style="2171" customWidth="1"/>
    <col min="4" max="5" width="11.109375" style="2172" customWidth="1"/>
    <col min="6" max="6" width="9.44140625" style="2171" customWidth="1"/>
    <col min="7" max="7" width="31.88671875" style="2171" customWidth="1"/>
    <col min="8" max="25" width="9" style="2173" customWidth="1"/>
    <col min="26" max="254" width="9" style="2171" customWidth="1"/>
    <col min="255" max="16384" width="8.33203125" style="2171"/>
  </cols>
  <sheetData>
    <row r="1" spans="1:25" s="2044" customFormat="1" ht="21">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5" t="s">
        <v>1683</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2435</v>
      </c>
      <c r="B8" s="2436" t="s">
        <v>2437</v>
      </c>
      <c r="C8" s="2437"/>
      <c r="D8" s="749"/>
      <c r="E8" s="750"/>
      <c r="F8" s="750"/>
      <c r="G8" s="751"/>
    </row>
    <row r="9" spans="1:25" s="2168" customFormat="1" ht="13.5" customHeight="1">
      <c r="A9" s="2433" t="s">
        <v>2436</v>
      </c>
      <c r="B9" s="2436" t="s">
        <v>2438</v>
      </c>
      <c r="C9" s="2437"/>
      <c r="D9" s="749"/>
      <c r="E9" s="750"/>
      <c r="F9" s="750"/>
      <c r="G9" s="751"/>
    </row>
    <row r="10" spans="1:25" s="2168" customFormat="1" ht="36">
      <c r="A10" s="2433">
        <v>2</v>
      </c>
      <c r="B10" s="748" t="s">
        <v>613</v>
      </c>
      <c r="C10" s="749">
        <f>C11+C14+C15</f>
        <v>0</v>
      </c>
      <c r="D10" s="760">
        <f>'数据-汇总表'!E3</f>
        <v>110119</v>
      </c>
      <c r="E10" s="749">
        <f>'数据-取费表'!B31</f>
        <v>0</v>
      </c>
      <c r="F10" s="761"/>
      <c r="G10" s="759" t="s">
        <v>614</v>
      </c>
    </row>
    <row r="11" spans="1:25" s="2168" customFormat="1" ht="13.5" customHeight="1">
      <c r="A11" s="2433" t="s">
        <v>2435</v>
      </c>
      <c r="B11" s="752" t="s">
        <v>610</v>
      </c>
      <c r="C11" s="753">
        <f>'数据-取费表'!B29</f>
        <v>0</v>
      </c>
      <c r="D11" s="754"/>
      <c r="E11" s="753"/>
      <c r="F11" s="755"/>
      <c r="G11" s="2442" t="s">
        <v>2446</v>
      </c>
    </row>
    <row r="12" spans="1:25" s="2168" customFormat="1" ht="13.5" customHeight="1">
      <c r="A12" s="2440" t="s">
        <v>2443</v>
      </c>
      <c r="B12" s="756" t="s">
        <v>611</v>
      </c>
      <c r="C12" s="757">
        <f>ROUND(D12*E12/10000,0)</f>
        <v>0</v>
      </c>
      <c r="D12" s="758">
        <f>'数据-汇总表'!E5</f>
        <v>0</v>
      </c>
      <c r="E12" s="757">
        <f>'数据-取费表'!B27</f>
        <v>90</v>
      </c>
      <c r="F12" s="755"/>
      <c r="G12" s="759"/>
    </row>
    <row r="13" spans="1:25" s="2168" customFormat="1" ht="13.5" customHeight="1">
      <c r="A13" s="2440" t="s">
        <v>2442</v>
      </c>
      <c r="B13" s="756" t="s">
        <v>612</v>
      </c>
      <c r="C13" s="757">
        <f>ROUND(D13*E13/10000,0)</f>
        <v>991</v>
      </c>
      <c r="D13" s="758">
        <f>'数据-汇总表'!E6</f>
        <v>110119</v>
      </c>
      <c r="E13" s="757">
        <f>'数据-取费表'!B28</f>
        <v>90</v>
      </c>
      <c r="F13" s="755"/>
      <c r="G13" s="759"/>
    </row>
    <row r="14" spans="1:25" s="2168" customFormat="1" ht="13.5" customHeight="1">
      <c r="A14" s="2433" t="s">
        <v>2436</v>
      </c>
      <c r="B14" s="2439" t="s">
        <v>2439</v>
      </c>
      <c r="C14" s="2437"/>
      <c r="D14" s="758"/>
      <c r="E14" s="757"/>
      <c r="F14" s="2438"/>
      <c r="G14" s="2441" t="s">
        <v>2444</v>
      </c>
    </row>
    <row r="15" spans="1:25" s="2168" customFormat="1" ht="13.5" customHeight="1">
      <c r="A15" s="2433" t="s">
        <v>2441</v>
      </c>
      <c r="B15" s="2439" t="s">
        <v>2440</v>
      </c>
      <c r="C15" s="2437"/>
      <c r="D15" s="758"/>
      <c r="E15" s="757"/>
      <c r="F15" s="2438"/>
      <c r="G15" s="2441" t="s">
        <v>2445</v>
      </c>
    </row>
    <row r="16" spans="1:25" s="2169" customFormat="1" ht="48">
      <c r="A16" s="2433">
        <v>3</v>
      </c>
      <c r="B16" s="748" t="s">
        <v>615</v>
      </c>
      <c r="C16" s="2437"/>
      <c r="D16" s="760"/>
      <c r="E16" s="749"/>
      <c r="F16" s="761"/>
      <c r="G16" s="759" t="s">
        <v>2447</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6.4">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0.08</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5.2">
      <c r="A20" s="2433">
        <v>7</v>
      </c>
      <c r="B20" s="748" t="s">
        <v>621</v>
      </c>
      <c r="C20" s="749">
        <f ca="1">ROUND(C19*F20,0)</f>
        <v>0</v>
      </c>
      <c r="D20" s="760"/>
      <c r="E20" s="749"/>
      <c r="F20" s="1344"/>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0.85299999999999998</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2" customWidth="1"/>
    <col min="2" max="2" width="15.77734375" style="1332" customWidth="1"/>
    <col min="3" max="3" width="15.10937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2587" t="s">
        <v>719</v>
      </c>
      <c r="C1" s="2588" t="s">
        <v>720</v>
      </c>
      <c r="D1" s="2589"/>
      <c r="E1" s="2590"/>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57" customFormat="1" ht="28.5" customHeight="1">
      <c r="A2" s="423" t="s">
        <v>467</v>
      </c>
      <c r="B2" s="2586" t="e">
        <f>ROUND(B3*D3/10000,0)</f>
        <v>#DIV/0!</v>
      </c>
      <c r="C2" s="2112"/>
      <c r="D2" s="2112"/>
      <c r="E2" s="2112"/>
      <c r="F2" s="2186"/>
      <c r="G2" s="2112"/>
      <c r="H2" s="2112"/>
      <c r="I2" s="2112"/>
      <c r="J2" s="2112"/>
      <c r="K2" s="2187"/>
      <c r="L2" s="2188"/>
      <c r="M2" s="2189"/>
      <c r="N2" s="2189"/>
      <c r="O2" s="2189"/>
      <c r="P2" s="1587"/>
      <c r="Q2" s="1587"/>
      <c r="R2" s="1587"/>
      <c r="S2" s="1587"/>
      <c r="T2" s="1587"/>
      <c r="U2" s="1587"/>
      <c r="V2" s="1587"/>
      <c r="W2" s="1587"/>
      <c r="X2" s="1587"/>
      <c r="Y2" s="1587"/>
      <c r="Z2" s="1587"/>
      <c r="AA2" s="1587"/>
      <c r="AB2" s="1587"/>
      <c r="AC2" s="1588"/>
    </row>
    <row r="3" spans="1:29" s="1357" customFormat="1" ht="28.5" customHeight="1" thickBot="1">
      <c r="A3" s="509" t="s">
        <v>519</v>
      </c>
      <c r="B3" s="851" t="e">
        <f>C49</f>
        <v>#DIV/0!</v>
      </c>
      <c r="C3" s="852" t="s">
        <v>722</v>
      </c>
      <c r="D3" s="851">
        <f>SUMIF('数据-汇总表'!$C19:$C33,D1,'数据-汇总表'!$E19:$E33)</f>
        <v>0</v>
      </c>
      <c r="E3" s="2112"/>
      <c r="F3" s="2186"/>
      <c r="G3" s="2112"/>
      <c r="H3" s="2112"/>
      <c r="I3" s="2112"/>
      <c r="J3" s="2112"/>
      <c r="K3" s="2187"/>
      <c r="L3" s="2188"/>
      <c r="M3" s="2189"/>
      <c r="N3" s="2189"/>
      <c r="O3" s="2189"/>
      <c r="P3" s="1587"/>
      <c r="Q3" s="1587"/>
      <c r="R3" s="1587"/>
      <c r="S3" s="1587"/>
      <c r="T3" s="1587"/>
      <c r="U3" s="1587"/>
      <c r="V3" s="1587"/>
      <c r="W3" s="1587"/>
      <c r="X3" s="1587"/>
      <c r="Y3" s="1587"/>
      <c r="Z3" s="1587"/>
      <c r="AA3" s="1587"/>
      <c r="AB3" s="1587"/>
      <c r="AC3" s="1589"/>
    </row>
    <row r="4" spans="1:29" ht="14.4">
      <c r="A4" s="512" t="s">
        <v>521</v>
      </c>
      <c r="B4" s="513"/>
      <c r="C4" s="3380" t="s">
        <v>522</v>
      </c>
      <c r="D4" s="3381"/>
      <c r="E4" s="3414" t="s">
        <v>523</v>
      </c>
      <c r="F4" s="3415"/>
      <c r="G4" s="3380" t="s">
        <v>524</v>
      </c>
      <c r="H4" s="3381"/>
      <c r="I4" s="3380" t="s">
        <v>525</v>
      </c>
      <c r="J4" s="3381"/>
      <c r="K4" s="853" t="s">
        <v>526</v>
      </c>
      <c r="L4" s="2118"/>
      <c r="M4" s="2119"/>
      <c r="N4" s="2119"/>
      <c r="O4" s="2119"/>
      <c r="P4" s="3382" t="s">
        <v>527</v>
      </c>
      <c r="Q4" s="3383"/>
      <c r="R4" s="3388" t="s">
        <v>523</v>
      </c>
      <c r="S4" s="3389"/>
      <c r="T4" s="3388" t="s">
        <v>524</v>
      </c>
      <c r="U4" s="3389"/>
      <c r="V4" s="3375" t="s">
        <v>525</v>
      </c>
      <c r="W4" s="3375"/>
      <c r="X4" s="1553"/>
      <c r="Y4" s="3388" t="s">
        <v>527</v>
      </c>
      <c r="Z4" s="3389"/>
      <c r="AA4" s="3377" t="s">
        <v>523</v>
      </c>
      <c r="AB4" s="3377" t="s">
        <v>524</v>
      </c>
      <c r="AC4" s="3377" t="s">
        <v>525</v>
      </c>
    </row>
    <row r="5" spans="1:29">
      <c r="A5" s="515"/>
      <c r="B5" s="516"/>
      <c r="C5" s="3396" t="s">
        <v>2925</v>
      </c>
      <c r="D5" s="3397"/>
      <c r="E5" s="3416" t="s">
        <v>2926</v>
      </c>
      <c r="F5" s="3417"/>
      <c r="G5" s="3396" t="s">
        <v>2927</v>
      </c>
      <c r="H5" s="3397"/>
      <c r="I5" s="3396" t="s">
        <v>2928</v>
      </c>
      <c r="J5" s="3397"/>
      <c r="K5" s="854"/>
      <c r="L5" s="2118"/>
      <c r="M5" s="2119"/>
      <c r="N5" s="2119"/>
      <c r="O5" s="2119"/>
      <c r="P5" s="3384"/>
      <c r="Q5" s="3385"/>
      <c r="R5" s="3390"/>
      <c r="S5" s="3391"/>
      <c r="T5" s="3390"/>
      <c r="U5" s="3391"/>
      <c r="V5" s="3375"/>
      <c r="W5" s="3375"/>
      <c r="X5" s="1553"/>
      <c r="Y5" s="3390"/>
      <c r="Z5" s="3391"/>
      <c r="AA5" s="3378"/>
      <c r="AB5" s="3378"/>
      <c r="AC5" s="3378"/>
    </row>
    <row r="6" spans="1:29" ht="15" thickBot="1">
      <c r="A6" s="517"/>
      <c r="B6" s="518"/>
      <c r="C6" s="3394" t="s">
        <v>2929</v>
      </c>
      <c r="D6" s="3395"/>
      <c r="E6" s="3412" t="s">
        <v>2929</v>
      </c>
      <c r="F6" s="3413"/>
      <c r="G6" s="3394" t="s">
        <v>2929</v>
      </c>
      <c r="H6" s="3395"/>
      <c r="I6" s="3394" t="s">
        <v>2929</v>
      </c>
      <c r="J6" s="3395"/>
      <c r="K6" s="854" t="s">
        <v>528</v>
      </c>
      <c r="L6" s="2118"/>
      <c r="M6" s="2119"/>
      <c r="N6" s="2119"/>
      <c r="O6" s="2119"/>
      <c r="P6" s="3386"/>
      <c r="Q6" s="3387"/>
      <c r="R6" s="3390"/>
      <c r="S6" s="3391"/>
      <c r="T6" s="3392"/>
      <c r="U6" s="3393"/>
      <c r="V6" s="3375"/>
      <c r="W6" s="3375"/>
      <c r="X6" s="1553"/>
      <c r="Y6" s="3392"/>
      <c r="Z6" s="3393"/>
      <c r="AA6" s="3379"/>
      <c r="AB6" s="3379"/>
      <c r="AC6" s="3379"/>
    </row>
    <row r="7" spans="1:29" s="1215" customFormat="1" ht="15" thickBot="1">
      <c r="A7" s="2867"/>
      <c r="B7" s="2874" t="s">
        <v>529</v>
      </c>
      <c r="C7" s="519">
        <f>'数据-取费表'!B2</f>
        <v>44006</v>
      </c>
      <c r="D7" s="520">
        <v>100</v>
      </c>
      <c r="E7" s="521"/>
      <c r="F7" s="522">
        <f>SUMIF(58:58,YEAR(E7)&amp;"-"&amp;MONTH(E7),59:59)</f>
        <v>0</v>
      </c>
      <c r="G7" s="523"/>
      <c r="H7" s="520">
        <f>SUMIF(58:58,YEAR(G7)&amp;"-"&amp;MONTH(G7),59:59)</f>
        <v>0</v>
      </c>
      <c r="I7" s="523"/>
      <c r="J7" s="520">
        <f>SUMIF(58:58,YEAR(I7)&amp;"-"&amp;MONTH(I7),59:59)</f>
        <v>0</v>
      </c>
      <c r="K7" s="855"/>
      <c r="L7" s="2120"/>
      <c r="M7" s="2121"/>
      <c r="N7" s="2121"/>
      <c r="O7" s="2121"/>
      <c r="P7" s="3405" t="s">
        <v>530</v>
      </c>
      <c r="Q7" s="3407"/>
      <c r="R7" s="1554" t="s">
        <v>13</v>
      </c>
      <c r="S7" s="1555">
        <f t="shared" ref="S7:S15" si="0">F7</f>
        <v>0</v>
      </c>
      <c r="T7" s="1554" t="s">
        <v>13</v>
      </c>
      <c r="U7" s="1555">
        <f t="shared" ref="U7:U15" si="1">H7</f>
        <v>0</v>
      </c>
      <c r="V7" s="1554" t="s">
        <v>13</v>
      </c>
      <c r="W7" s="1555">
        <f t="shared" ref="W7:W15" si="2">J7</f>
        <v>0</v>
      </c>
      <c r="X7" s="1556"/>
      <c r="Y7" s="3405" t="s">
        <v>530</v>
      </c>
      <c r="Z7" s="3406"/>
      <c r="AA7" s="1557" t="e">
        <f>D7/F7</f>
        <v>#DIV/0!</v>
      </c>
      <c r="AB7" s="1557" t="e">
        <f>D7/H7</f>
        <v>#DIV/0!</v>
      </c>
      <c r="AC7" s="1557" t="e">
        <f>D7/J7</f>
        <v>#DIV/0!</v>
      </c>
    </row>
    <row r="8" spans="1:29" s="1215" customFormat="1" ht="15" thickBot="1">
      <c r="A8" s="2868"/>
      <c r="B8" s="2875" t="s">
        <v>531</v>
      </c>
      <c r="C8" s="525" t="s">
        <v>576</v>
      </c>
      <c r="D8" s="520">
        <v>100</v>
      </c>
      <c r="E8" s="856"/>
      <c r="F8" s="522">
        <f>SUMIF(61:61,E8,62:62)-SUMIF(61:61,C8,62:62)+100</f>
        <v>0</v>
      </c>
      <c r="G8" s="525"/>
      <c r="H8" s="520">
        <f>SUMIF(61:61,G8,62:62)-SUMIF(61:61,C8,62:62)+100</f>
        <v>0</v>
      </c>
      <c r="I8" s="856"/>
      <c r="J8" s="520">
        <f>SUMIF(61:61,I8,62:62)-SUMIF(61:61,C8,62:62)+100</f>
        <v>0</v>
      </c>
      <c r="K8" s="855"/>
      <c r="L8" s="2120"/>
      <c r="M8" s="2121"/>
      <c r="N8" s="2121"/>
      <c r="O8" s="2121"/>
      <c r="P8" s="3405" t="s">
        <v>533</v>
      </c>
      <c r="Q8" s="3406"/>
      <c r="R8" s="1554" t="s">
        <v>13</v>
      </c>
      <c r="S8" s="1555">
        <f t="shared" si="0"/>
        <v>0</v>
      </c>
      <c r="T8" s="1554" t="s">
        <v>13</v>
      </c>
      <c r="U8" s="1555">
        <f t="shared" si="1"/>
        <v>0</v>
      </c>
      <c r="V8" s="1554" t="s">
        <v>13</v>
      </c>
      <c r="W8" s="1555">
        <f t="shared" si="2"/>
        <v>0</v>
      </c>
      <c r="X8" s="1556"/>
      <c r="Y8" s="3405" t="s">
        <v>533</v>
      </c>
      <c r="Z8" s="3406"/>
      <c r="AA8" s="1557" t="e">
        <f t="shared" ref="AA8:AA46" si="3">D8/F8</f>
        <v>#DIV/0!</v>
      </c>
      <c r="AB8" s="1557" t="e">
        <f t="shared" ref="AB8:AB46" si="4">D8/H8</f>
        <v>#DIV/0!</v>
      </c>
      <c r="AC8" s="1557" t="e">
        <f t="shared" ref="AC8:AC46" si="5">D8/J8</f>
        <v>#DIV/0!</v>
      </c>
    </row>
    <row r="9" spans="1:29" s="1215" customFormat="1" ht="14.4">
      <c r="A9" s="2869"/>
      <c r="B9" s="2876" t="s">
        <v>2750</v>
      </c>
      <c r="C9" s="857"/>
      <c r="D9" s="254">
        <v>100</v>
      </c>
      <c r="E9" s="858"/>
      <c r="F9" s="859">
        <f>SUMIF(63:63,E9,64:64)-SUMIF(63:63,C9,64:64)+100</f>
        <v>100</v>
      </c>
      <c r="G9" s="860"/>
      <c r="H9" s="254">
        <f>SUMIF(63:63,G9,64:64)-SUMIF(63:63,C9,64:64)+100</f>
        <v>100</v>
      </c>
      <c r="I9" s="860"/>
      <c r="J9" s="254">
        <f>SUMIF(63:63,I9,64:64)-SUMIF(63:63,C9,64:64)+100</f>
        <v>100</v>
      </c>
      <c r="K9" s="855"/>
      <c r="L9" s="2120"/>
      <c r="M9" s="2121"/>
      <c r="N9" s="2121"/>
      <c r="O9" s="2122"/>
      <c r="P9" s="3374" t="s">
        <v>535</v>
      </c>
      <c r="Q9" s="1146" t="str">
        <f t="shared" ref="Q9:Q15" si="6">B9</f>
        <v>用途</v>
      </c>
      <c r="R9" s="1554" t="s">
        <v>8</v>
      </c>
      <c r="S9" s="1555">
        <f t="shared" si="0"/>
        <v>100</v>
      </c>
      <c r="T9" s="1554" t="s">
        <v>8</v>
      </c>
      <c r="U9" s="1555">
        <f t="shared" si="1"/>
        <v>100</v>
      </c>
      <c r="V9" s="1554" t="s">
        <v>8</v>
      </c>
      <c r="W9" s="1555">
        <f t="shared" si="2"/>
        <v>100</v>
      </c>
      <c r="X9" s="1556"/>
      <c r="Y9" s="3319" t="s">
        <v>536</v>
      </c>
      <c r="Z9" s="1145" t="str">
        <f t="shared" ref="Z9:Z15" si="7">Q9</f>
        <v>用途</v>
      </c>
      <c r="AA9" s="1557">
        <f t="shared" si="3"/>
        <v>1</v>
      </c>
      <c r="AB9" s="1557">
        <f t="shared" si="4"/>
        <v>1</v>
      </c>
      <c r="AC9" s="1557">
        <f t="shared" si="5"/>
        <v>1</v>
      </c>
    </row>
    <row r="10" spans="1:29" s="1333" customFormat="1" ht="28.8">
      <c r="A10" s="2870"/>
      <c r="B10" s="2875" t="s">
        <v>2751</v>
      </c>
      <c r="C10" s="861"/>
      <c r="D10" s="255">
        <v>100</v>
      </c>
      <c r="E10" s="862"/>
      <c r="F10" s="863">
        <f>SUMIF(65:65,E10,66:66)-SUMIF(65:65,C10,66:66)+100</f>
        <v>100</v>
      </c>
      <c r="G10" s="861"/>
      <c r="H10" s="255">
        <f>SUMIF(65:65,G10,66:66)-SUMIF(65:65,C10,66:66)+100</f>
        <v>100</v>
      </c>
      <c r="I10" s="861"/>
      <c r="J10" s="255">
        <f>SUMIF(65:65,I10,66:66)-SUMIF(65:65,C10,66:66)+100</f>
        <v>100</v>
      </c>
      <c r="K10" s="864"/>
      <c r="L10" s="2123"/>
      <c r="M10" s="2163"/>
      <c r="N10" s="2163"/>
      <c r="O10" s="2124"/>
      <c r="P10" s="3374"/>
      <c r="Q10" s="1146" t="str">
        <f t="shared" si="6"/>
        <v>土地使用年限（年）</v>
      </c>
      <c r="R10" s="1554" t="s">
        <v>8</v>
      </c>
      <c r="S10" s="1555">
        <f t="shared" si="0"/>
        <v>100</v>
      </c>
      <c r="T10" s="1554" t="s">
        <v>8</v>
      </c>
      <c r="U10" s="1555">
        <f t="shared" si="1"/>
        <v>100</v>
      </c>
      <c r="V10" s="1554" t="s">
        <v>8</v>
      </c>
      <c r="W10" s="1555">
        <f t="shared" si="2"/>
        <v>100</v>
      </c>
      <c r="X10" s="1556"/>
      <c r="Y10" s="3319"/>
      <c r="Z10" s="1145" t="str">
        <f t="shared" si="7"/>
        <v>土地使用年限（年）</v>
      </c>
      <c r="AA10" s="1557">
        <f t="shared" si="3"/>
        <v>1</v>
      </c>
      <c r="AB10" s="1557">
        <f t="shared" si="4"/>
        <v>1</v>
      </c>
      <c r="AC10" s="1557">
        <f t="shared" si="5"/>
        <v>1</v>
      </c>
    </row>
    <row r="11" spans="1:29" ht="15">
      <c r="A11" s="2871"/>
      <c r="B11" s="2875" t="s">
        <v>2752</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25"/>
      <c r="M11" s="2119"/>
      <c r="N11" s="2119"/>
      <c r="O11" s="2126"/>
      <c r="P11" s="3374"/>
      <c r="Q11" s="1146" t="str">
        <f t="shared" si="6"/>
        <v>容积率</v>
      </c>
      <c r="R11" s="1554" t="s">
        <v>11</v>
      </c>
      <c r="S11" s="1555" t="e">
        <f t="shared" si="0"/>
        <v>#N/A</v>
      </c>
      <c r="T11" s="1554" t="s">
        <v>11</v>
      </c>
      <c r="U11" s="1555" t="e">
        <f t="shared" si="1"/>
        <v>#N/A</v>
      </c>
      <c r="V11" s="1554" t="s">
        <v>11</v>
      </c>
      <c r="W11" s="1555" t="e">
        <f t="shared" si="2"/>
        <v>#N/A</v>
      </c>
      <c r="X11" s="1556"/>
      <c r="Y11" s="3319"/>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4"/>
      <c r="Q12" s="1146">
        <f t="shared" si="6"/>
        <v>111</v>
      </c>
      <c r="R12" s="1554" t="s">
        <v>11</v>
      </c>
      <c r="S12" s="1555">
        <f t="shared" si="0"/>
        <v>100</v>
      </c>
      <c r="T12" s="1554" t="s">
        <v>11</v>
      </c>
      <c r="U12" s="1555">
        <f t="shared" si="1"/>
        <v>100</v>
      </c>
      <c r="V12" s="1554" t="s">
        <v>11</v>
      </c>
      <c r="W12" s="1555">
        <f t="shared" si="2"/>
        <v>100</v>
      </c>
      <c r="X12" s="1556"/>
      <c r="Y12" s="3319"/>
      <c r="Z12" s="1145">
        <f t="shared" si="7"/>
        <v>111</v>
      </c>
      <c r="AA12" s="1557">
        <f>D12/F12</f>
        <v>1</v>
      </c>
      <c r="AB12" s="1557">
        <f>D12/H12</f>
        <v>1</v>
      </c>
      <c r="AC12" s="1557">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4"/>
      <c r="Q13" s="1146">
        <f t="shared" si="6"/>
        <v>111</v>
      </c>
      <c r="R13" s="1554" t="s">
        <v>11</v>
      </c>
      <c r="S13" s="1555">
        <f t="shared" si="0"/>
        <v>100</v>
      </c>
      <c r="T13" s="1554" t="s">
        <v>11</v>
      </c>
      <c r="U13" s="1555">
        <f t="shared" si="1"/>
        <v>100</v>
      </c>
      <c r="V13" s="1554" t="s">
        <v>11</v>
      </c>
      <c r="W13" s="1555">
        <f t="shared" si="2"/>
        <v>100</v>
      </c>
      <c r="X13" s="1556"/>
      <c r="Y13" s="3319"/>
      <c r="Z13" s="1145">
        <f t="shared" si="7"/>
        <v>111</v>
      </c>
      <c r="AA13" s="1557">
        <f t="shared" si="3"/>
        <v>1</v>
      </c>
      <c r="AB13" s="1557">
        <f t="shared" si="4"/>
        <v>1</v>
      </c>
      <c r="AC13" s="1557">
        <f t="shared" si="5"/>
        <v>1</v>
      </c>
    </row>
    <row r="14" spans="1:29" ht="15.6"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4"/>
      <c r="Q14" s="1146">
        <f t="shared" si="6"/>
        <v>111</v>
      </c>
      <c r="R14" s="1554" t="s">
        <v>11</v>
      </c>
      <c r="S14" s="1555">
        <f t="shared" si="0"/>
        <v>100</v>
      </c>
      <c r="T14" s="1554" t="s">
        <v>11</v>
      </c>
      <c r="U14" s="1555">
        <f t="shared" si="1"/>
        <v>100</v>
      </c>
      <c r="V14" s="1554" t="s">
        <v>11</v>
      </c>
      <c r="W14" s="1555">
        <f t="shared" si="2"/>
        <v>100</v>
      </c>
      <c r="X14" s="1556"/>
      <c r="Y14" s="3319"/>
      <c r="Z14" s="1145">
        <f t="shared" si="7"/>
        <v>111</v>
      </c>
      <c r="AA14" s="1557">
        <f t="shared" si="3"/>
        <v>1</v>
      </c>
      <c r="AB14" s="1557">
        <f t="shared" si="4"/>
        <v>1</v>
      </c>
      <c r="AC14" s="1557">
        <f t="shared" si="5"/>
        <v>1</v>
      </c>
    </row>
    <row r="15" spans="1:29" ht="96.6">
      <c r="A15" s="2865" t="s">
        <v>2748</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7"/>
      <c r="M15" s="2119"/>
      <c r="N15" s="2119"/>
      <c r="O15" s="2126"/>
      <c r="P15" s="3408" t="s">
        <v>540</v>
      </c>
      <c r="Q15" s="1558" t="str">
        <f t="shared" si="6"/>
        <v>居住社区成熟度</v>
      </c>
      <c r="R15" s="1559" t="s">
        <v>11</v>
      </c>
      <c r="S15" s="1560">
        <f t="shared" si="0"/>
        <v>100</v>
      </c>
      <c r="T15" s="1559" t="s">
        <v>11</v>
      </c>
      <c r="U15" s="1560">
        <f t="shared" si="1"/>
        <v>100</v>
      </c>
      <c r="V15" s="1559" t="s">
        <v>11</v>
      </c>
      <c r="W15" s="1560">
        <f t="shared" si="2"/>
        <v>100</v>
      </c>
      <c r="X15" s="1553"/>
      <c r="Y15" s="3408" t="s">
        <v>540</v>
      </c>
      <c r="Z15" s="1561" t="str">
        <f t="shared" si="7"/>
        <v>居住社区成熟度</v>
      </c>
      <c r="AA15" s="1562">
        <f t="shared" si="3"/>
        <v>1</v>
      </c>
      <c r="AB15" s="1562">
        <f t="shared" si="4"/>
        <v>1</v>
      </c>
      <c r="AC15" s="1562">
        <f t="shared" si="5"/>
        <v>1</v>
      </c>
    </row>
    <row r="16" spans="1:29" ht="15">
      <c r="A16" s="532"/>
      <c r="B16" s="869"/>
      <c r="C16" s="576"/>
      <c r="D16" s="555"/>
      <c r="E16" s="556"/>
      <c r="F16" s="557"/>
      <c r="G16" s="558"/>
      <c r="H16" s="559"/>
      <c r="I16" s="556"/>
      <c r="J16" s="555"/>
      <c r="K16" s="870"/>
      <c r="L16" s="2127"/>
      <c r="M16" s="2119"/>
      <c r="N16" s="2119"/>
      <c r="O16" s="2126"/>
      <c r="P16" s="3409"/>
      <c r="Q16" s="1558"/>
      <c r="R16" s="1559"/>
      <c r="S16" s="1560"/>
      <c r="T16" s="1559"/>
      <c r="U16" s="1560"/>
      <c r="V16" s="1559"/>
      <c r="W16" s="1560"/>
      <c r="X16" s="1553"/>
      <c r="Y16" s="3409"/>
      <c r="Z16" s="1561"/>
      <c r="AA16" s="1562">
        <v>1</v>
      </c>
      <c r="AB16" s="1562">
        <v>1</v>
      </c>
      <c r="AC16" s="1562">
        <v>1</v>
      </c>
    </row>
    <row r="17" spans="1:29" ht="82.8">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7"/>
      <c r="M17" s="2119"/>
      <c r="N17" s="2119"/>
      <c r="O17" s="2126"/>
      <c r="P17" s="3409"/>
      <c r="Q17" s="1558" t="str">
        <f>B17</f>
        <v>交通便捷度</v>
      </c>
      <c r="R17" s="1559" t="s">
        <v>11</v>
      </c>
      <c r="S17" s="1560">
        <f>F17</f>
        <v>100</v>
      </c>
      <c r="T17" s="1559" t="s">
        <v>11</v>
      </c>
      <c r="U17" s="1560">
        <f>H17</f>
        <v>100</v>
      </c>
      <c r="V17" s="1559" t="s">
        <v>11</v>
      </c>
      <c r="W17" s="1560">
        <f>J17</f>
        <v>100</v>
      </c>
      <c r="X17" s="1553"/>
      <c r="Y17" s="3409"/>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70"/>
      <c r="L18" s="2127"/>
      <c r="M18" s="2119"/>
      <c r="N18" s="2119"/>
      <c r="O18" s="2126"/>
      <c r="P18" s="3409"/>
      <c r="Q18" s="1558"/>
      <c r="R18" s="1559"/>
      <c r="S18" s="1560"/>
      <c r="T18" s="1559"/>
      <c r="U18" s="1560"/>
      <c r="V18" s="1559"/>
      <c r="W18" s="1560"/>
      <c r="X18" s="1553"/>
      <c r="Y18" s="3409"/>
      <c r="Z18" s="1561"/>
      <c r="AA18" s="1562">
        <v>1</v>
      </c>
      <c r="AB18" s="1562">
        <v>1</v>
      </c>
      <c r="AC18" s="1562">
        <v>1</v>
      </c>
    </row>
    <row r="19" spans="1:29" ht="41.4">
      <c r="A19" s="532"/>
      <c r="B19" s="2564"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7"/>
      <c r="M19" s="2119"/>
      <c r="N19" s="2119"/>
      <c r="O19" s="2126"/>
      <c r="P19" s="3409"/>
      <c r="Q19" s="1558" t="str">
        <f>B19</f>
        <v>公共配套设施</v>
      </c>
      <c r="R19" s="1559" t="s">
        <v>11</v>
      </c>
      <c r="S19" s="1560">
        <f>F19</f>
        <v>100</v>
      </c>
      <c r="T19" s="1559" t="s">
        <v>11</v>
      </c>
      <c r="U19" s="1560">
        <f>H19</f>
        <v>100</v>
      </c>
      <c r="V19" s="1559" t="s">
        <v>11</v>
      </c>
      <c r="W19" s="1560">
        <f>J19</f>
        <v>100</v>
      </c>
      <c r="X19" s="1553"/>
      <c r="Y19" s="3409"/>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70"/>
      <c r="L20" s="2127"/>
      <c r="M20" s="2119"/>
      <c r="N20" s="2119"/>
      <c r="O20" s="2126"/>
      <c r="P20" s="3409"/>
      <c r="Q20" s="1558"/>
      <c r="R20" s="1559"/>
      <c r="S20" s="1560"/>
      <c r="T20" s="1559"/>
      <c r="U20" s="1560"/>
      <c r="V20" s="1559"/>
      <c r="W20" s="1560"/>
      <c r="X20" s="1553"/>
      <c r="Y20" s="3409"/>
      <c r="Z20" s="1561"/>
      <c r="AA20" s="1562">
        <v>1</v>
      </c>
      <c r="AB20" s="1562">
        <v>1</v>
      </c>
      <c r="AC20" s="1562">
        <v>1</v>
      </c>
    </row>
    <row r="21" spans="1:29" ht="27.6">
      <c r="A21" s="532"/>
      <c r="B21" s="2557"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7"/>
      <c r="M21" s="2119"/>
      <c r="N21" s="2119"/>
      <c r="O21" s="2126"/>
      <c r="P21" s="3409"/>
      <c r="Q21" s="2543" t="str">
        <f>B21</f>
        <v>基础设施水平</v>
      </c>
      <c r="R21" s="1559" t="s">
        <v>11</v>
      </c>
      <c r="S21" s="1560">
        <f>F21</f>
        <v>100</v>
      </c>
      <c r="T21" s="1559" t="s">
        <v>11</v>
      </c>
      <c r="U21" s="1560">
        <f>H21</f>
        <v>100</v>
      </c>
      <c r="V21" s="1559" t="s">
        <v>11</v>
      </c>
      <c r="W21" s="1560">
        <f>J21</f>
        <v>100</v>
      </c>
      <c r="X21" s="2545"/>
      <c r="Y21" s="3409"/>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3"/>
      <c r="L22" s="2127"/>
      <c r="M22" s="2119"/>
      <c r="N22" s="2119"/>
      <c r="O22" s="2126"/>
      <c r="P22" s="3409"/>
      <c r="Q22" s="2543"/>
      <c r="R22" s="1559"/>
      <c r="S22" s="1560"/>
      <c r="T22" s="1559"/>
      <c r="U22" s="1560"/>
      <c r="V22" s="1559"/>
      <c r="W22" s="1560"/>
      <c r="X22" s="2545"/>
      <c r="Y22" s="3409"/>
      <c r="Z22" s="2544"/>
      <c r="AA22" s="1562">
        <v>1</v>
      </c>
      <c r="AB22" s="1562">
        <v>1</v>
      </c>
      <c r="AC22" s="1562">
        <v>1</v>
      </c>
    </row>
    <row r="23" spans="1:29" ht="55.2">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27"/>
      <c r="M23" s="2119"/>
      <c r="N23" s="2119"/>
      <c r="O23" s="2126"/>
      <c r="P23" s="3409"/>
      <c r="Q23" s="1558" t="str">
        <f>B23</f>
        <v>自然及人文环境</v>
      </c>
      <c r="R23" s="1559" t="s">
        <v>11</v>
      </c>
      <c r="S23" s="1560">
        <f>F23</f>
        <v>100</v>
      </c>
      <c r="T23" s="1559" t="s">
        <v>11</v>
      </c>
      <c r="U23" s="1560">
        <f>H23</f>
        <v>100</v>
      </c>
      <c r="V23" s="1559" t="s">
        <v>11</v>
      </c>
      <c r="W23" s="1560">
        <f>J23</f>
        <v>100</v>
      </c>
      <c r="X23" s="1553"/>
      <c r="Y23" s="3409"/>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70"/>
      <c r="L24" s="2127"/>
      <c r="M24" s="2119"/>
      <c r="N24" s="2119"/>
      <c r="O24" s="2126"/>
      <c r="P24" s="3409"/>
      <c r="Q24" s="1558"/>
      <c r="R24" s="1559"/>
      <c r="S24" s="1560"/>
      <c r="T24" s="1559"/>
      <c r="U24" s="1560"/>
      <c r="V24" s="1559"/>
      <c r="W24" s="1560"/>
      <c r="X24" s="1553"/>
      <c r="Y24" s="3409"/>
      <c r="Z24" s="1561"/>
      <c r="AA24" s="1562">
        <v>1</v>
      </c>
      <c r="AB24" s="1562">
        <v>1</v>
      </c>
      <c r="AC24" s="1562">
        <v>1</v>
      </c>
    </row>
    <row r="25" spans="1:29" ht="15">
      <c r="A25" s="532"/>
      <c r="B25" s="1880" t="s">
        <v>2252</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09"/>
      <c r="Q25" s="1558" t="str">
        <f t="shared" ref="Q25:Q46" si="11">B25</f>
        <v>楼层-1</v>
      </c>
      <c r="R25" s="1559" t="s">
        <v>11</v>
      </c>
      <c r="S25" s="1560">
        <f>F25</f>
        <v>100</v>
      </c>
      <c r="T25" s="1559" t="s">
        <v>11</v>
      </c>
      <c r="U25" s="1560">
        <f>H25</f>
        <v>100</v>
      </c>
      <c r="V25" s="1559" t="s">
        <v>11</v>
      </c>
      <c r="W25" s="1560">
        <f>J25</f>
        <v>100</v>
      </c>
      <c r="X25" s="1553"/>
      <c r="Y25" s="3409"/>
      <c r="Z25" s="1561" t="str">
        <f>Q25</f>
        <v>楼层-1</v>
      </c>
      <c r="AA25" s="1562">
        <f t="shared" si="3"/>
        <v>1</v>
      </c>
      <c r="AB25" s="1562">
        <f t="shared" si="4"/>
        <v>1</v>
      </c>
      <c r="AC25" s="156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09"/>
      <c r="Q26" s="1558" t="str">
        <f t="shared" si="11"/>
        <v>朝向</v>
      </c>
      <c r="R26" s="1559" t="s">
        <v>11</v>
      </c>
      <c r="S26" s="1560">
        <f>F26</f>
        <v>100</v>
      </c>
      <c r="T26" s="1559" t="s">
        <v>11</v>
      </c>
      <c r="U26" s="1560">
        <f>H26</f>
        <v>100</v>
      </c>
      <c r="V26" s="1559" t="s">
        <v>11</v>
      </c>
      <c r="W26" s="1560">
        <f>J26</f>
        <v>100</v>
      </c>
      <c r="X26" s="1553"/>
      <c r="Y26" s="3409"/>
      <c r="Z26" s="1561" t="str">
        <f>Q26</f>
        <v>朝向</v>
      </c>
      <c r="AA26" s="1562">
        <f t="shared" si="3"/>
        <v>1</v>
      </c>
      <c r="AB26" s="1562">
        <f t="shared" si="4"/>
        <v>1</v>
      </c>
      <c r="AC26" s="1562">
        <f t="shared" si="5"/>
        <v>1</v>
      </c>
    </row>
    <row r="27" spans="1:29" s="1215"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09"/>
      <c r="Q27" s="1146" t="str">
        <f t="shared" si="11"/>
        <v>道路级别</v>
      </c>
      <c r="R27" s="1554" t="s">
        <v>11</v>
      </c>
      <c r="S27" s="1555">
        <f>F27</f>
        <v>100</v>
      </c>
      <c r="T27" s="1554" t="s">
        <v>11</v>
      </c>
      <c r="U27" s="1555">
        <f>H27</f>
        <v>100</v>
      </c>
      <c r="V27" s="1554" t="s">
        <v>11</v>
      </c>
      <c r="W27" s="1555">
        <f>J27</f>
        <v>100</v>
      </c>
      <c r="X27" s="1556"/>
      <c r="Y27" s="3409"/>
      <c r="Z27" s="1145" t="str">
        <f>Q27</f>
        <v>道路级别</v>
      </c>
      <c r="AA27" s="1562">
        <f>D27/F27</f>
        <v>1</v>
      </c>
      <c r="AB27" s="1562">
        <f>D27/H27</f>
        <v>1</v>
      </c>
      <c r="AC27" s="156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09"/>
      <c r="Q28" s="1558">
        <f t="shared" si="11"/>
        <v>111</v>
      </c>
      <c r="R28" s="1559" t="s">
        <v>11</v>
      </c>
      <c r="S28" s="1560">
        <f t="shared" ref="S28:S46" si="12">F28</f>
        <v>100</v>
      </c>
      <c r="T28" s="1559" t="s">
        <v>11</v>
      </c>
      <c r="U28" s="1560">
        <f t="shared" ref="U28:U46" si="13">H28</f>
        <v>100</v>
      </c>
      <c r="V28" s="1559" t="s">
        <v>11</v>
      </c>
      <c r="W28" s="1560">
        <f t="shared" ref="W28:W46" si="14">J28</f>
        <v>100</v>
      </c>
      <c r="X28" s="1553"/>
      <c r="Y28" s="3409"/>
      <c r="Z28" s="1561">
        <f t="shared" ref="Z28:Z46" si="15">Q28</f>
        <v>111</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09"/>
      <c r="Q29" s="1558">
        <f t="shared" si="11"/>
        <v>111</v>
      </c>
      <c r="R29" s="1559" t="s">
        <v>11</v>
      </c>
      <c r="S29" s="1560">
        <f t="shared" si="12"/>
        <v>100</v>
      </c>
      <c r="T29" s="1559" t="s">
        <v>11</v>
      </c>
      <c r="U29" s="1560">
        <f t="shared" si="13"/>
        <v>100</v>
      </c>
      <c r="V29" s="1559" t="s">
        <v>11</v>
      </c>
      <c r="W29" s="1560">
        <f t="shared" si="14"/>
        <v>100</v>
      </c>
      <c r="X29" s="1553"/>
      <c r="Y29" s="3409"/>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09"/>
      <c r="Q30" s="1558">
        <f t="shared" si="11"/>
        <v>111</v>
      </c>
      <c r="R30" s="1559" t="s">
        <v>11</v>
      </c>
      <c r="S30" s="1560">
        <f t="shared" si="12"/>
        <v>100</v>
      </c>
      <c r="T30" s="1559" t="s">
        <v>11</v>
      </c>
      <c r="U30" s="1560">
        <f t="shared" si="13"/>
        <v>100</v>
      </c>
      <c r="V30" s="1559" t="s">
        <v>11</v>
      </c>
      <c r="W30" s="1560">
        <f t="shared" si="14"/>
        <v>100</v>
      </c>
      <c r="X30" s="1553"/>
      <c r="Y30" s="3409"/>
      <c r="Z30" s="1561">
        <f t="shared" si="15"/>
        <v>111</v>
      </c>
      <c r="AA30" s="1562">
        <f t="shared" si="3"/>
        <v>1</v>
      </c>
      <c r="AB30" s="1562">
        <f t="shared" si="4"/>
        <v>1</v>
      </c>
      <c r="AC30" s="1562">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09"/>
      <c r="Q31" s="1558">
        <f t="shared" si="11"/>
        <v>111</v>
      </c>
      <c r="R31" s="1559" t="s">
        <v>11</v>
      </c>
      <c r="S31" s="1560">
        <f t="shared" si="12"/>
        <v>100</v>
      </c>
      <c r="T31" s="1559" t="s">
        <v>11</v>
      </c>
      <c r="U31" s="1560">
        <f t="shared" si="13"/>
        <v>100</v>
      </c>
      <c r="V31" s="1559" t="s">
        <v>11</v>
      </c>
      <c r="W31" s="1560">
        <f t="shared" si="14"/>
        <v>100</v>
      </c>
      <c r="X31" s="1553"/>
      <c r="Y31" s="3409"/>
      <c r="Z31" s="1561">
        <f t="shared" si="15"/>
        <v>111</v>
      </c>
      <c r="AA31" s="1562">
        <f t="shared" si="3"/>
        <v>1</v>
      </c>
      <c r="AB31" s="1562">
        <f t="shared" si="4"/>
        <v>1</v>
      </c>
      <c r="AC31" s="1562">
        <f t="shared" si="5"/>
        <v>1</v>
      </c>
    </row>
    <row r="32" spans="1:29" ht="15">
      <c r="A32" s="2862" t="s">
        <v>2749</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27"/>
      <c r="M32" s="2119"/>
      <c r="N32" s="2119"/>
      <c r="O32" s="2126"/>
      <c r="P32" s="3410" t="s">
        <v>550</v>
      </c>
      <c r="Q32" s="1558" t="str">
        <f t="shared" si="11"/>
        <v>建筑类型</v>
      </c>
      <c r="R32" s="1559" t="s">
        <v>11</v>
      </c>
      <c r="S32" s="1560">
        <f t="shared" si="12"/>
        <v>100</v>
      </c>
      <c r="T32" s="1559" t="s">
        <v>11</v>
      </c>
      <c r="U32" s="1560">
        <f t="shared" si="13"/>
        <v>100</v>
      </c>
      <c r="V32" s="1559" t="s">
        <v>11</v>
      </c>
      <c r="W32" s="1560">
        <f t="shared" si="14"/>
        <v>100</v>
      </c>
      <c r="X32" s="1553"/>
      <c r="Y32" s="3411" t="s">
        <v>550</v>
      </c>
      <c r="Z32" s="1561" t="str">
        <f t="shared" si="15"/>
        <v>建筑类型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25"/>
      <c r="M33" s="2156"/>
      <c r="N33" s="2156"/>
      <c r="O33" s="2128"/>
      <c r="P33" s="3411"/>
      <c r="Q33" s="1590" t="str">
        <f t="shared" si="11"/>
        <v>项目建筑规模</v>
      </c>
      <c r="R33" s="1563" t="s">
        <v>11</v>
      </c>
      <c r="S33" s="1564" t="e">
        <f t="shared" si="12"/>
        <v>#N/A</v>
      </c>
      <c r="T33" s="1563" t="s">
        <v>11</v>
      </c>
      <c r="U33" s="1564" t="e">
        <f t="shared" si="13"/>
        <v>#N/A</v>
      </c>
      <c r="V33" s="1563" t="s">
        <v>11</v>
      </c>
      <c r="W33" s="1564" t="e">
        <f t="shared" si="14"/>
        <v>#N/A</v>
      </c>
      <c r="X33" s="1565"/>
      <c r="Y33" s="3411"/>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27"/>
      <c r="M34" s="2119"/>
      <c r="N34" s="2119"/>
      <c r="O34" s="2126"/>
      <c r="P34" s="3411"/>
      <c r="Q34" s="1558" t="str">
        <f t="shared" si="11"/>
        <v>建筑结构</v>
      </c>
      <c r="R34" s="1559" t="s">
        <v>11</v>
      </c>
      <c r="S34" s="1560">
        <f t="shared" si="12"/>
        <v>100</v>
      </c>
      <c r="T34" s="1559" t="s">
        <v>11</v>
      </c>
      <c r="U34" s="1560">
        <f t="shared" si="13"/>
        <v>100</v>
      </c>
      <c r="V34" s="1559" t="s">
        <v>11</v>
      </c>
      <c r="W34" s="1560">
        <f t="shared" si="14"/>
        <v>100</v>
      </c>
      <c r="X34" s="1553"/>
      <c r="Y34" s="3411"/>
      <c r="Z34" s="1561" t="str">
        <f t="shared" si="15"/>
        <v>建筑结构</v>
      </c>
      <c r="AA34" s="1562">
        <f t="shared" si="3"/>
        <v>1</v>
      </c>
      <c r="AB34" s="1562">
        <f t="shared" si="4"/>
        <v>1</v>
      </c>
      <c r="AC34" s="1562">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27"/>
      <c r="M35" s="2119"/>
      <c r="N35" s="2119"/>
      <c r="O35" s="2126"/>
      <c r="P35" s="3411"/>
      <c r="Q35" s="1558" t="str">
        <f t="shared" si="11"/>
        <v>建筑品质</v>
      </c>
      <c r="R35" s="1559" t="s">
        <v>11</v>
      </c>
      <c r="S35" s="1560">
        <f t="shared" si="12"/>
        <v>100</v>
      </c>
      <c r="T35" s="1559" t="s">
        <v>11</v>
      </c>
      <c r="U35" s="1560">
        <f t="shared" si="13"/>
        <v>100</v>
      </c>
      <c r="V35" s="1559" t="s">
        <v>11</v>
      </c>
      <c r="W35" s="1560">
        <f t="shared" si="14"/>
        <v>100</v>
      </c>
      <c r="X35" s="1553"/>
      <c r="Y35" s="3411"/>
      <c r="Z35" s="1561" t="str">
        <f t="shared" si="15"/>
        <v>建筑品质</v>
      </c>
      <c r="AA35" s="1562">
        <f t="shared" si="3"/>
        <v>1</v>
      </c>
      <c r="AB35" s="1562">
        <f t="shared" si="4"/>
        <v>1</v>
      </c>
      <c r="AC35" s="1562">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27"/>
      <c r="M36" s="2119"/>
      <c r="N36" s="2119"/>
      <c r="O36" s="2126"/>
      <c r="P36" s="3411"/>
      <c r="Q36" s="1558" t="str">
        <f t="shared" si="11"/>
        <v>公共部分装修</v>
      </c>
      <c r="R36" s="1559" t="s">
        <v>11</v>
      </c>
      <c r="S36" s="1560">
        <f t="shared" si="12"/>
        <v>100</v>
      </c>
      <c r="T36" s="1559" t="s">
        <v>11</v>
      </c>
      <c r="U36" s="1560">
        <f t="shared" si="13"/>
        <v>100</v>
      </c>
      <c r="V36" s="1559" t="s">
        <v>11</v>
      </c>
      <c r="W36" s="1560">
        <f t="shared" si="14"/>
        <v>100</v>
      </c>
      <c r="X36" s="1553"/>
      <c r="Y36" s="3411"/>
      <c r="Z36" s="1561" t="str">
        <f t="shared" si="15"/>
        <v>公共部分装修</v>
      </c>
      <c r="AA36" s="1562">
        <f t="shared" si="3"/>
        <v>1</v>
      </c>
      <c r="AB36" s="1562">
        <f t="shared" si="4"/>
        <v>1</v>
      </c>
      <c r="AC36" s="1562">
        <f t="shared" si="5"/>
        <v>1</v>
      </c>
    </row>
    <row r="37" spans="1:29" s="1215"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20"/>
      <c r="M37" s="2121"/>
      <c r="N37" s="2121"/>
      <c r="O37" s="2122"/>
      <c r="P37" s="3411"/>
      <c r="Q37" s="1146" t="str">
        <f t="shared" si="11"/>
        <v>成新度</v>
      </c>
      <c r="R37" s="1554" t="s">
        <v>11</v>
      </c>
      <c r="S37" s="1555" t="e">
        <f t="shared" si="12"/>
        <v>#N/A</v>
      </c>
      <c r="T37" s="1554" t="s">
        <v>11</v>
      </c>
      <c r="U37" s="1555" t="e">
        <f t="shared" si="13"/>
        <v>#N/A</v>
      </c>
      <c r="V37" s="1554" t="s">
        <v>11</v>
      </c>
      <c r="W37" s="1555" t="e">
        <f t="shared" si="14"/>
        <v>#N/A</v>
      </c>
      <c r="X37" s="1556"/>
      <c r="Y37" s="3411"/>
      <c r="Z37" s="1145" t="str">
        <f t="shared" si="15"/>
        <v>成新度</v>
      </c>
      <c r="AA37" s="1557" t="e">
        <f t="shared" si="3"/>
        <v>#N/A</v>
      </c>
      <c r="AB37" s="1557" t="e">
        <f t="shared" si="4"/>
        <v>#N/A</v>
      </c>
      <c r="AC37" s="1557"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27"/>
      <c r="M38" s="2119"/>
      <c r="N38" s="2119"/>
      <c r="O38" s="2126"/>
      <c r="P38" s="3411" t="s">
        <v>550</v>
      </c>
      <c r="Q38" s="1558" t="str">
        <f t="shared" si="11"/>
        <v>物业管理</v>
      </c>
      <c r="R38" s="1559" t="s">
        <v>11</v>
      </c>
      <c r="S38" s="1560">
        <f t="shared" si="12"/>
        <v>100</v>
      </c>
      <c r="T38" s="1559" t="s">
        <v>11</v>
      </c>
      <c r="U38" s="1560">
        <f t="shared" si="13"/>
        <v>100</v>
      </c>
      <c r="V38" s="1559" t="s">
        <v>11</v>
      </c>
      <c r="W38" s="1560">
        <f t="shared" si="14"/>
        <v>100</v>
      </c>
      <c r="X38" s="1553"/>
      <c r="Y38" s="3411" t="s">
        <v>550</v>
      </c>
      <c r="Z38" s="1561" t="str">
        <f t="shared" si="15"/>
        <v>物业管理</v>
      </c>
      <c r="AA38" s="1562">
        <f t="shared" si="3"/>
        <v>1</v>
      </c>
      <c r="AB38" s="1562">
        <f t="shared" si="4"/>
        <v>1</v>
      </c>
      <c r="AC38" s="1562">
        <f t="shared" si="5"/>
        <v>1</v>
      </c>
    </row>
    <row r="39" spans="1:29" ht="15">
      <c r="A39" s="594"/>
      <c r="B39" s="1880"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27"/>
      <c r="M39" s="2119"/>
      <c r="N39" s="2119"/>
      <c r="O39" s="2126"/>
      <c r="P39" s="3411"/>
      <c r="Q39" s="1558" t="str">
        <f t="shared" si="11"/>
        <v>市政基础设施</v>
      </c>
      <c r="R39" s="1559" t="s">
        <v>11</v>
      </c>
      <c r="S39" s="1560">
        <f t="shared" si="12"/>
        <v>100</v>
      </c>
      <c r="T39" s="1559" t="s">
        <v>11</v>
      </c>
      <c r="U39" s="1560">
        <f t="shared" si="13"/>
        <v>100</v>
      </c>
      <c r="V39" s="1559" t="s">
        <v>11</v>
      </c>
      <c r="W39" s="1560">
        <f t="shared" si="14"/>
        <v>100</v>
      </c>
      <c r="X39" s="1553"/>
      <c r="Y39" s="3411"/>
      <c r="Z39" s="1561" t="str">
        <f t="shared" si="15"/>
        <v>市政基础设施</v>
      </c>
      <c r="AA39" s="1562">
        <f t="shared" si="3"/>
        <v>1</v>
      </c>
      <c r="AB39" s="1562">
        <f t="shared" si="4"/>
        <v>1</v>
      </c>
      <c r="AC39" s="156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11"/>
      <c r="Q40" s="1558" t="str">
        <f t="shared" si="11"/>
        <v>房型</v>
      </c>
      <c r="R40" s="1559" t="s">
        <v>11</v>
      </c>
      <c r="S40" s="1560">
        <f t="shared" si="12"/>
        <v>100</v>
      </c>
      <c r="T40" s="1559" t="s">
        <v>11</v>
      </c>
      <c r="U40" s="1560">
        <f t="shared" si="13"/>
        <v>100</v>
      </c>
      <c r="V40" s="1559" t="s">
        <v>11</v>
      </c>
      <c r="W40" s="1560">
        <f t="shared" si="14"/>
        <v>100</v>
      </c>
      <c r="X40" s="1553"/>
      <c r="Y40" s="3411"/>
      <c r="Z40" s="1561" t="str">
        <f t="shared" si="15"/>
        <v>房型</v>
      </c>
      <c r="AA40" s="1562">
        <f t="shared" si="3"/>
        <v>1</v>
      </c>
      <c r="AB40" s="1562">
        <f t="shared" si="4"/>
        <v>1</v>
      </c>
      <c r="AC40" s="1562">
        <f t="shared" si="5"/>
        <v>1</v>
      </c>
    </row>
    <row r="41" spans="1:29" s="1334" customFormat="1" ht="28.8">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11"/>
      <c r="Q41" s="1590" t="str">
        <f t="shared" si="11"/>
        <v>单套/主力户型建筑面积</v>
      </c>
      <c r="R41" s="1563" t="s">
        <v>11</v>
      </c>
      <c r="S41" s="1564">
        <f t="shared" si="12"/>
        <v>100</v>
      </c>
      <c r="T41" s="1563" t="s">
        <v>11</v>
      </c>
      <c r="U41" s="1564">
        <f t="shared" si="13"/>
        <v>100</v>
      </c>
      <c r="V41" s="1563" t="s">
        <v>11</v>
      </c>
      <c r="W41" s="1564">
        <f t="shared" si="14"/>
        <v>100</v>
      </c>
      <c r="X41" s="1565"/>
      <c r="Y41" s="3411"/>
      <c r="Z41" s="1566" t="str">
        <f t="shared" si="15"/>
        <v>单套/主力户型建筑面积</v>
      </c>
      <c r="AA41" s="1562">
        <f t="shared" si="3"/>
        <v>1</v>
      </c>
      <c r="AB41" s="1562">
        <f t="shared" si="4"/>
        <v>1</v>
      </c>
      <c r="AC41" s="1562">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27"/>
      <c r="M42" s="2119"/>
      <c r="N42" s="2119"/>
      <c r="O42" s="2126"/>
      <c r="P42" s="3411"/>
      <c r="Q42" s="1558" t="str">
        <f t="shared" si="11"/>
        <v>内部装修</v>
      </c>
      <c r="R42" s="1559" t="s">
        <v>11</v>
      </c>
      <c r="S42" s="1560">
        <f t="shared" si="12"/>
        <v>100</v>
      </c>
      <c r="T42" s="1559" t="s">
        <v>11</v>
      </c>
      <c r="U42" s="1560">
        <f t="shared" si="13"/>
        <v>100</v>
      </c>
      <c r="V42" s="1559" t="s">
        <v>11</v>
      </c>
      <c r="W42" s="1560">
        <f t="shared" si="14"/>
        <v>100</v>
      </c>
      <c r="X42" s="1553"/>
      <c r="Y42" s="3411"/>
      <c r="Z42" s="1561" t="str">
        <f t="shared" si="15"/>
        <v>内部装修</v>
      </c>
      <c r="AA42" s="1562">
        <f t="shared" si="3"/>
        <v>1</v>
      </c>
      <c r="AB42" s="1562">
        <f t="shared" si="4"/>
        <v>1</v>
      </c>
      <c r="AC42" s="1562">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7"/>
      <c r="M43" s="2119"/>
      <c r="N43" s="2119"/>
      <c r="O43" s="2126"/>
      <c r="P43" s="3411"/>
      <c r="Q43" s="1558" t="str">
        <f t="shared" si="11"/>
        <v>内部装修维护情况</v>
      </c>
      <c r="R43" s="1559" t="s">
        <v>11</v>
      </c>
      <c r="S43" s="1560">
        <f t="shared" si="12"/>
        <v>100</v>
      </c>
      <c r="T43" s="1559" t="s">
        <v>11</v>
      </c>
      <c r="U43" s="1560">
        <f t="shared" si="13"/>
        <v>100</v>
      </c>
      <c r="V43" s="1559" t="s">
        <v>11</v>
      </c>
      <c r="W43" s="1560">
        <f t="shared" si="14"/>
        <v>100</v>
      </c>
      <c r="X43" s="1553"/>
      <c r="Y43" s="3411"/>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11"/>
      <c r="Q44" s="1146">
        <f t="shared" si="11"/>
        <v>111</v>
      </c>
      <c r="R44" s="1554" t="s">
        <v>11</v>
      </c>
      <c r="S44" s="1555">
        <f t="shared" si="12"/>
        <v>100</v>
      </c>
      <c r="T44" s="1554" t="s">
        <v>11</v>
      </c>
      <c r="U44" s="1555">
        <f t="shared" si="13"/>
        <v>100</v>
      </c>
      <c r="V44" s="1554" t="s">
        <v>11</v>
      </c>
      <c r="W44" s="1555">
        <f t="shared" si="14"/>
        <v>100</v>
      </c>
      <c r="X44" s="1556"/>
      <c r="Y44" s="3411"/>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11"/>
      <c r="Q45" s="1558">
        <f t="shared" si="11"/>
        <v>111</v>
      </c>
      <c r="R45" s="1559" t="s">
        <v>11</v>
      </c>
      <c r="S45" s="1560">
        <f t="shared" si="12"/>
        <v>100</v>
      </c>
      <c r="T45" s="1559" t="s">
        <v>11</v>
      </c>
      <c r="U45" s="1560">
        <f t="shared" si="13"/>
        <v>100</v>
      </c>
      <c r="V45" s="1559" t="s">
        <v>11</v>
      </c>
      <c r="W45" s="1560">
        <f t="shared" si="14"/>
        <v>100</v>
      </c>
      <c r="X45" s="1553"/>
      <c r="Y45" s="3411"/>
      <c r="Z45" s="1561">
        <f t="shared" si="15"/>
        <v>111</v>
      </c>
      <c r="AA45" s="1562">
        <f t="shared" si="3"/>
        <v>1</v>
      </c>
      <c r="AB45" s="1562">
        <f t="shared" si="4"/>
        <v>1</v>
      </c>
      <c r="AC45" s="1562">
        <f t="shared" si="5"/>
        <v>1</v>
      </c>
    </row>
    <row r="46" spans="1:29" ht="15.6"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92"/>
      <c r="Q46" s="1558">
        <f t="shared" si="11"/>
        <v>111</v>
      </c>
      <c r="R46" s="1559" t="s">
        <v>10</v>
      </c>
      <c r="S46" s="1560">
        <f t="shared" si="12"/>
        <v>100</v>
      </c>
      <c r="T46" s="1559" t="s">
        <v>10</v>
      </c>
      <c r="U46" s="1560">
        <f t="shared" si="13"/>
        <v>100</v>
      </c>
      <c r="V46" s="1559" t="s">
        <v>10</v>
      </c>
      <c r="W46" s="1560">
        <f t="shared" si="14"/>
        <v>100</v>
      </c>
      <c r="X46" s="1553"/>
      <c r="Y46" s="3492"/>
      <c r="Z46" s="1561">
        <f t="shared" si="15"/>
        <v>111</v>
      </c>
      <c r="AA46" s="1562">
        <f t="shared" si="3"/>
        <v>1</v>
      </c>
      <c r="AB46" s="1562">
        <f t="shared" si="4"/>
        <v>1</v>
      </c>
      <c r="AC46" s="1562">
        <f t="shared" si="5"/>
        <v>1</v>
      </c>
    </row>
    <row r="47" spans="1:29" ht="14.4">
      <c r="A47" s="607" t="s">
        <v>736</v>
      </c>
      <c r="B47" s="887"/>
      <c r="C47" s="2591" t="s">
        <v>9</v>
      </c>
      <c r="D47" s="2592"/>
      <c r="E47" s="2593"/>
      <c r="F47" s="2594"/>
      <c r="G47" s="2595"/>
      <c r="H47" s="2596"/>
      <c r="I47" s="2593"/>
      <c r="J47" s="2596"/>
      <c r="K47" s="1591"/>
      <c r="L47" s="2129"/>
      <c r="M47" s="2130"/>
      <c r="N47" s="2119"/>
      <c r="O47" s="2130"/>
      <c r="P47" s="3374" t="str">
        <f>A47</f>
        <v>成交单价（元/平方米）</v>
      </c>
      <c r="Q47" s="3374"/>
      <c r="R47" s="3491">
        <f>E47</f>
        <v>0</v>
      </c>
      <c r="S47" s="3491"/>
      <c r="T47" s="3491">
        <f>G47</f>
        <v>0</v>
      </c>
      <c r="U47" s="3491"/>
      <c r="V47" s="3491">
        <f>I47</f>
        <v>0</v>
      </c>
      <c r="W47" s="3491"/>
      <c r="X47" s="1545"/>
      <c r="Y47" s="1567"/>
      <c r="Z47" s="1545"/>
      <c r="AA47" s="1545"/>
      <c r="AB47" s="1545"/>
      <c r="AC47" s="1545"/>
    </row>
    <row r="48" spans="1:29" ht="15" thickBot="1">
      <c r="A48" s="615" t="s">
        <v>2754</v>
      </c>
      <c r="B48" s="888"/>
      <c r="C48" s="2597" t="e">
        <f>R49</f>
        <v>#DIV/0!</v>
      </c>
      <c r="D48" s="2598"/>
      <c r="E48" s="2599" t="e">
        <f>R48</f>
        <v>#DIV/0!</v>
      </c>
      <c r="F48" s="2599"/>
      <c r="G48" s="2597" t="e">
        <f>T48</f>
        <v>#DIV/0!</v>
      </c>
      <c r="H48" s="2598"/>
      <c r="I48" s="2599" t="e">
        <f>V48</f>
        <v>#DIV/0!</v>
      </c>
      <c r="J48" s="2598"/>
      <c r="K48" s="1592"/>
      <c r="L48" s="2129"/>
      <c r="M48" s="2130"/>
      <c r="N48" s="2130"/>
      <c r="O48" s="2130"/>
      <c r="P48" s="3374" t="str">
        <f>A48</f>
        <v>比较价格（元/平方米）</v>
      </c>
      <c r="Q48" s="3374"/>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45"/>
      <c r="Y48" s="1545"/>
      <c r="Z48" s="1545"/>
      <c r="AA48" s="1545"/>
      <c r="AB48" s="1545"/>
      <c r="AC48" s="1545"/>
    </row>
    <row r="49" spans="1:29" ht="15" thickBot="1">
      <c r="A49" s="621" t="s">
        <v>2931</v>
      </c>
      <c r="B49" s="622"/>
      <c r="C49" s="2600" t="e">
        <f>R49</f>
        <v>#DIV/0!</v>
      </c>
      <c r="D49" s="2600"/>
      <c r="E49" s="2600"/>
      <c r="F49" s="2600"/>
      <c r="G49" s="2600"/>
      <c r="H49" s="2600"/>
      <c r="I49" s="2600"/>
      <c r="J49" s="2600"/>
      <c r="K49" s="1593"/>
      <c r="L49" s="2129"/>
      <c r="M49" s="2130"/>
      <c r="N49" s="2130"/>
      <c r="O49" s="2130"/>
      <c r="P49" s="3371" t="str">
        <f>A49</f>
        <v>估价对象XX用房的比较价格（楼面单价，元/平方米）</v>
      </c>
      <c r="Q49" s="3372"/>
      <c r="R49" s="3490" t="e">
        <f>IF(F1="售价",ROUND(AVERAGE(R48:V48),0),ROUND(AVERAGE(R48:V48),1))</f>
        <v>#DIV/0!</v>
      </c>
      <c r="S49" s="3490"/>
      <c r="T49" s="3490"/>
      <c r="U49" s="3490"/>
      <c r="V49" s="3490"/>
      <c r="W49" s="349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529</v>
      </c>
      <c r="B58" s="646"/>
      <c r="C58" s="2759" t="str">
        <f>YEAR(C7)&amp;"-"&amp;MONTH(C7)</f>
        <v>2020-6</v>
      </c>
      <c r="D58" s="2759">
        <f>EDATE(C58,-1)</f>
        <v>43952</v>
      </c>
      <c r="E58" s="2759">
        <f t="shared" ref="E58:O58" si="16">EDATE(D58,-1)</f>
        <v>43922</v>
      </c>
      <c r="F58" s="2759">
        <f t="shared" si="16"/>
        <v>43891</v>
      </c>
      <c r="G58" s="2759">
        <f t="shared" si="16"/>
        <v>43862</v>
      </c>
      <c r="H58" s="2759">
        <f t="shared" si="16"/>
        <v>43831</v>
      </c>
      <c r="I58" s="2759">
        <f t="shared" si="16"/>
        <v>43800</v>
      </c>
      <c r="J58" s="2759">
        <f t="shared" si="16"/>
        <v>43770</v>
      </c>
      <c r="K58" s="2759">
        <f t="shared" si="16"/>
        <v>43739</v>
      </c>
      <c r="L58" s="2759">
        <f t="shared" si="16"/>
        <v>43709</v>
      </c>
      <c r="M58" s="2759">
        <f t="shared" si="16"/>
        <v>43678</v>
      </c>
      <c r="N58" s="2759">
        <f t="shared" si="16"/>
        <v>43647</v>
      </c>
      <c r="O58" s="2759">
        <f t="shared" si="16"/>
        <v>43617</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c r="E59" s="650"/>
      <c r="F59" s="650"/>
      <c r="G59" s="650"/>
      <c r="H59" s="650"/>
      <c r="I59" s="650"/>
      <c r="J59" s="650"/>
      <c r="K59" s="650"/>
      <c r="L59" s="650"/>
      <c r="M59" s="650"/>
      <c r="N59" s="650"/>
      <c r="O59" s="650"/>
      <c r="P59" s="2143"/>
      <c r="Q59" s="1978"/>
      <c r="R59" s="1978"/>
      <c r="S59" s="1978"/>
      <c r="T59" s="1978"/>
      <c r="U59" s="1978"/>
      <c r="V59" s="1978"/>
      <c r="W59" s="1978"/>
      <c r="X59" s="1978"/>
      <c r="Y59" s="1978"/>
      <c r="Z59" s="1978"/>
      <c r="AA59" s="1978"/>
      <c r="AB59" s="1978"/>
      <c r="AC59" s="1978"/>
    </row>
    <row r="60" spans="1:29" s="1215"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1594"/>
      <c r="F64" s="1594"/>
      <c r="G64" s="1594"/>
      <c r="H64" s="1594"/>
      <c r="I64" s="1594"/>
      <c r="J64" s="1594"/>
      <c r="K64" s="1594"/>
      <c r="L64" s="1594"/>
      <c r="M64" s="1595"/>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2552</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1881" t="s">
        <v>2253</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5" customFormat="1" ht="1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道路级别</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4.4"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747</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2">C101-$K32</f>
        <v>100</v>
      </c>
      <c r="E101" s="679">
        <f t="shared" si="22"/>
        <v>100</v>
      </c>
      <c r="F101" s="679">
        <f t="shared" si="22"/>
        <v>100</v>
      </c>
      <c r="G101" s="679">
        <f t="shared" si="22"/>
        <v>100</v>
      </c>
      <c r="H101" s="679">
        <f t="shared" si="22"/>
        <v>100</v>
      </c>
      <c r="I101" s="679">
        <f t="shared" si="22"/>
        <v>100</v>
      </c>
      <c r="J101" s="679">
        <f t="shared" si="22"/>
        <v>100</v>
      </c>
      <c r="K101" s="679">
        <f t="shared" si="22"/>
        <v>100</v>
      </c>
      <c r="L101" s="679">
        <f t="shared" si="22"/>
        <v>100</v>
      </c>
      <c r="M101" s="679">
        <f t="shared" si="22"/>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c r="D104" s="671"/>
      <c r="E104" s="671"/>
      <c r="F104" s="671"/>
      <c r="G104" s="671"/>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718"/>
      <c r="D107" s="718"/>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688"/>
      <c r="D109" s="688"/>
      <c r="E109" s="688"/>
      <c r="F109" s="718"/>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4.4"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51"/>
      <c r="O110" s="2151"/>
      <c r="P110" s="2150"/>
      <c r="Q110" s="2143"/>
      <c r="R110" s="2130"/>
      <c r="S110" s="2130"/>
      <c r="T110" s="2130"/>
      <c r="U110" s="2130"/>
      <c r="V110" s="2130"/>
      <c r="W110" s="2130"/>
      <c r="X110" s="2130"/>
      <c r="Y110" s="2130"/>
      <c r="Z110" s="2130"/>
      <c r="AA110" s="2130"/>
      <c r="AB110" s="2130"/>
      <c r="AC110" s="2130"/>
    </row>
    <row r="111" spans="1:29" s="1334"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4"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2551</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4" customFormat="1" ht="29.4"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2254</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ht="15.6">
      <c r="A137" s="2164"/>
      <c r="B137" s="1903" t="s">
        <v>2255</v>
      </c>
      <c r="C137" s="1904"/>
      <c r="D137" s="1904"/>
      <c r="E137" s="1904"/>
      <c r="F137" s="1904"/>
      <c r="G137" s="1905"/>
      <c r="H137" s="1906"/>
      <c r="I137" s="1907" t="s">
        <v>2256</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ht="15.6">
      <c r="A138" s="2164"/>
      <c r="B138" s="1909"/>
      <c r="C138" s="1910" t="s">
        <v>2257</v>
      </c>
      <c r="D138" s="1910" t="s">
        <v>2258</v>
      </c>
      <c r="E138" s="1911" t="s">
        <v>2259</v>
      </c>
      <c r="F138" s="1912" t="s">
        <v>2260</v>
      </c>
      <c r="G138" s="1910" t="s">
        <v>2261</v>
      </c>
      <c r="H138" s="1913" t="s">
        <v>2262</v>
      </c>
      <c r="I138" s="1914"/>
      <c r="J138" s="1910" t="s">
        <v>2263</v>
      </c>
      <c r="K138" s="1913" t="s">
        <v>2264</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2265</v>
      </c>
      <c r="E139" s="1884">
        <v>100</v>
      </c>
      <c r="F139" s="1885">
        <v>102.5</v>
      </c>
      <c r="G139" s="1915" t="s">
        <v>2266</v>
      </c>
      <c r="H139" s="1886">
        <v>105</v>
      </c>
      <c r="I139" s="1916" t="s">
        <v>2267</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6">
      <c r="A140" s="2164"/>
      <c r="B140" s="1888">
        <v>5</v>
      </c>
      <c r="C140" s="1889">
        <v>100</v>
      </c>
      <c r="D140" s="1917"/>
      <c r="E140" s="1890"/>
      <c r="F140" s="1891">
        <v>102</v>
      </c>
      <c r="G140" s="1917"/>
      <c r="H140" s="1892"/>
      <c r="I140" s="1918" t="s">
        <v>2268</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6">
      <c r="A141" s="2164"/>
      <c r="B141" s="1888">
        <v>4</v>
      </c>
      <c r="C141" s="1889">
        <v>102</v>
      </c>
      <c r="D141" s="1917"/>
      <c r="E141" s="1890"/>
      <c r="F141" s="1891">
        <v>101.5</v>
      </c>
      <c r="G141" s="1917"/>
      <c r="H141" s="1892"/>
      <c r="I141" s="1918" t="s">
        <v>2269</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6">
      <c r="A142" s="2164"/>
      <c r="B142" s="1888">
        <v>3</v>
      </c>
      <c r="C142" s="1889">
        <v>103</v>
      </c>
      <c r="D142" s="1917"/>
      <c r="E142" s="1890"/>
      <c r="F142" s="1891">
        <v>101</v>
      </c>
      <c r="G142" s="1917"/>
      <c r="H142" s="1892"/>
      <c r="I142" s="1918" t="s">
        <v>2270</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6">
      <c r="A143" s="2164"/>
      <c r="B143" s="1888">
        <v>2</v>
      </c>
      <c r="C143" s="1889">
        <v>100</v>
      </c>
      <c r="D143" s="1917"/>
      <c r="E143" s="1890"/>
      <c r="F143" s="1891">
        <v>100.5</v>
      </c>
      <c r="G143" s="1917"/>
      <c r="H143" s="1892"/>
      <c r="I143" s="1918" t="s">
        <v>2271</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2272</v>
      </c>
      <c r="E144" s="1890">
        <v>102</v>
      </c>
      <c r="F144" s="1896">
        <v>100</v>
      </c>
      <c r="G144" s="1919" t="s">
        <v>2272</v>
      </c>
      <c r="H144" s="1892">
        <v>105</v>
      </c>
      <c r="I144" s="1918" t="s">
        <v>2271</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6.2" thickBot="1">
      <c r="A145" s="2164"/>
      <c r="B145" s="1920" t="s">
        <v>2273</v>
      </c>
      <c r="C145" s="1897">
        <f>ROUND(MAX(C139:C144)/MIN(C139:C144)-1,3)</f>
        <v>7.2999999999999995E-2</v>
      </c>
      <c r="D145" s="1921"/>
      <c r="E145" s="1921"/>
      <c r="F145" s="1922" t="s">
        <v>2274</v>
      </c>
      <c r="G145" s="1923"/>
      <c r="H145" s="1924"/>
      <c r="I145" s="1925" t="s">
        <v>2271</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ht="14.4">
      <c r="A147" s="2164"/>
      <c r="B147" s="1944" t="s">
        <v>2282</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ht="14.4">
      <c r="A148" s="2164"/>
      <c r="B148" s="1944" t="s">
        <v>2283</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757</v>
      </c>
      <c r="C1" s="504" t="s">
        <v>720</v>
      </c>
      <c r="D1" s="2334"/>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519</v>
      </c>
      <c r="B3" s="510" t="e">
        <f>C49</f>
        <v>#DIV/0!</v>
      </c>
      <c r="C3" s="852" t="s">
        <v>722</v>
      </c>
      <c r="D3" s="851">
        <f>SUMIF('数据-汇总表'!$C19:$C33,D1,'数据-汇总表'!$E19:$E33)</f>
        <v>0</v>
      </c>
      <c r="E3" s="2046"/>
      <c r="F3" s="2114"/>
      <c r="G3" s="2113"/>
      <c r="H3" s="2113"/>
      <c r="I3" s="2113"/>
      <c r="J3" s="2113"/>
      <c r="K3" s="2115"/>
      <c r="L3" s="2116"/>
      <c r="M3" s="2117"/>
      <c r="N3" s="2117"/>
      <c r="O3" s="2117"/>
      <c r="P3" s="1550"/>
      <c r="Q3" s="1550"/>
      <c r="R3" s="1550"/>
      <c r="S3" s="1550"/>
      <c r="T3" s="1550"/>
      <c r="U3" s="1550"/>
      <c r="V3" s="1550"/>
      <c r="W3" s="1550"/>
      <c r="X3" s="1550"/>
      <c r="Y3" s="1550"/>
      <c r="Z3" s="1550"/>
      <c r="AA3" s="1550"/>
      <c r="AB3" s="1550"/>
      <c r="AC3" s="428"/>
    </row>
    <row r="4" spans="1:29" ht="14.4">
      <c r="A4" s="512" t="s">
        <v>521</v>
      </c>
      <c r="B4" s="513"/>
      <c r="C4" s="3380" t="s">
        <v>522</v>
      </c>
      <c r="D4" s="3381"/>
      <c r="E4" s="3414" t="s">
        <v>523</v>
      </c>
      <c r="F4" s="3415"/>
      <c r="G4" s="3380" t="s">
        <v>524</v>
      </c>
      <c r="H4" s="3381"/>
      <c r="I4" s="3380" t="s">
        <v>525</v>
      </c>
      <c r="J4" s="3381"/>
      <c r="K4" s="514" t="s">
        <v>526</v>
      </c>
      <c r="L4" s="2118"/>
      <c r="M4" s="2119"/>
      <c r="N4" s="2119"/>
      <c r="O4" s="2119"/>
      <c r="P4" s="3382" t="s">
        <v>527</v>
      </c>
      <c r="Q4" s="3383"/>
      <c r="R4" s="3388" t="s">
        <v>523</v>
      </c>
      <c r="S4" s="3389"/>
      <c r="T4" s="3388" t="s">
        <v>524</v>
      </c>
      <c r="U4" s="3389"/>
      <c r="V4" s="3375" t="s">
        <v>525</v>
      </c>
      <c r="W4" s="3375"/>
      <c r="X4" s="1553"/>
      <c r="Y4" s="3388" t="s">
        <v>527</v>
      </c>
      <c r="Z4" s="3389"/>
      <c r="AA4" s="3377" t="s">
        <v>523</v>
      </c>
      <c r="AB4" s="3375" t="s">
        <v>524</v>
      </c>
      <c r="AC4" s="3377" t="s">
        <v>525</v>
      </c>
    </row>
    <row r="5" spans="1:29">
      <c r="A5" s="515"/>
      <c r="B5" s="516"/>
      <c r="C5" s="3396" t="s">
        <v>2925</v>
      </c>
      <c r="D5" s="3397"/>
      <c r="E5" s="3416" t="s">
        <v>2926</v>
      </c>
      <c r="F5" s="3417"/>
      <c r="G5" s="3396" t="s">
        <v>2927</v>
      </c>
      <c r="H5" s="3397"/>
      <c r="I5" s="3396" t="s">
        <v>2928</v>
      </c>
      <c r="J5" s="3397"/>
      <c r="K5" s="514"/>
      <c r="L5" s="2118"/>
      <c r="M5" s="2119"/>
      <c r="N5" s="2119"/>
      <c r="O5" s="2119"/>
      <c r="P5" s="3384"/>
      <c r="Q5" s="3385"/>
      <c r="R5" s="3390"/>
      <c r="S5" s="3391"/>
      <c r="T5" s="3390"/>
      <c r="U5" s="3391"/>
      <c r="V5" s="3375"/>
      <c r="W5" s="3375"/>
      <c r="X5" s="1553"/>
      <c r="Y5" s="3390"/>
      <c r="Z5" s="3391"/>
      <c r="AA5" s="3378"/>
      <c r="AB5" s="3375"/>
      <c r="AC5" s="3378"/>
    </row>
    <row r="6" spans="1:29" ht="15" thickBot="1">
      <c r="A6" s="517"/>
      <c r="B6" s="518"/>
      <c r="C6" s="3394" t="s">
        <v>2929</v>
      </c>
      <c r="D6" s="3395"/>
      <c r="E6" s="3412" t="s">
        <v>2929</v>
      </c>
      <c r="F6" s="3413"/>
      <c r="G6" s="3394" t="s">
        <v>2929</v>
      </c>
      <c r="H6" s="3395"/>
      <c r="I6" s="3394" t="s">
        <v>2929</v>
      </c>
      <c r="J6" s="3395"/>
      <c r="K6" s="514" t="s">
        <v>528</v>
      </c>
      <c r="L6" s="2118"/>
      <c r="M6" s="2119"/>
      <c r="N6" s="2119"/>
      <c r="O6" s="2119"/>
      <c r="P6" s="3386"/>
      <c r="Q6" s="3387"/>
      <c r="R6" s="3390"/>
      <c r="S6" s="3391"/>
      <c r="T6" s="3392"/>
      <c r="U6" s="3393"/>
      <c r="V6" s="3375"/>
      <c r="W6" s="3375"/>
      <c r="X6" s="1553"/>
      <c r="Y6" s="3392"/>
      <c r="Z6" s="3393"/>
      <c r="AA6" s="3379"/>
      <c r="AB6" s="3375"/>
      <c r="AC6" s="3379"/>
    </row>
    <row r="7" spans="1:29" s="1215" customFormat="1" ht="15" thickBot="1">
      <c r="A7" s="2867"/>
      <c r="B7" s="2874" t="s">
        <v>529</v>
      </c>
      <c r="C7" s="519">
        <f>'数据-取费表'!B2</f>
        <v>44006</v>
      </c>
      <c r="D7" s="520">
        <v>100</v>
      </c>
      <c r="E7" s="521"/>
      <c r="F7" s="522">
        <f>SUMIF(58:58,YEAR(E7)&amp;"-"&amp;MONTH(E7),59:59)</f>
        <v>0</v>
      </c>
      <c r="G7" s="521"/>
      <c r="H7" s="520">
        <f>SUMIF(58:58,YEAR(G7)&amp;"-"&amp;MONTH(G7),59:59)</f>
        <v>0</v>
      </c>
      <c r="I7" s="521"/>
      <c r="J7" s="520">
        <f>SUMIF(58:58,YEAR(I7)&amp;"-"&amp;MONTH(I7),59:59)</f>
        <v>0</v>
      </c>
      <c r="K7" s="524"/>
      <c r="L7" s="2120"/>
      <c r="M7" s="2121"/>
      <c r="N7" s="2121"/>
      <c r="O7" s="2121"/>
      <c r="P7" s="3405" t="s">
        <v>530</v>
      </c>
      <c r="Q7" s="3407"/>
      <c r="R7" s="1554" t="s">
        <v>8</v>
      </c>
      <c r="S7" s="1555">
        <f t="shared" ref="S7:S15" si="0">F7</f>
        <v>0</v>
      </c>
      <c r="T7" s="1554" t="s">
        <v>8</v>
      </c>
      <c r="U7" s="1555">
        <f t="shared" ref="U7:U15" si="1">H7</f>
        <v>0</v>
      </c>
      <c r="V7" s="1554" t="s">
        <v>8</v>
      </c>
      <c r="W7" s="1555">
        <f t="shared" ref="W7:W15" si="2">J7</f>
        <v>0</v>
      </c>
      <c r="X7" s="1556"/>
      <c r="Y7" s="3405" t="s">
        <v>530</v>
      </c>
      <c r="Z7" s="3406"/>
      <c r="AA7" s="1557" t="e">
        <f>D7/F7</f>
        <v>#DIV/0!</v>
      </c>
      <c r="AB7" s="1557" t="e">
        <f>D7/H7</f>
        <v>#DIV/0!</v>
      </c>
      <c r="AC7" s="1557" t="e">
        <f>D7/J7</f>
        <v>#DIV/0!</v>
      </c>
    </row>
    <row r="8" spans="1:29" s="1215" customFormat="1" ht="15" thickBot="1">
      <c r="A8" s="2868"/>
      <c r="B8" s="2875" t="s">
        <v>531</v>
      </c>
      <c r="C8" s="525" t="s">
        <v>576</v>
      </c>
      <c r="D8" s="520">
        <v>100</v>
      </c>
      <c r="E8" s="525"/>
      <c r="F8" s="522">
        <f>SUMIF(61:61,E8,62:62)-SUMIF(61:61,C8,62:62)+100</f>
        <v>0</v>
      </c>
      <c r="G8" s="525"/>
      <c r="H8" s="520">
        <f>SUMIF(61:61,G8,62:62)-SUMIF(61:61,C8,62:62)+100</f>
        <v>0</v>
      </c>
      <c r="I8" s="525"/>
      <c r="J8" s="520">
        <f>SUMIF(61:61,I8,62:62)-SUMIF(61:61,C8,62:62)+100</f>
        <v>0</v>
      </c>
      <c r="K8" s="524"/>
      <c r="L8" s="2120"/>
      <c r="M8" s="2121"/>
      <c r="N8" s="2121"/>
      <c r="O8" s="2121"/>
      <c r="P8" s="3405" t="s">
        <v>533</v>
      </c>
      <c r="Q8" s="3406"/>
      <c r="R8" s="1554" t="s">
        <v>8</v>
      </c>
      <c r="S8" s="1555">
        <f t="shared" si="0"/>
        <v>0</v>
      </c>
      <c r="T8" s="1554" t="s">
        <v>8</v>
      </c>
      <c r="U8" s="1555">
        <f t="shared" si="1"/>
        <v>0</v>
      </c>
      <c r="V8" s="1554" t="s">
        <v>8</v>
      </c>
      <c r="W8" s="1555">
        <f t="shared" si="2"/>
        <v>0</v>
      </c>
      <c r="X8" s="1556"/>
      <c r="Y8" s="3405" t="s">
        <v>533</v>
      </c>
      <c r="Z8" s="3406"/>
      <c r="AA8" s="1557" t="e">
        <f t="shared" ref="AA8:AA46" si="3">D8/F8</f>
        <v>#DIV/0!</v>
      </c>
      <c r="AB8" s="1557" t="e">
        <f t="shared" ref="AB8:AB46" si="4">D8/H8</f>
        <v>#DIV/0!</v>
      </c>
      <c r="AC8" s="1557" t="e">
        <f t="shared" ref="AC8:AC46" si="5">D8/J8</f>
        <v>#DIV/0!</v>
      </c>
    </row>
    <row r="9" spans="1:29" s="1215" customFormat="1" ht="14.4">
      <c r="A9" s="2869"/>
      <c r="B9" s="2876" t="s">
        <v>2750</v>
      </c>
      <c r="C9" s="857"/>
      <c r="D9" s="254">
        <v>100</v>
      </c>
      <c r="E9" s="860"/>
      <c r="F9" s="254">
        <f>SUMIF(63:63,E9,64:64)-SUMIF(63:63,C9,64:64)+100</f>
        <v>100</v>
      </c>
      <c r="G9" s="858"/>
      <c r="H9" s="254">
        <f>SUMIF(63:63,G9,64:64)-SUMIF(63:63,C9,64:64)+100</f>
        <v>100</v>
      </c>
      <c r="I9" s="858"/>
      <c r="J9" s="254">
        <f>SUMIF(63:63,I9,64:64)-SUMIF(63:63,C9,64:64)+100</f>
        <v>100</v>
      </c>
      <c r="K9" s="524"/>
      <c r="L9" s="2120"/>
      <c r="M9" s="2121"/>
      <c r="N9" s="2121"/>
      <c r="O9" s="2122"/>
      <c r="P9" s="3374" t="s">
        <v>535</v>
      </c>
      <c r="Q9" s="1146" t="str">
        <f t="shared" ref="Q9:Q15" si="6">B9</f>
        <v>用途</v>
      </c>
      <c r="R9" s="1554" t="s">
        <v>8</v>
      </c>
      <c r="S9" s="1555">
        <f t="shared" si="0"/>
        <v>100</v>
      </c>
      <c r="T9" s="1554" t="s">
        <v>8</v>
      </c>
      <c r="U9" s="1555">
        <f t="shared" si="1"/>
        <v>100</v>
      </c>
      <c r="V9" s="1554" t="s">
        <v>8</v>
      </c>
      <c r="W9" s="1555">
        <f t="shared" si="2"/>
        <v>100</v>
      </c>
      <c r="X9" s="1556"/>
      <c r="Y9" s="3319" t="s">
        <v>536</v>
      </c>
      <c r="Z9" s="1145" t="str">
        <f t="shared" ref="Z9:Z15" si="7">Q9</f>
        <v>用途</v>
      </c>
      <c r="AA9" s="1557">
        <f t="shared" si="3"/>
        <v>1</v>
      </c>
      <c r="AB9" s="1557">
        <f t="shared" si="4"/>
        <v>1</v>
      </c>
      <c r="AC9" s="1557">
        <f t="shared" si="5"/>
        <v>1</v>
      </c>
    </row>
    <row r="10" spans="1:29" s="1333" customFormat="1" ht="28.8">
      <c r="A10" s="2870"/>
      <c r="B10" s="2875" t="s">
        <v>2751</v>
      </c>
      <c r="C10" s="861"/>
      <c r="D10" s="255">
        <v>100</v>
      </c>
      <c r="E10" s="861"/>
      <c r="F10" s="255">
        <f>SUMIF(65:65,E10,66:66)-SUMIF(65:65,C10,66:66)+100</f>
        <v>100</v>
      </c>
      <c r="G10" s="862"/>
      <c r="H10" s="255">
        <f>SUMIF(65:65,G10,66:66)-SUMIF(65:65,C10,66:66)+100</f>
        <v>100</v>
      </c>
      <c r="I10" s="861"/>
      <c r="J10" s="255">
        <f>SUMIF(65:65,I10,66:66)-SUMIF(65:65,C10,66:66)+100</f>
        <v>100</v>
      </c>
      <c r="K10" s="584"/>
      <c r="L10" s="2123"/>
      <c r="M10" s="2163"/>
      <c r="N10" s="2163"/>
      <c r="O10" s="2124"/>
      <c r="P10" s="3374"/>
      <c r="Q10" s="1146" t="str">
        <f t="shared" si="6"/>
        <v>土地使用年限（年）</v>
      </c>
      <c r="R10" s="1554" t="s">
        <v>8</v>
      </c>
      <c r="S10" s="1555">
        <f t="shared" si="0"/>
        <v>100</v>
      </c>
      <c r="T10" s="1554" t="s">
        <v>8</v>
      </c>
      <c r="U10" s="1555">
        <f t="shared" si="1"/>
        <v>100</v>
      </c>
      <c r="V10" s="1554" t="s">
        <v>8</v>
      </c>
      <c r="W10" s="1555">
        <f t="shared" si="2"/>
        <v>100</v>
      </c>
      <c r="X10" s="1556"/>
      <c r="Y10" s="3319"/>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5"/>
      <c r="M11" s="2119"/>
      <c r="N11" s="2119"/>
      <c r="O11" s="2126"/>
      <c r="P11" s="3374"/>
      <c r="Q11" s="1146" t="str">
        <f t="shared" si="6"/>
        <v>容积率</v>
      </c>
      <c r="R11" s="1554" t="s">
        <v>8</v>
      </c>
      <c r="S11" s="1555" t="e">
        <f t="shared" si="0"/>
        <v>#N/A</v>
      </c>
      <c r="T11" s="1554" t="s">
        <v>8</v>
      </c>
      <c r="U11" s="1555" t="e">
        <f t="shared" si="1"/>
        <v>#N/A</v>
      </c>
      <c r="V11" s="1554" t="s">
        <v>8</v>
      </c>
      <c r="W11" s="1555" t="e">
        <f t="shared" si="2"/>
        <v>#N/A</v>
      </c>
      <c r="X11" s="1556"/>
      <c r="Y11" s="3319"/>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74"/>
      <c r="Q12" s="1146">
        <f t="shared" si="6"/>
        <v>111</v>
      </c>
      <c r="R12" s="1554" t="s">
        <v>8</v>
      </c>
      <c r="S12" s="1555">
        <f t="shared" si="0"/>
        <v>100</v>
      </c>
      <c r="T12" s="1554" t="s">
        <v>8</v>
      </c>
      <c r="U12" s="1555">
        <f t="shared" si="1"/>
        <v>100</v>
      </c>
      <c r="V12" s="1554" t="s">
        <v>8</v>
      </c>
      <c r="W12" s="1555">
        <f t="shared" si="2"/>
        <v>100</v>
      </c>
      <c r="X12" s="1556"/>
      <c r="Y12" s="3319"/>
      <c r="Z12" s="1145">
        <f t="shared" si="7"/>
        <v>111</v>
      </c>
      <c r="AA12" s="1557">
        <f>D12/F12</f>
        <v>1</v>
      </c>
      <c r="AB12" s="1557">
        <f>D12/H12</f>
        <v>1</v>
      </c>
      <c r="AC12" s="1557">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74"/>
      <c r="Q13" s="1146">
        <f t="shared" si="6"/>
        <v>111</v>
      </c>
      <c r="R13" s="1554" t="s">
        <v>8</v>
      </c>
      <c r="S13" s="1555">
        <f t="shared" si="0"/>
        <v>100</v>
      </c>
      <c r="T13" s="1554" t="s">
        <v>8</v>
      </c>
      <c r="U13" s="1555">
        <f t="shared" si="1"/>
        <v>100</v>
      </c>
      <c r="V13" s="1554" t="s">
        <v>8</v>
      </c>
      <c r="W13" s="1555">
        <f t="shared" si="2"/>
        <v>100</v>
      </c>
      <c r="X13" s="1556"/>
      <c r="Y13" s="3319"/>
      <c r="Z13" s="1145">
        <f t="shared" si="7"/>
        <v>111</v>
      </c>
      <c r="AA13" s="1557">
        <f t="shared" si="3"/>
        <v>1</v>
      </c>
      <c r="AB13" s="1557">
        <f t="shared" si="4"/>
        <v>1</v>
      </c>
      <c r="AC13" s="1557">
        <f t="shared" si="5"/>
        <v>1</v>
      </c>
    </row>
    <row r="14" spans="1:29" ht="15.6"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74"/>
      <c r="Q14" s="1146">
        <f t="shared" si="6"/>
        <v>111</v>
      </c>
      <c r="R14" s="1554" t="s">
        <v>8</v>
      </c>
      <c r="S14" s="1555">
        <f t="shared" si="0"/>
        <v>100</v>
      </c>
      <c r="T14" s="1554" t="s">
        <v>8</v>
      </c>
      <c r="U14" s="1555">
        <f t="shared" si="1"/>
        <v>100</v>
      </c>
      <c r="V14" s="1554" t="s">
        <v>8</v>
      </c>
      <c r="W14" s="1555">
        <f t="shared" si="2"/>
        <v>100</v>
      </c>
      <c r="X14" s="1556"/>
      <c r="Y14" s="3319"/>
      <c r="Z14" s="1145">
        <f t="shared" si="7"/>
        <v>111</v>
      </c>
      <c r="AA14" s="1557">
        <f t="shared" si="3"/>
        <v>1</v>
      </c>
      <c r="AB14" s="1557">
        <f t="shared" si="4"/>
        <v>1</v>
      </c>
      <c r="AC14" s="1557">
        <f t="shared" si="5"/>
        <v>1</v>
      </c>
    </row>
    <row r="15" spans="1:29" ht="82.8">
      <c r="A15" s="2865" t="s">
        <v>2748</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7"/>
      <c r="M15" s="2119"/>
      <c r="N15" s="2119"/>
      <c r="O15" s="2126"/>
      <c r="P15" s="3408" t="s">
        <v>540</v>
      </c>
      <c r="Q15" s="1558" t="str">
        <f t="shared" si="6"/>
        <v>商业繁华度</v>
      </c>
      <c r="R15" s="1559" t="s">
        <v>8</v>
      </c>
      <c r="S15" s="1560">
        <f t="shared" si="0"/>
        <v>100</v>
      </c>
      <c r="T15" s="1559" t="s">
        <v>8</v>
      </c>
      <c r="U15" s="1560">
        <f t="shared" si="1"/>
        <v>100</v>
      </c>
      <c r="V15" s="1559" t="s">
        <v>8</v>
      </c>
      <c r="W15" s="1560">
        <f t="shared" si="2"/>
        <v>100</v>
      </c>
      <c r="X15" s="1553"/>
      <c r="Y15" s="3408" t="s">
        <v>540</v>
      </c>
      <c r="Z15" s="1561" t="str">
        <f t="shared" si="7"/>
        <v>商业繁华度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09"/>
      <c r="Q16" s="1558"/>
      <c r="R16" s="1559"/>
      <c r="S16" s="1560"/>
      <c r="T16" s="1559"/>
      <c r="U16" s="1560"/>
      <c r="V16" s="1559"/>
      <c r="W16" s="1560"/>
      <c r="X16" s="1553"/>
      <c r="Y16" s="3409"/>
      <c r="Z16" s="1561"/>
      <c r="AA16" s="1562">
        <v>1</v>
      </c>
      <c r="AB16" s="1562">
        <v>1</v>
      </c>
      <c r="AC16" s="1562">
        <v>1</v>
      </c>
    </row>
    <row r="17" spans="1:29" ht="96.6">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7"/>
      <c r="M17" s="2119"/>
      <c r="N17" s="2119"/>
      <c r="O17" s="2126"/>
      <c r="P17" s="3409"/>
      <c r="Q17" s="1558" t="str">
        <f>B17</f>
        <v>交通便捷度</v>
      </c>
      <c r="R17" s="1559" t="s">
        <v>8</v>
      </c>
      <c r="S17" s="1560">
        <f>F17</f>
        <v>100</v>
      </c>
      <c r="T17" s="1559" t="s">
        <v>8</v>
      </c>
      <c r="U17" s="1560">
        <f>H17</f>
        <v>100</v>
      </c>
      <c r="V17" s="1559" t="s">
        <v>8</v>
      </c>
      <c r="W17" s="1560">
        <f>J17</f>
        <v>100</v>
      </c>
      <c r="X17" s="1553"/>
      <c r="Y17" s="3409"/>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09"/>
      <c r="Q18" s="1558"/>
      <c r="R18" s="1559"/>
      <c r="S18" s="1560"/>
      <c r="T18" s="1559"/>
      <c r="U18" s="1560"/>
      <c r="V18" s="1559"/>
      <c r="W18" s="1560"/>
      <c r="X18" s="1553"/>
      <c r="Y18" s="3409"/>
      <c r="Z18" s="1561"/>
      <c r="AA18" s="1562">
        <v>1</v>
      </c>
      <c r="AB18" s="1562">
        <v>1</v>
      </c>
      <c r="AC18" s="1562">
        <v>1</v>
      </c>
    </row>
    <row r="19" spans="1:29" ht="41.4">
      <c r="A19" s="532"/>
      <c r="B19" s="2564" t="s">
        <v>2541</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7"/>
      <c r="M19" s="2119"/>
      <c r="N19" s="2119"/>
      <c r="O19" s="2126"/>
      <c r="P19" s="3409"/>
      <c r="Q19" s="1558" t="str">
        <f>B19</f>
        <v>公共配套设施</v>
      </c>
      <c r="R19" s="1559" t="s">
        <v>8</v>
      </c>
      <c r="S19" s="1560">
        <f>F19</f>
        <v>100</v>
      </c>
      <c r="T19" s="1559" t="s">
        <v>8</v>
      </c>
      <c r="U19" s="1560">
        <f>H19</f>
        <v>100</v>
      </c>
      <c r="V19" s="1559" t="s">
        <v>8</v>
      </c>
      <c r="W19" s="1560">
        <f>J19</f>
        <v>100</v>
      </c>
      <c r="X19" s="1553"/>
      <c r="Y19" s="3409"/>
      <c r="Z19" s="1561" t="str">
        <f>Q19</f>
        <v>公共配套设施</v>
      </c>
      <c r="AA19" s="1562">
        <f t="shared" si="3"/>
        <v>1</v>
      </c>
      <c r="AB19" s="1562">
        <f t="shared" si="4"/>
        <v>1</v>
      </c>
      <c r="AC19" s="1562">
        <f t="shared" si="5"/>
        <v>1</v>
      </c>
    </row>
    <row r="20" spans="1:29" ht="15">
      <c r="A20" s="532"/>
      <c r="B20" s="595"/>
      <c r="C20" s="576"/>
      <c r="D20" s="555"/>
      <c r="E20" s="556"/>
      <c r="F20" s="557"/>
      <c r="G20" s="558"/>
      <c r="H20" s="555"/>
      <c r="I20" s="556"/>
      <c r="J20" s="555"/>
      <c r="K20" s="899"/>
      <c r="L20" s="2127"/>
      <c r="M20" s="2119"/>
      <c r="N20" s="2119"/>
      <c r="O20" s="2126"/>
      <c r="P20" s="3409"/>
      <c r="Q20" s="1558"/>
      <c r="R20" s="1559"/>
      <c r="S20" s="1560"/>
      <c r="T20" s="1559"/>
      <c r="U20" s="1560"/>
      <c r="V20" s="1559"/>
      <c r="W20" s="1560"/>
      <c r="X20" s="1553"/>
      <c r="Y20" s="3409"/>
      <c r="Z20" s="1561"/>
      <c r="AA20" s="1562">
        <v>1</v>
      </c>
      <c r="AB20" s="1562">
        <v>1</v>
      </c>
      <c r="AC20" s="1562">
        <v>1</v>
      </c>
    </row>
    <row r="21" spans="1:29" ht="41.4">
      <c r="A21" s="532"/>
      <c r="B21" s="2557" t="s">
        <v>2553</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7"/>
      <c r="M21" s="2119"/>
      <c r="N21" s="2119"/>
      <c r="O21" s="2126"/>
      <c r="P21" s="3409"/>
      <c r="Q21" s="2543" t="str">
        <f>B21</f>
        <v>基础设施水平</v>
      </c>
      <c r="R21" s="1559" t="s">
        <v>8</v>
      </c>
      <c r="S21" s="1560">
        <f>F21</f>
        <v>100</v>
      </c>
      <c r="T21" s="1559" t="s">
        <v>8</v>
      </c>
      <c r="U21" s="1560">
        <f>H21</f>
        <v>100</v>
      </c>
      <c r="V21" s="1559" t="s">
        <v>8</v>
      </c>
      <c r="W21" s="1560">
        <f>J21</f>
        <v>100</v>
      </c>
      <c r="X21" s="2545"/>
      <c r="Y21" s="3409"/>
      <c r="Z21" s="2544" t="str">
        <f>Q21</f>
        <v>基础设施水平</v>
      </c>
      <c r="AA21" s="1562">
        <f t="shared" ref="AA21" si="8">D21/F21</f>
        <v>1</v>
      </c>
      <c r="AB21" s="1562">
        <f t="shared" ref="AB21" si="9">D21/H21</f>
        <v>1</v>
      </c>
      <c r="AC21" s="1562">
        <f t="shared" ref="AC21" si="10">D21/J21</f>
        <v>1</v>
      </c>
    </row>
    <row r="22" spans="1:29" ht="15">
      <c r="A22" s="532"/>
      <c r="B22" s="922"/>
      <c r="C22" s="873"/>
      <c r="D22" s="555"/>
      <c r="E22" s="576"/>
      <c r="F22" s="557"/>
      <c r="G22" s="576"/>
      <c r="H22" s="555"/>
      <c r="I22" s="576"/>
      <c r="J22" s="555"/>
      <c r="K22" s="2566"/>
      <c r="L22" s="2127"/>
      <c r="M22" s="2119"/>
      <c r="N22" s="2119"/>
      <c r="O22" s="2126"/>
      <c r="P22" s="3409"/>
      <c r="Q22" s="2543"/>
      <c r="R22" s="1559"/>
      <c r="S22" s="1560"/>
      <c r="T22" s="1559"/>
      <c r="U22" s="1560"/>
      <c r="V22" s="1559"/>
      <c r="W22" s="1560"/>
      <c r="X22" s="2545"/>
      <c r="Y22" s="3409"/>
      <c r="Z22" s="2544"/>
      <c r="AA22" s="1562">
        <v>1</v>
      </c>
      <c r="AB22" s="1562">
        <v>1</v>
      </c>
      <c r="AC22" s="1562">
        <v>1</v>
      </c>
    </row>
    <row r="23" spans="1:29" ht="55.2">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7"/>
      <c r="M23" s="2119"/>
      <c r="N23" s="2119"/>
      <c r="O23" s="2126"/>
      <c r="P23" s="3409"/>
      <c r="Q23" s="1558" t="str">
        <f>B23</f>
        <v>自然及人文环境</v>
      </c>
      <c r="R23" s="1559" t="s">
        <v>8</v>
      </c>
      <c r="S23" s="1560">
        <f>F23</f>
        <v>100</v>
      </c>
      <c r="T23" s="1559" t="s">
        <v>8</v>
      </c>
      <c r="U23" s="1560">
        <f>H23</f>
        <v>100</v>
      </c>
      <c r="V23" s="1559" t="s">
        <v>8</v>
      </c>
      <c r="W23" s="1560">
        <f>J23</f>
        <v>100</v>
      </c>
      <c r="X23" s="1553"/>
      <c r="Y23" s="3409"/>
      <c r="Z23" s="1561" t="str">
        <f>Q23</f>
        <v>自然及人文环境</v>
      </c>
      <c r="AA23" s="1562">
        <f t="shared" si="3"/>
        <v>1</v>
      </c>
      <c r="AB23" s="1562">
        <f t="shared" si="4"/>
        <v>1</v>
      </c>
      <c r="AC23" s="1562">
        <f t="shared" si="5"/>
        <v>1</v>
      </c>
    </row>
    <row r="24" spans="1:29" ht="15">
      <c r="A24" s="532"/>
      <c r="B24" s="595"/>
      <c r="C24" s="576"/>
      <c r="D24" s="555"/>
      <c r="E24" s="556"/>
      <c r="F24" s="557"/>
      <c r="G24" s="558"/>
      <c r="H24" s="555"/>
      <c r="I24" s="556"/>
      <c r="J24" s="555"/>
      <c r="K24" s="899"/>
      <c r="L24" s="2127"/>
      <c r="M24" s="2119"/>
      <c r="N24" s="2119"/>
      <c r="O24" s="2126"/>
      <c r="P24" s="3409"/>
      <c r="Q24" s="1558"/>
      <c r="R24" s="1559"/>
      <c r="S24" s="1560"/>
      <c r="T24" s="1559"/>
      <c r="U24" s="1560"/>
      <c r="V24" s="1559"/>
      <c r="W24" s="1560"/>
      <c r="X24" s="1553"/>
      <c r="Y24" s="3409"/>
      <c r="Z24" s="1561"/>
      <c r="AA24" s="1562">
        <v>1</v>
      </c>
      <c r="AB24" s="1562">
        <v>1</v>
      </c>
      <c r="AC24" s="1562">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7"/>
      <c r="M25" s="2119"/>
      <c r="N25" s="2119"/>
      <c r="O25" s="2126"/>
      <c r="P25" s="3409"/>
      <c r="Q25" s="1558" t="str">
        <f t="shared" ref="Q25:Q46" si="11">B25</f>
        <v>临街状况</v>
      </c>
      <c r="R25" s="1559" t="s">
        <v>8</v>
      </c>
      <c r="S25" s="1560">
        <f>F25</f>
        <v>100</v>
      </c>
      <c r="T25" s="1559" t="s">
        <v>8</v>
      </c>
      <c r="U25" s="1560">
        <f>H25</f>
        <v>100</v>
      </c>
      <c r="V25" s="1559" t="s">
        <v>8</v>
      </c>
      <c r="W25" s="1560">
        <f>J25</f>
        <v>100</v>
      </c>
      <c r="X25" s="1553"/>
      <c r="Y25" s="3409"/>
      <c r="Z25" s="1561" t="str">
        <f>Q25</f>
        <v>临街状况</v>
      </c>
      <c r="AA25" s="1562">
        <f t="shared" si="3"/>
        <v>1</v>
      </c>
      <c r="AB25" s="1562">
        <f t="shared" si="4"/>
        <v>1</v>
      </c>
      <c r="AC25" s="1562">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7"/>
      <c r="M26" s="2119"/>
      <c r="N26" s="2119"/>
      <c r="O26" s="2126"/>
      <c r="P26" s="3409"/>
      <c r="Q26" s="1558" t="str">
        <f t="shared" si="11"/>
        <v>平面位置/可视性</v>
      </c>
      <c r="R26" s="1559" t="s">
        <v>8</v>
      </c>
      <c r="S26" s="1560">
        <f>F26</f>
        <v>100</v>
      </c>
      <c r="T26" s="1559" t="s">
        <v>8</v>
      </c>
      <c r="U26" s="1560">
        <f>H26</f>
        <v>100</v>
      </c>
      <c r="V26" s="1559" t="s">
        <v>8</v>
      </c>
      <c r="W26" s="1560">
        <f>J26</f>
        <v>100</v>
      </c>
      <c r="X26" s="1553"/>
      <c r="Y26" s="3409"/>
      <c r="Z26" s="1561" t="str">
        <f>Q26</f>
        <v>平面位置/可视性</v>
      </c>
      <c r="AA26" s="1562">
        <f t="shared" si="3"/>
        <v>1</v>
      </c>
      <c r="AB26" s="1562">
        <f t="shared" si="4"/>
        <v>1</v>
      </c>
      <c r="AC26" s="1562">
        <f t="shared" si="5"/>
        <v>1</v>
      </c>
    </row>
    <row r="27" spans="1:29" s="1215"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0"/>
      <c r="M27" s="2121"/>
      <c r="N27" s="2121"/>
      <c r="O27" s="2122"/>
      <c r="P27" s="3409"/>
      <c r="Q27" s="1146" t="str">
        <f t="shared" si="11"/>
        <v>人流量</v>
      </c>
      <c r="R27" s="1554" t="s">
        <v>8</v>
      </c>
      <c r="S27" s="1555">
        <f>F27</f>
        <v>100</v>
      </c>
      <c r="T27" s="1554" t="s">
        <v>8</v>
      </c>
      <c r="U27" s="1555">
        <f>H27</f>
        <v>100</v>
      </c>
      <c r="V27" s="1554" t="s">
        <v>8</v>
      </c>
      <c r="W27" s="1555">
        <f>J27</f>
        <v>100</v>
      </c>
      <c r="X27" s="1556"/>
      <c r="Y27" s="3409"/>
      <c r="Z27" s="1145" t="str">
        <f>Q27</f>
        <v>人流量</v>
      </c>
      <c r="AA27" s="1562">
        <f>D27/F27</f>
        <v>1</v>
      </c>
      <c r="AB27" s="1562">
        <f>D27/H27</f>
        <v>1</v>
      </c>
      <c r="AC27" s="1562">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7"/>
      <c r="M28" s="2119"/>
      <c r="N28" s="2119"/>
      <c r="O28" s="2126"/>
      <c r="P28" s="3409"/>
      <c r="Q28" s="1558" t="str">
        <f t="shared" si="11"/>
        <v>楼层</v>
      </c>
      <c r="R28" s="1559" t="s">
        <v>8</v>
      </c>
      <c r="S28" s="1560">
        <f t="shared" ref="S28:S46" si="12">F28</f>
        <v>100</v>
      </c>
      <c r="T28" s="1559" t="s">
        <v>8</v>
      </c>
      <c r="U28" s="1560">
        <f t="shared" ref="U28:U46" si="13">H28</f>
        <v>100</v>
      </c>
      <c r="V28" s="1559" t="s">
        <v>8</v>
      </c>
      <c r="W28" s="1560">
        <f t="shared" ref="W28:W46" si="14">J28</f>
        <v>100</v>
      </c>
      <c r="X28" s="1553"/>
      <c r="Y28" s="3409"/>
      <c r="Z28" s="1561" t="str">
        <f t="shared" ref="Z28:Z46" si="15">Q28</f>
        <v>楼层</v>
      </c>
      <c r="AA28" s="1562">
        <f t="shared" si="3"/>
        <v>1</v>
      </c>
      <c r="AB28" s="1562">
        <f t="shared" si="4"/>
        <v>1</v>
      </c>
      <c r="AC28" s="156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09"/>
      <c r="Q29" s="1558">
        <f t="shared" si="11"/>
        <v>111</v>
      </c>
      <c r="R29" s="1559" t="s">
        <v>8</v>
      </c>
      <c r="S29" s="1560">
        <f t="shared" si="12"/>
        <v>100</v>
      </c>
      <c r="T29" s="1559" t="s">
        <v>8</v>
      </c>
      <c r="U29" s="1560">
        <f t="shared" si="13"/>
        <v>100</v>
      </c>
      <c r="V29" s="1559" t="s">
        <v>8</v>
      </c>
      <c r="W29" s="1560">
        <f t="shared" si="14"/>
        <v>100</v>
      </c>
      <c r="X29" s="1553"/>
      <c r="Y29" s="3409"/>
      <c r="Z29" s="1561">
        <f t="shared" si="15"/>
        <v>111</v>
      </c>
      <c r="AA29" s="1562">
        <f t="shared" si="3"/>
        <v>1</v>
      </c>
      <c r="AB29" s="1562">
        <f t="shared" si="4"/>
        <v>1</v>
      </c>
      <c r="AC29" s="156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09"/>
      <c r="Q30" s="1558">
        <f t="shared" si="11"/>
        <v>111</v>
      </c>
      <c r="R30" s="1559" t="s">
        <v>8</v>
      </c>
      <c r="S30" s="1560">
        <f t="shared" si="12"/>
        <v>100</v>
      </c>
      <c r="T30" s="1559" t="s">
        <v>8</v>
      </c>
      <c r="U30" s="1560">
        <f t="shared" si="13"/>
        <v>100</v>
      </c>
      <c r="V30" s="1559" t="s">
        <v>8</v>
      </c>
      <c r="W30" s="1560">
        <f t="shared" si="14"/>
        <v>100</v>
      </c>
      <c r="X30" s="1553"/>
      <c r="Y30" s="3409"/>
      <c r="Z30" s="1561">
        <f t="shared" si="15"/>
        <v>111</v>
      </c>
      <c r="AA30" s="1562">
        <f t="shared" si="3"/>
        <v>1</v>
      </c>
      <c r="AB30" s="1562">
        <f t="shared" si="4"/>
        <v>1</v>
      </c>
      <c r="AC30" s="1562">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09"/>
      <c r="Q31" s="1558">
        <f t="shared" si="11"/>
        <v>111</v>
      </c>
      <c r="R31" s="1559" t="s">
        <v>8</v>
      </c>
      <c r="S31" s="1560">
        <f t="shared" si="12"/>
        <v>100</v>
      </c>
      <c r="T31" s="1559" t="s">
        <v>8</v>
      </c>
      <c r="U31" s="1560">
        <f t="shared" si="13"/>
        <v>100</v>
      </c>
      <c r="V31" s="1559" t="s">
        <v>8</v>
      </c>
      <c r="W31" s="1560">
        <f t="shared" si="14"/>
        <v>100</v>
      </c>
      <c r="X31" s="1553"/>
      <c r="Y31" s="3409"/>
      <c r="Z31" s="1561">
        <f t="shared" si="15"/>
        <v>111</v>
      </c>
      <c r="AA31" s="1562">
        <f t="shared" si="3"/>
        <v>1</v>
      </c>
      <c r="AB31" s="1562">
        <f t="shared" si="4"/>
        <v>1</v>
      </c>
      <c r="AC31" s="1562">
        <f t="shared" si="5"/>
        <v>1</v>
      </c>
    </row>
    <row r="32" spans="1:29" ht="15">
      <c r="A32" s="2862"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7"/>
      <c r="M32" s="2119"/>
      <c r="N32" s="2119"/>
      <c r="O32" s="2126"/>
      <c r="P32" s="3410" t="s">
        <v>550</v>
      </c>
      <c r="Q32" s="1558" t="str">
        <f t="shared" si="11"/>
        <v>商业类型</v>
      </c>
      <c r="R32" s="1559" t="s">
        <v>8</v>
      </c>
      <c r="S32" s="1560">
        <f t="shared" si="12"/>
        <v>100</v>
      </c>
      <c r="T32" s="1559" t="s">
        <v>8</v>
      </c>
      <c r="U32" s="1560">
        <f t="shared" si="13"/>
        <v>100</v>
      </c>
      <c r="V32" s="1559" t="s">
        <v>8</v>
      </c>
      <c r="W32" s="1560">
        <f t="shared" si="14"/>
        <v>100</v>
      </c>
      <c r="X32" s="1553"/>
      <c r="Y32" s="3411" t="s">
        <v>550</v>
      </c>
      <c r="Z32" s="1561" t="str">
        <f t="shared" si="15"/>
        <v>商业类型</v>
      </c>
      <c r="AA32" s="1562">
        <f t="shared" si="3"/>
        <v>1</v>
      </c>
      <c r="AB32" s="1562">
        <f t="shared" si="4"/>
        <v>1</v>
      </c>
      <c r="AC32" s="1562">
        <f t="shared" si="5"/>
        <v>1</v>
      </c>
    </row>
    <row r="33" spans="1:29" s="1334"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5"/>
      <c r="M33" s="2156"/>
      <c r="N33" s="2156"/>
      <c r="O33" s="2128"/>
      <c r="P33" s="3411"/>
      <c r="Q33" s="1590" t="str">
        <f t="shared" si="11"/>
        <v>项目建筑规模</v>
      </c>
      <c r="R33" s="1563" t="s">
        <v>8</v>
      </c>
      <c r="S33" s="1564" t="e">
        <f t="shared" si="12"/>
        <v>#N/A</v>
      </c>
      <c r="T33" s="1563" t="s">
        <v>8</v>
      </c>
      <c r="U33" s="1564" t="e">
        <f t="shared" si="13"/>
        <v>#N/A</v>
      </c>
      <c r="V33" s="1563" t="s">
        <v>8</v>
      </c>
      <c r="W33" s="1564" t="e">
        <f t="shared" si="14"/>
        <v>#N/A</v>
      </c>
      <c r="X33" s="1565"/>
      <c r="Y33" s="3411"/>
      <c r="Z33" s="1566" t="str">
        <f t="shared" si="15"/>
        <v>项目建筑规模</v>
      </c>
      <c r="AA33" s="1562" t="e">
        <f t="shared" si="3"/>
        <v>#N/A</v>
      </c>
      <c r="AB33" s="1562" t="e">
        <f t="shared" si="4"/>
        <v>#N/A</v>
      </c>
      <c r="AC33" s="1562"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7"/>
      <c r="M34" s="2119"/>
      <c r="N34" s="2119"/>
      <c r="O34" s="2126"/>
      <c r="P34" s="3411"/>
      <c r="Q34" s="1558" t="str">
        <f t="shared" si="11"/>
        <v>建筑结构</v>
      </c>
      <c r="R34" s="1559" t="s">
        <v>8</v>
      </c>
      <c r="S34" s="1560">
        <f t="shared" si="12"/>
        <v>100</v>
      </c>
      <c r="T34" s="1559" t="s">
        <v>8</v>
      </c>
      <c r="U34" s="1560">
        <f t="shared" si="13"/>
        <v>100</v>
      </c>
      <c r="V34" s="1559" t="s">
        <v>8</v>
      </c>
      <c r="W34" s="1560">
        <f t="shared" si="14"/>
        <v>100</v>
      </c>
      <c r="X34" s="1553"/>
      <c r="Y34" s="3411"/>
      <c r="Z34" s="1561" t="str">
        <f t="shared" si="15"/>
        <v>建筑结构</v>
      </c>
      <c r="AA34" s="1562">
        <f t="shared" si="3"/>
        <v>1</v>
      </c>
      <c r="AB34" s="1562">
        <f t="shared" si="4"/>
        <v>1</v>
      </c>
      <c r="AC34" s="1562">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7"/>
      <c r="M35" s="2119"/>
      <c r="N35" s="2119"/>
      <c r="O35" s="2126"/>
      <c r="P35" s="3411"/>
      <c r="Q35" s="1558" t="str">
        <f t="shared" si="11"/>
        <v>公共部分装修</v>
      </c>
      <c r="R35" s="1559" t="s">
        <v>8</v>
      </c>
      <c r="S35" s="1560">
        <f t="shared" si="12"/>
        <v>100</v>
      </c>
      <c r="T35" s="1559" t="s">
        <v>8</v>
      </c>
      <c r="U35" s="1560">
        <f t="shared" si="13"/>
        <v>100</v>
      </c>
      <c r="V35" s="1559" t="s">
        <v>8</v>
      </c>
      <c r="W35" s="1560">
        <f t="shared" si="14"/>
        <v>100</v>
      </c>
      <c r="X35" s="1553"/>
      <c r="Y35" s="3411"/>
      <c r="Z35" s="1561" t="str">
        <f t="shared" si="15"/>
        <v>公共部分装修</v>
      </c>
      <c r="AA35" s="1562">
        <f t="shared" si="3"/>
        <v>1</v>
      </c>
      <c r="AB35" s="1562">
        <f t="shared" si="4"/>
        <v>1</v>
      </c>
      <c r="AC35" s="1562">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7"/>
      <c r="M36" s="2119"/>
      <c r="N36" s="2119"/>
      <c r="O36" s="2126"/>
      <c r="P36" s="3411"/>
      <c r="Q36" s="1558" t="str">
        <f t="shared" si="11"/>
        <v>成新度</v>
      </c>
      <c r="R36" s="1559" t="s">
        <v>8</v>
      </c>
      <c r="S36" s="1560" t="e">
        <f t="shared" si="12"/>
        <v>#N/A</v>
      </c>
      <c r="T36" s="1559" t="s">
        <v>8</v>
      </c>
      <c r="U36" s="1560" t="e">
        <f t="shared" si="13"/>
        <v>#N/A</v>
      </c>
      <c r="V36" s="1559" t="s">
        <v>8</v>
      </c>
      <c r="W36" s="1560" t="e">
        <f t="shared" si="14"/>
        <v>#N/A</v>
      </c>
      <c r="X36" s="1553"/>
      <c r="Y36" s="3411"/>
      <c r="Z36" s="1561" t="str">
        <f t="shared" si="15"/>
        <v>成新度</v>
      </c>
      <c r="AA36" s="1562" t="e">
        <f t="shared" si="3"/>
        <v>#N/A</v>
      </c>
      <c r="AB36" s="1562" t="e">
        <f t="shared" si="4"/>
        <v>#N/A</v>
      </c>
      <c r="AC36" s="1562" t="e">
        <f t="shared" si="5"/>
        <v>#N/A</v>
      </c>
    </row>
    <row r="37" spans="1:29" s="1215" customFormat="1" ht="15">
      <c r="A37" s="600"/>
      <c r="B37" s="1880"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0"/>
      <c r="M37" s="2121"/>
      <c r="N37" s="2121"/>
      <c r="O37" s="2122"/>
      <c r="P37" s="3411"/>
      <c r="Q37" s="1146" t="str">
        <f t="shared" si="11"/>
        <v>市政基础设施</v>
      </c>
      <c r="R37" s="1554" t="s">
        <v>8</v>
      </c>
      <c r="S37" s="1555">
        <f t="shared" si="12"/>
        <v>100</v>
      </c>
      <c r="T37" s="1554" t="s">
        <v>8</v>
      </c>
      <c r="U37" s="1555">
        <f t="shared" si="13"/>
        <v>100</v>
      </c>
      <c r="V37" s="1554" t="s">
        <v>8</v>
      </c>
      <c r="W37" s="1555">
        <f t="shared" si="14"/>
        <v>100</v>
      </c>
      <c r="X37" s="1556"/>
      <c r="Y37" s="3411"/>
      <c r="Z37" s="1145" t="str">
        <f t="shared" si="15"/>
        <v>市政基础设施</v>
      </c>
      <c r="AA37" s="1557">
        <f t="shared" si="3"/>
        <v>1</v>
      </c>
      <c r="AB37" s="1557">
        <f t="shared" si="4"/>
        <v>1</v>
      </c>
      <c r="AC37" s="155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7"/>
      <c r="M38" s="2119"/>
      <c r="N38" s="2119"/>
      <c r="O38" s="2126"/>
      <c r="P38" s="3411" t="s">
        <v>766</v>
      </c>
      <c r="Q38" s="1558" t="str">
        <f t="shared" si="11"/>
        <v>业态</v>
      </c>
      <c r="R38" s="1559" t="s">
        <v>8</v>
      </c>
      <c r="S38" s="1560">
        <f t="shared" si="12"/>
        <v>100</v>
      </c>
      <c r="T38" s="1559" t="s">
        <v>8</v>
      </c>
      <c r="U38" s="1560">
        <f t="shared" si="13"/>
        <v>100</v>
      </c>
      <c r="V38" s="1559" t="s">
        <v>8</v>
      </c>
      <c r="W38" s="1560">
        <f t="shared" si="14"/>
        <v>100</v>
      </c>
      <c r="X38" s="1553"/>
      <c r="Y38" s="3411" t="s">
        <v>766</v>
      </c>
      <c r="Z38" s="1561" t="str">
        <f t="shared" si="15"/>
        <v>业态</v>
      </c>
      <c r="AA38" s="1562">
        <f t="shared" si="3"/>
        <v>1</v>
      </c>
      <c r="AB38" s="1562">
        <f t="shared" si="4"/>
        <v>1</v>
      </c>
      <c r="AC38" s="156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1"/>
      <c r="Q39" s="1558" t="str">
        <f t="shared" si="11"/>
        <v>层高</v>
      </c>
      <c r="R39" s="1559" t="s">
        <v>8</v>
      </c>
      <c r="S39" s="1560">
        <f t="shared" si="12"/>
        <v>100</v>
      </c>
      <c r="T39" s="1559" t="s">
        <v>8</v>
      </c>
      <c r="U39" s="1560">
        <f t="shared" si="13"/>
        <v>100</v>
      </c>
      <c r="V39" s="1559" t="s">
        <v>8</v>
      </c>
      <c r="W39" s="1560">
        <f t="shared" si="14"/>
        <v>100</v>
      </c>
      <c r="X39" s="1553"/>
      <c r="Y39" s="3411"/>
      <c r="Z39" s="1561" t="str">
        <f t="shared" si="15"/>
        <v>层高</v>
      </c>
      <c r="AA39" s="1562">
        <f t="shared" si="3"/>
        <v>1</v>
      </c>
      <c r="AB39" s="1562">
        <f t="shared" si="4"/>
        <v>1</v>
      </c>
      <c r="AC39" s="1562">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11"/>
      <c r="Q40" s="1558" t="str">
        <f t="shared" si="11"/>
        <v>单套建筑面积</v>
      </c>
      <c r="R40" s="1559" t="s">
        <v>8</v>
      </c>
      <c r="S40" s="1560">
        <f t="shared" si="12"/>
        <v>100</v>
      </c>
      <c r="T40" s="1559" t="s">
        <v>8</v>
      </c>
      <c r="U40" s="1560">
        <f t="shared" si="13"/>
        <v>100</v>
      </c>
      <c r="V40" s="1559" t="s">
        <v>8</v>
      </c>
      <c r="W40" s="1560">
        <f t="shared" si="14"/>
        <v>100</v>
      </c>
      <c r="X40" s="1553"/>
      <c r="Y40" s="3411"/>
      <c r="Z40" s="1561" t="str">
        <f t="shared" si="15"/>
        <v>单套建筑面积</v>
      </c>
      <c r="AA40" s="1562">
        <f t="shared" si="3"/>
        <v>1</v>
      </c>
      <c r="AB40" s="1562">
        <f t="shared" si="4"/>
        <v>1</v>
      </c>
      <c r="AC40" s="1562">
        <f t="shared" si="5"/>
        <v>1</v>
      </c>
    </row>
    <row r="41" spans="1:29" s="1334"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5"/>
      <c r="M41" s="2156"/>
      <c r="N41" s="2156"/>
      <c r="O41" s="2128"/>
      <c r="P41" s="3411"/>
      <c r="Q41" s="1590" t="str">
        <f t="shared" si="11"/>
        <v>进深比</v>
      </c>
      <c r="R41" s="1563" t="s">
        <v>8</v>
      </c>
      <c r="S41" s="1564">
        <f t="shared" si="12"/>
        <v>100</v>
      </c>
      <c r="T41" s="1563" t="s">
        <v>8</v>
      </c>
      <c r="U41" s="1564">
        <f t="shared" si="13"/>
        <v>100</v>
      </c>
      <c r="V41" s="1563" t="s">
        <v>8</v>
      </c>
      <c r="W41" s="1564">
        <f t="shared" si="14"/>
        <v>100</v>
      </c>
      <c r="X41" s="1565"/>
      <c r="Y41" s="3411"/>
      <c r="Z41" s="1566" t="str">
        <f t="shared" si="15"/>
        <v>进深比</v>
      </c>
      <c r="AA41" s="1562">
        <f t="shared" si="3"/>
        <v>1</v>
      </c>
      <c r="AB41" s="1562">
        <f t="shared" si="4"/>
        <v>1</v>
      </c>
      <c r="AC41" s="1562">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7"/>
      <c r="M42" s="2119"/>
      <c r="N42" s="2119"/>
      <c r="O42" s="2126"/>
      <c r="P42" s="3411"/>
      <c r="Q42" s="1558" t="str">
        <f t="shared" si="11"/>
        <v>内部装修</v>
      </c>
      <c r="R42" s="1559" t="s">
        <v>8</v>
      </c>
      <c r="S42" s="1560">
        <f t="shared" si="12"/>
        <v>100</v>
      </c>
      <c r="T42" s="1559" t="s">
        <v>8</v>
      </c>
      <c r="U42" s="1560">
        <f t="shared" si="13"/>
        <v>100</v>
      </c>
      <c r="V42" s="1559" t="s">
        <v>8</v>
      </c>
      <c r="W42" s="1560">
        <f t="shared" si="14"/>
        <v>100</v>
      </c>
      <c r="X42" s="1553"/>
      <c r="Y42" s="3411"/>
      <c r="Z42" s="1561" t="str">
        <f t="shared" si="15"/>
        <v>内部装修</v>
      </c>
      <c r="AA42" s="1562">
        <f t="shared" si="3"/>
        <v>1</v>
      </c>
      <c r="AB42" s="1562">
        <f t="shared" si="4"/>
        <v>1</v>
      </c>
      <c r="AC42" s="1562">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7"/>
      <c r="M43" s="2119"/>
      <c r="N43" s="2119"/>
      <c r="O43" s="2126"/>
      <c r="P43" s="3411"/>
      <c r="Q43" s="1558" t="str">
        <f t="shared" si="11"/>
        <v>内部装修维护情况</v>
      </c>
      <c r="R43" s="1559" t="s">
        <v>8</v>
      </c>
      <c r="S43" s="1560">
        <f t="shared" si="12"/>
        <v>100</v>
      </c>
      <c r="T43" s="1559" t="s">
        <v>8</v>
      </c>
      <c r="U43" s="1560">
        <f t="shared" si="13"/>
        <v>100</v>
      </c>
      <c r="V43" s="1559" t="s">
        <v>8</v>
      </c>
      <c r="W43" s="1560">
        <f t="shared" si="14"/>
        <v>100</v>
      </c>
      <c r="X43" s="1553"/>
      <c r="Y43" s="3411"/>
      <c r="Z43" s="1561" t="str">
        <f t="shared" si="15"/>
        <v>内部装修维护情况</v>
      </c>
      <c r="AA43" s="1562">
        <f t="shared" si="3"/>
        <v>1</v>
      </c>
      <c r="AB43" s="1562">
        <f t="shared" si="4"/>
        <v>1</v>
      </c>
      <c r="AC43" s="1562">
        <f t="shared" si="5"/>
        <v>1</v>
      </c>
    </row>
    <row r="44" spans="1:29" s="1215"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11"/>
      <c r="Q44" s="1146">
        <f t="shared" si="11"/>
        <v>111</v>
      </c>
      <c r="R44" s="1554" t="s">
        <v>8</v>
      </c>
      <c r="S44" s="1555">
        <f t="shared" si="12"/>
        <v>100</v>
      </c>
      <c r="T44" s="1554" t="s">
        <v>8</v>
      </c>
      <c r="U44" s="1555">
        <f t="shared" si="13"/>
        <v>100</v>
      </c>
      <c r="V44" s="1554" t="s">
        <v>8</v>
      </c>
      <c r="W44" s="1555">
        <f t="shared" si="14"/>
        <v>100</v>
      </c>
      <c r="X44" s="1556"/>
      <c r="Y44" s="3411"/>
      <c r="Z44" s="1145">
        <f t="shared" si="15"/>
        <v>111</v>
      </c>
      <c r="AA44" s="1557">
        <f t="shared" si="3"/>
        <v>1</v>
      </c>
      <c r="AB44" s="1557">
        <f t="shared" si="4"/>
        <v>1</v>
      </c>
      <c r="AC44" s="155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11"/>
      <c r="Q45" s="1558">
        <f t="shared" si="11"/>
        <v>111</v>
      </c>
      <c r="R45" s="1559" t="s">
        <v>8</v>
      </c>
      <c r="S45" s="1560">
        <f t="shared" si="12"/>
        <v>100</v>
      </c>
      <c r="T45" s="1559" t="s">
        <v>8</v>
      </c>
      <c r="U45" s="1560">
        <f t="shared" si="13"/>
        <v>100</v>
      </c>
      <c r="V45" s="1559" t="s">
        <v>8</v>
      </c>
      <c r="W45" s="1560">
        <f t="shared" si="14"/>
        <v>100</v>
      </c>
      <c r="X45" s="1553"/>
      <c r="Y45" s="3411"/>
      <c r="Z45" s="1561">
        <f t="shared" si="15"/>
        <v>111</v>
      </c>
      <c r="AA45" s="1562">
        <f t="shared" si="3"/>
        <v>1</v>
      </c>
      <c r="AB45" s="1562">
        <f t="shared" si="4"/>
        <v>1</v>
      </c>
      <c r="AC45" s="1562">
        <f t="shared" si="5"/>
        <v>1</v>
      </c>
    </row>
    <row r="46" spans="1:29" ht="15.6"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92"/>
      <c r="Q46" s="1558">
        <f t="shared" si="11"/>
        <v>111</v>
      </c>
      <c r="R46" s="1559" t="s">
        <v>8</v>
      </c>
      <c r="S46" s="1560">
        <f t="shared" si="12"/>
        <v>100</v>
      </c>
      <c r="T46" s="1559" t="s">
        <v>8</v>
      </c>
      <c r="U46" s="1560">
        <f t="shared" si="13"/>
        <v>100</v>
      </c>
      <c r="V46" s="1559" t="s">
        <v>8</v>
      </c>
      <c r="W46" s="1560">
        <f t="shared" si="14"/>
        <v>100</v>
      </c>
      <c r="X46" s="1553"/>
      <c r="Y46" s="3492"/>
      <c r="Z46" s="1561">
        <f t="shared" si="15"/>
        <v>111</v>
      </c>
      <c r="AA46" s="1562">
        <f t="shared" si="3"/>
        <v>1</v>
      </c>
      <c r="AB46" s="1562">
        <f t="shared" si="4"/>
        <v>1</v>
      </c>
      <c r="AC46" s="1562">
        <f t="shared" si="5"/>
        <v>1</v>
      </c>
    </row>
    <row r="47" spans="1:29" ht="14.4">
      <c r="A47" s="607" t="s">
        <v>736</v>
      </c>
      <c r="B47" s="887"/>
      <c r="C47" s="2591" t="s">
        <v>1</v>
      </c>
      <c r="D47" s="2592"/>
      <c r="E47" s="2593"/>
      <c r="F47" s="2594"/>
      <c r="G47" s="2595"/>
      <c r="H47" s="2596"/>
      <c r="I47" s="2593"/>
      <c r="J47" s="2596"/>
      <c r="K47" s="1596"/>
      <c r="L47" s="2129"/>
      <c r="M47" s="2130"/>
      <c r="N47" s="2119"/>
      <c r="O47" s="2130"/>
      <c r="P47" s="3374" t="str">
        <f>A47</f>
        <v>成交单价（元/平方米）</v>
      </c>
      <c r="Q47" s="3374"/>
      <c r="R47" s="3491">
        <f>E47</f>
        <v>0</v>
      </c>
      <c r="S47" s="3491"/>
      <c r="T47" s="3491">
        <f>G47</f>
        <v>0</v>
      </c>
      <c r="U47" s="3491"/>
      <c r="V47" s="3491">
        <f>I47</f>
        <v>0</v>
      </c>
      <c r="W47" s="3491"/>
      <c r="X47" s="1545"/>
      <c r="Y47" s="1567"/>
      <c r="Z47" s="1545"/>
      <c r="AA47" s="1545"/>
      <c r="AB47" s="1545"/>
      <c r="AC47" s="1545"/>
    </row>
    <row r="48" spans="1:29" ht="15" thickBot="1">
      <c r="A48" s="615" t="s">
        <v>2754</v>
      </c>
      <c r="B48" s="888"/>
      <c r="C48" s="2597" t="e">
        <f>R49</f>
        <v>#DIV/0!</v>
      </c>
      <c r="D48" s="2598"/>
      <c r="E48" s="2599" t="e">
        <f>R48</f>
        <v>#DIV/0!</v>
      </c>
      <c r="F48" s="2599"/>
      <c r="G48" s="2597" t="e">
        <f>T48</f>
        <v>#DIV/0!</v>
      </c>
      <c r="H48" s="2598"/>
      <c r="I48" s="2599" t="e">
        <f>V48</f>
        <v>#DIV/0!</v>
      </c>
      <c r="J48" s="2598"/>
      <c r="K48" s="1597"/>
      <c r="L48" s="2129"/>
      <c r="M48" s="2130"/>
      <c r="N48" s="2119"/>
      <c r="O48" s="2130"/>
      <c r="P48" s="3374" t="str">
        <f>A48</f>
        <v>比较价格（元/平方米）</v>
      </c>
      <c r="Q48" s="3374"/>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45"/>
      <c r="Y48" s="1545"/>
      <c r="Z48" s="1545"/>
      <c r="AA48" s="1545"/>
      <c r="AB48" s="1545"/>
      <c r="AC48" s="1545"/>
    </row>
    <row r="49" spans="1:29" ht="15" thickBot="1">
      <c r="A49" s="621" t="s">
        <v>2931</v>
      </c>
      <c r="B49" s="622"/>
      <c r="C49" s="2600" t="e">
        <f>R49</f>
        <v>#DIV/0!</v>
      </c>
      <c r="D49" s="2600"/>
      <c r="E49" s="2600"/>
      <c r="F49" s="2600"/>
      <c r="G49" s="2600"/>
      <c r="H49" s="2600"/>
      <c r="I49" s="2600"/>
      <c r="J49" s="2600"/>
      <c r="K49" s="1598"/>
      <c r="L49" s="2129"/>
      <c r="M49" s="2130"/>
      <c r="N49" s="2119"/>
      <c r="O49" s="2130"/>
      <c r="P49" s="3371" t="str">
        <f>A49</f>
        <v>估价对象XX用房的比较价格（楼面单价，元/平方米）</v>
      </c>
      <c r="Q49" s="3372"/>
      <c r="R49" s="3490" t="e">
        <f>IF(F1="售价",ROUND(AVERAGE(R48:V48),0),ROUND(AVERAGE(R48:V48),1))</f>
        <v>#DIV/0!</v>
      </c>
      <c r="S49" s="3490"/>
      <c r="T49" s="3490"/>
      <c r="U49" s="3490"/>
      <c r="V49" s="3490"/>
      <c r="W49" s="3490"/>
      <c r="X49" s="1545"/>
      <c r="Y49" s="1545"/>
      <c r="Z49" s="1545"/>
      <c r="AA49" s="1545"/>
      <c r="AB49" s="1545"/>
      <c r="AC49" s="1545"/>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4"/>
      <c r="L53" s="2135"/>
      <c r="M53" s="2130"/>
      <c r="N53" s="2130"/>
      <c r="O53" s="2130"/>
      <c r="P53" s="2130"/>
      <c r="Q53" s="2130"/>
      <c r="R53" s="2130"/>
      <c r="S53" s="2130"/>
      <c r="T53" s="2130"/>
      <c r="U53" s="2130"/>
      <c r="V53" s="2130"/>
      <c r="W53" s="2130"/>
      <c r="X53" s="2130"/>
      <c r="Y53" s="2130"/>
      <c r="Z53" s="2130"/>
      <c r="AA53" s="2130"/>
      <c r="AB53" s="2130"/>
      <c r="AC53" s="2130"/>
    </row>
    <row r="54" spans="1:29" s="1340" customFormat="1" ht="13.5" customHeight="1">
      <c r="A54" s="2131"/>
      <c r="B54" s="2131"/>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7"/>
      <c r="L54" s="2138"/>
      <c r="M54" s="2131"/>
      <c r="N54" s="2131"/>
      <c r="O54" s="2131"/>
      <c r="P54" s="2131"/>
      <c r="Q54" s="2131"/>
      <c r="R54" s="2131"/>
      <c r="S54" s="2131"/>
      <c r="T54" s="2131"/>
      <c r="U54" s="2131"/>
      <c r="V54" s="2131"/>
      <c r="W54" s="2131"/>
      <c r="X54" s="2131"/>
      <c r="Y54" s="2131"/>
      <c r="Z54" s="2131"/>
      <c r="AA54" s="2131"/>
      <c r="AB54" s="2131"/>
      <c r="AC54" s="2131"/>
    </row>
    <row r="55" spans="1:29" s="1340"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2.2" thickBot="1">
      <c r="A57" s="1570" t="s">
        <v>574</v>
      </c>
      <c r="B57" s="1545"/>
      <c r="C57" s="1569"/>
      <c r="D57" s="1569"/>
      <c r="E57" s="1569"/>
      <c r="F57" s="1571"/>
      <c r="G57" s="1571"/>
      <c r="H57" s="1569"/>
      <c r="I57" s="1569"/>
      <c r="J57" s="1569"/>
      <c r="K57" s="1572"/>
      <c r="L57" s="1568"/>
      <c r="M57" s="1569"/>
      <c r="N57" s="1569"/>
      <c r="O57" s="1569"/>
      <c r="P57" s="2142"/>
      <c r="Q57" s="2143"/>
      <c r="R57" s="2130"/>
      <c r="S57" s="2130"/>
      <c r="T57" s="2130"/>
      <c r="U57" s="2130"/>
      <c r="V57" s="2130"/>
      <c r="W57" s="2130"/>
      <c r="X57" s="2130"/>
      <c r="Y57" s="2130"/>
      <c r="Z57" s="2130"/>
      <c r="AA57" s="2130"/>
      <c r="AB57" s="2130"/>
      <c r="AC57" s="2130"/>
    </row>
    <row r="58" spans="1:29" s="1342" customFormat="1" ht="14.4">
      <c r="A58" s="645" t="s">
        <v>529</v>
      </c>
      <c r="B58" s="646"/>
      <c r="C58" s="2757" t="str">
        <f>YEAR(C7)&amp;"-"&amp;MONTH(C7)</f>
        <v>2020-6</v>
      </c>
      <c r="D58" s="2759">
        <f>EDATE(C58,-1)</f>
        <v>43952</v>
      </c>
      <c r="E58" s="2759">
        <f t="shared" ref="E58:O58" si="16">EDATE(D58,-1)</f>
        <v>43922</v>
      </c>
      <c r="F58" s="2759">
        <f t="shared" si="16"/>
        <v>43891</v>
      </c>
      <c r="G58" s="2759">
        <f t="shared" si="16"/>
        <v>43862</v>
      </c>
      <c r="H58" s="2759">
        <f t="shared" si="16"/>
        <v>43831</v>
      </c>
      <c r="I58" s="2759">
        <f t="shared" si="16"/>
        <v>43800</v>
      </c>
      <c r="J58" s="2759">
        <f t="shared" si="16"/>
        <v>43770</v>
      </c>
      <c r="K58" s="2759">
        <f t="shared" si="16"/>
        <v>43739</v>
      </c>
      <c r="L58" s="2759">
        <f t="shared" si="16"/>
        <v>43709</v>
      </c>
      <c r="M58" s="2759">
        <f t="shared" si="16"/>
        <v>43678</v>
      </c>
      <c r="N58" s="2759">
        <f t="shared" si="16"/>
        <v>43647</v>
      </c>
      <c r="O58" s="2759">
        <f t="shared" si="16"/>
        <v>43617</v>
      </c>
      <c r="P58" s="2145"/>
      <c r="Q58" s="2146"/>
      <c r="R58" s="2146"/>
      <c r="S58" s="2146"/>
      <c r="T58" s="2146"/>
      <c r="U58" s="2146"/>
      <c r="V58" s="2146"/>
      <c r="W58" s="2146"/>
      <c r="X58" s="2146"/>
      <c r="Y58" s="2146"/>
      <c r="Z58" s="2146"/>
      <c r="AA58" s="2146"/>
      <c r="AB58" s="2146"/>
      <c r="AC58" s="2146"/>
    </row>
    <row r="59" spans="1:29" s="1215" customFormat="1">
      <c r="A59" s="647"/>
      <c r="B59" s="648"/>
      <c r="C59" s="649">
        <v>100</v>
      </c>
      <c r="D59" s="650"/>
      <c r="E59" s="650"/>
      <c r="F59" s="650"/>
      <c r="G59" s="650"/>
      <c r="H59" s="650"/>
      <c r="I59" s="650"/>
      <c r="J59" s="650"/>
      <c r="K59" s="650"/>
      <c r="L59" s="650"/>
      <c r="M59" s="651"/>
      <c r="N59" s="650"/>
      <c r="O59" s="652"/>
      <c r="P59" s="2143"/>
      <c r="Q59" s="1978"/>
      <c r="R59" s="1978"/>
      <c r="S59" s="1978"/>
      <c r="T59" s="1978"/>
      <c r="U59" s="1978"/>
      <c r="V59" s="1978"/>
      <c r="W59" s="1978"/>
      <c r="X59" s="1978"/>
      <c r="Y59" s="1978"/>
      <c r="Z59" s="1978"/>
      <c r="AA59" s="1978"/>
      <c r="AB59" s="1978"/>
      <c r="AC59" s="1978"/>
    </row>
    <row r="60" spans="1:29" s="1215" customFormat="1" ht="1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5" customFormat="1" ht="14.4">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5" customFormat="1" ht="14.4"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0"/>
    </row>
    <row r="63" spans="1:29" ht="14.4">
      <c r="A63" s="664" t="s">
        <v>577</v>
      </c>
      <c r="B63" s="665" t="s">
        <v>534</v>
      </c>
      <c r="C63" s="704">
        <f>C9</f>
        <v>0</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4.4" thickBot="1">
      <c r="A64" s="669"/>
      <c r="B64" s="670"/>
      <c r="C64" s="671"/>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c r="A68" s="669"/>
      <c r="B68" s="683"/>
      <c r="C68" s="541"/>
      <c r="D68" s="541"/>
      <c r="E68" s="541"/>
      <c r="F68" s="541"/>
      <c r="G68" s="541"/>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4" customFormat="1" ht="14.4"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4" customFormat="1" ht="14.4"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4" customFormat="1" ht="14.4"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4" customFormat="1" ht="14.4"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4" customFormat="1" ht="14.4"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4" customFormat="1" ht="14.4"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ht="14.4">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 thickTop="1">
      <c r="A80" s="669"/>
      <c r="B80" s="1881" t="s">
        <v>2552</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 thickTop="1">
      <c r="A82" s="669"/>
      <c r="B82" s="2561" t="s">
        <v>2553</v>
      </c>
      <c r="C82" s="2562" t="s">
        <v>2554</v>
      </c>
      <c r="D82" s="2562" t="s">
        <v>2555</v>
      </c>
      <c r="E82" s="2562" t="s">
        <v>2556</v>
      </c>
      <c r="F82" s="2562" t="s">
        <v>2557</v>
      </c>
      <c r="G82" s="2562" t="s">
        <v>2558</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4.4" thickBot="1">
      <c r="A83" s="669"/>
      <c r="B83" s="681"/>
      <c r="C83" s="679">
        <v>100</v>
      </c>
      <c r="D83" s="679">
        <f>C83-$K21</f>
        <v>100</v>
      </c>
      <c r="E83" s="679">
        <f>D83-$K21</f>
        <v>100</v>
      </c>
      <c r="F83" s="679">
        <f>E83-$K21</f>
        <v>100</v>
      </c>
      <c r="G83" s="679">
        <f>F83-$K21</f>
        <v>100</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5" customFormat="1" ht="15" thickTop="1">
      <c r="A86" s="709"/>
      <c r="B86" s="673" t="s">
        <v>771</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5"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5" customFormat="1" ht="14.4" thickTop="1">
      <c r="A88" s="709"/>
      <c r="B88" s="673" t="str">
        <f>B26</f>
        <v>平面位置/可视性</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5" customFormat="1" ht="14.4" thickBot="1">
      <c r="A89" s="709"/>
      <c r="B89" s="678"/>
      <c r="C89" s="692"/>
      <c r="D89" s="671"/>
      <c r="E89" s="671"/>
      <c r="F89" s="671"/>
      <c r="G89" s="671"/>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4" customFormat="1" ht="14.4" thickTop="1">
      <c r="A90" s="687"/>
      <c r="B90" s="673" t="str">
        <f>B27</f>
        <v>人流量</v>
      </c>
      <c r="C90" s="688"/>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4"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4.4" thickTop="1">
      <c r="A92" s="669"/>
      <c r="B92" s="673" t="str">
        <f>B28</f>
        <v>楼层</v>
      </c>
      <c r="C92" s="688"/>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4.4" thickBot="1">
      <c r="A93" s="669"/>
      <c r="B93" s="678"/>
      <c r="C93" s="671"/>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4.4"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4.4"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4.4"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4.4"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4.4"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4.4"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ht="14.4">
      <c r="A100" s="664" t="s">
        <v>551</v>
      </c>
      <c r="B100" s="665" t="s">
        <v>772</v>
      </c>
      <c r="C100" s="598"/>
      <c r="D100" s="598"/>
      <c r="E100" s="598"/>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1"/>
      <c r="O101" s="2151"/>
      <c r="P101" s="2150"/>
      <c r="Q101" s="2143"/>
      <c r="R101" s="2130"/>
      <c r="S101" s="2130"/>
      <c r="T101" s="2130"/>
      <c r="U101" s="2130"/>
      <c r="V101" s="2130"/>
      <c r="W101" s="2130"/>
      <c r="X101" s="2130"/>
      <c r="Y101" s="2130"/>
      <c r="Z101" s="2130"/>
      <c r="AA101" s="2130"/>
      <c r="AB101" s="2130"/>
      <c r="AC101" s="2130"/>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4" customFormat="1">
      <c r="A103" s="728"/>
      <c r="B103" s="729"/>
      <c r="C103" s="730"/>
      <c r="D103" s="730"/>
      <c r="E103" s="730"/>
      <c r="F103" s="730"/>
      <c r="G103" s="730"/>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4" customFormat="1" ht="14.4" thickBot="1">
      <c r="A104" s="687"/>
      <c r="B104" s="678"/>
      <c r="C104" s="692"/>
      <c r="D104" s="671"/>
      <c r="E104" s="671"/>
      <c r="F104" s="671"/>
      <c r="G104" s="671"/>
      <c r="H104" s="671"/>
      <c r="I104" s="671"/>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688"/>
      <c r="D105" s="688"/>
      <c r="E105" s="718"/>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688"/>
      <c r="D107" s="688"/>
      <c r="E107" s="68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1"/>
      <c r="O111" s="2151"/>
      <c r="P111" s="2150"/>
      <c r="Q111" s="2143"/>
      <c r="R111" s="2130"/>
      <c r="S111" s="2130"/>
      <c r="T111" s="2130"/>
      <c r="U111" s="2130"/>
      <c r="V111" s="2130"/>
      <c r="W111" s="2130"/>
      <c r="X111" s="2130"/>
      <c r="Y111" s="2130"/>
      <c r="Z111" s="2130"/>
      <c r="AA111" s="2130"/>
      <c r="AB111" s="2130"/>
      <c r="AC111" s="2130"/>
    </row>
    <row r="112" spans="1:29" s="1334" customFormat="1" ht="15" thickTop="1">
      <c r="A112" s="728"/>
      <c r="B112" s="1881" t="s">
        <v>2551</v>
      </c>
      <c r="C112" s="688"/>
      <c r="D112" s="688"/>
      <c r="E112" s="688"/>
      <c r="F112" s="688"/>
      <c r="G112" s="688"/>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4"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688"/>
      <c r="D114" s="688"/>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688"/>
      <c r="D116" s="688"/>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4.4"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4"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4"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688"/>
      <c r="D122" s="688"/>
      <c r="E122" s="688"/>
      <c r="F122" s="718"/>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1"/>
      <c r="O123" s="2151"/>
      <c r="P123" s="2150"/>
      <c r="Q123" s="2143"/>
      <c r="R123" s="2130"/>
      <c r="S123" s="2130"/>
      <c r="T123" s="2130"/>
      <c r="U123" s="2130"/>
      <c r="V123" s="2130"/>
      <c r="W123" s="2130"/>
      <c r="X123" s="2130"/>
      <c r="Y123" s="2130"/>
      <c r="Z123" s="2130"/>
      <c r="AA123" s="2130"/>
      <c r="AB123" s="2130"/>
      <c r="AC123" s="2130"/>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4" customFormat="1" ht="14.4"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4" customFormat="1" ht="14.4"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4.4"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4.4"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4.4"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4.4"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2206"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777</v>
      </c>
      <c r="C1" s="504" t="s">
        <v>720</v>
      </c>
      <c r="D1" s="849"/>
      <c r="E1" s="506"/>
      <c r="F1" s="2762"/>
      <c r="G1" s="1586" t="s">
        <v>721</v>
      </c>
      <c r="H1" s="506"/>
      <c r="I1" s="506"/>
      <c r="J1" s="506"/>
      <c r="K1" s="507"/>
      <c r="L1" s="1548"/>
      <c r="M1" s="1549"/>
      <c r="N1" s="1549"/>
      <c r="O1" s="1549"/>
      <c r="P1" s="2192"/>
      <c r="Q1" s="1550"/>
      <c r="R1" s="1550"/>
      <c r="S1" s="1550"/>
      <c r="T1" s="1550"/>
      <c r="U1" s="1550"/>
      <c r="V1" s="1550"/>
      <c r="W1" s="1550"/>
      <c r="X1" s="1550"/>
      <c r="Y1" s="1550"/>
      <c r="Z1" s="1550"/>
      <c r="AA1" s="1550"/>
      <c r="AB1" s="1550"/>
      <c r="AC1" s="1551"/>
    </row>
    <row r="2" spans="1:29" s="1331" customFormat="1" ht="28.5" customHeight="1">
      <c r="A2" s="423" t="s">
        <v>467</v>
      </c>
      <c r="B2" s="850" t="e">
        <f>ROUND(B3*D3/10000,0)</f>
        <v>#DIV/0!</v>
      </c>
      <c r="C2" s="2112"/>
      <c r="D2" s="2112"/>
      <c r="E2" s="2046"/>
      <c r="F2" s="2114"/>
      <c r="G2" s="2113"/>
      <c r="H2" s="2113"/>
      <c r="I2" s="2113"/>
      <c r="J2" s="2113"/>
      <c r="K2" s="2113"/>
      <c r="L2" s="2116"/>
      <c r="M2" s="2117"/>
      <c r="N2" s="2117"/>
      <c r="O2" s="2117"/>
      <c r="P2" s="2192"/>
      <c r="Q2" s="1550"/>
      <c r="R2" s="1550"/>
      <c r="S2" s="1550"/>
      <c r="T2" s="1550"/>
      <c r="U2" s="1550"/>
      <c r="V2" s="1550"/>
      <c r="W2" s="1550"/>
      <c r="X2" s="1550"/>
      <c r="Y2" s="1550"/>
      <c r="Z2" s="1550"/>
      <c r="AA2" s="1550"/>
      <c r="AB2" s="1550"/>
      <c r="AC2" s="1551"/>
    </row>
    <row r="3" spans="1:29" s="1331"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0"/>
      <c r="R3" s="1550"/>
      <c r="S3" s="1550"/>
      <c r="T3" s="1550"/>
      <c r="U3" s="1550"/>
      <c r="V3" s="1550"/>
      <c r="W3" s="1550"/>
      <c r="X3" s="1550"/>
      <c r="Y3" s="1550"/>
      <c r="Z3" s="1550"/>
      <c r="AA3" s="1550"/>
      <c r="AB3" s="1550"/>
      <c r="AC3" s="1551"/>
    </row>
    <row r="4" spans="1:29" ht="14.4">
      <c r="A4" s="512" t="s">
        <v>521</v>
      </c>
      <c r="B4" s="513"/>
      <c r="C4" s="3380" t="s">
        <v>522</v>
      </c>
      <c r="D4" s="3381"/>
      <c r="E4" s="3414" t="s">
        <v>523</v>
      </c>
      <c r="F4" s="3415"/>
      <c r="G4" s="3380" t="s">
        <v>524</v>
      </c>
      <c r="H4" s="3381"/>
      <c r="I4" s="3380" t="s">
        <v>525</v>
      </c>
      <c r="J4" s="3381"/>
      <c r="K4" s="514" t="s">
        <v>526</v>
      </c>
      <c r="L4" s="2118"/>
      <c r="M4" s="2119"/>
      <c r="N4" s="2119"/>
      <c r="O4" s="2119"/>
      <c r="P4" s="3494" t="s">
        <v>527</v>
      </c>
      <c r="Q4" s="3383"/>
      <c r="R4" s="3388" t="s">
        <v>523</v>
      </c>
      <c r="S4" s="3389"/>
      <c r="T4" s="3388" t="s">
        <v>524</v>
      </c>
      <c r="U4" s="3389"/>
      <c r="V4" s="3375" t="s">
        <v>525</v>
      </c>
      <c r="W4" s="3375"/>
      <c r="X4" s="1553"/>
      <c r="Y4" s="3388" t="s">
        <v>527</v>
      </c>
      <c r="Z4" s="3389"/>
      <c r="AA4" s="3377" t="s">
        <v>523</v>
      </c>
      <c r="AB4" s="3377" t="s">
        <v>524</v>
      </c>
      <c r="AC4" s="3377" t="s">
        <v>525</v>
      </c>
    </row>
    <row r="5" spans="1:29">
      <c r="A5" s="515"/>
      <c r="B5" s="516"/>
      <c r="C5" s="3396" t="s">
        <v>2925</v>
      </c>
      <c r="D5" s="3397"/>
      <c r="E5" s="3416" t="s">
        <v>2926</v>
      </c>
      <c r="F5" s="3417"/>
      <c r="G5" s="3396" t="s">
        <v>2927</v>
      </c>
      <c r="H5" s="3397"/>
      <c r="I5" s="3396" t="s">
        <v>2928</v>
      </c>
      <c r="J5" s="3397"/>
      <c r="K5" s="514"/>
      <c r="L5" s="2118"/>
      <c r="M5" s="2119"/>
      <c r="N5" s="2119"/>
      <c r="O5" s="2119"/>
      <c r="P5" s="3495"/>
      <c r="Q5" s="3385"/>
      <c r="R5" s="3390"/>
      <c r="S5" s="3391"/>
      <c r="T5" s="3390"/>
      <c r="U5" s="3391"/>
      <c r="V5" s="3375"/>
      <c r="W5" s="3375"/>
      <c r="X5" s="1553"/>
      <c r="Y5" s="3390"/>
      <c r="Z5" s="3391"/>
      <c r="AA5" s="3378"/>
      <c r="AB5" s="3378"/>
      <c r="AC5" s="3378"/>
    </row>
    <row r="6" spans="1:29" ht="15" thickBot="1">
      <c r="A6" s="517"/>
      <c r="B6" s="518"/>
      <c r="C6" s="3394" t="s">
        <v>2929</v>
      </c>
      <c r="D6" s="3395"/>
      <c r="E6" s="3412" t="s">
        <v>2929</v>
      </c>
      <c r="F6" s="3413"/>
      <c r="G6" s="3394" t="s">
        <v>2929</v>
      </c>
      <c r="H6" s="3395"/>
      <c r="I6" s="3394" t="s">
        <v>2929</v>
      </c>
      <c r="J6" s="3395"/>
      <c r="K6" s="514" t="s">
        <v>528</v>
      </c>
      <c r="L6" s="2118"/>
      <c r="M6" s="2119"/>
      <c r="N6" s="2119"/>
      <c r="O6" s="2119"/>
      <c r="P6" s="3496"/>
      <c r="Q6" s="3387"/>
      <c r="R6" s="3390"/>
      <c r="S6" s="3391"/>
      <c r="T6" s="3392"/>
      <c r="U6" s="3393"/>
      <c r="V6" s="3375"/>
      <c r="W6" s="3375"/>
      <c r="X6" s="1553"/>
      <c r="Y6" s="3392"/>
      <c r="Z6" s="3393"/>
      <c r="AA6" s="3379"/>
      <c r="AB6" s="3379"/>
      <c r="AC6" s="3379"/>
    </row>
    <row r="7" spans="1:29" s="1215" customFormat="1" ht="15" thickBot="1">
      <c r="A7" s="2867"/>
      <c r="B7" s="2874" t="s">
        <v>529</v>
      </c>
      <c r="C7" s="519">
        <f>'数据-取费表'!B2</f>
        <v>44006</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07" t="s">
        <v>530</v>
      </c>
      <c r="Q7" s="3407"/>
      <c r="R7" s="1554" t="s">
        <v>8</v>
      </c>
      <c r="S7" s="1555">
        <f t="shared" ref="S7:S15" si="0">F7</f>
        <v>0</v>
      </c>
      <c r="T7" s="1554" t="s">
        <v>8</v>
      </c>
      <c r="U7" s="1555">
        <f t="shared" ref="U7:U15" si="1">H7</f>
        <v>0</v>
      </c>
      <c r="V7" s="1554" t="s">
        <v>8</v>
      </c>
      <c r="W7" s="1555">
        <f t="shared" ref="W7:W15" si="2">J7</f>
        <v>0</v>
      </c>
      <c r="X7" s="1556"/>
      <c r="Y7" s="3405" t="s">
        <v>530</v>
      </c>
      <c r="Z7" s="3406"/>
      <c r="AA7" s="1557" t="e">
        <f>D7/F7</f>
        <v>#DIV/0!</v>
      </c>
      <c r="AB7" s="1557" t="e">
        <f>D7/H7</f>
        <v>#DIV/0!</v>
      </c>
      <c r="AC7" s="1557" t="e">
        <f>D7/J7</f>
        <v>#DIV/0!</v>
      </c>
    </row>
    <row r="8" spans="1:29" s="1215" customFormat="1" ht="1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07" t="s">
        <v>533</v>
      </c>
      <c r="Q8" s="3406"/>
      <c r="R8" s="1554" t="s">
        <v>8</v>
      </c>
      <c r="S8" s="1555">
        <f t="shared" si="0"/>
        <v>0</v>
      </c>
      <c r="T8" s="1554" t="s">
        <v>8</v>
      </c>
      <c r="U8" s="1555">
        <f t="shared" si="1"/>
        <v>0</v>
      </c>
      <c r="V8" s="1554" t="s">
        <v>8</v>
      </c>
      <c r="W8" s="1555">
        <f t="shared" si="2"/>
        <v>0</v>
      </c>
      <c r="X8" s="1556"/>
      <c r="Y8" s="3405" t="s">
        <v>533</v>
      </c>
      <c r="Z8" s="3406"/>
      <c r="AA8" s="1557" t="e">
        <f t="shared" ref="AA8:AA47" si="3">D8/F8</f>
        <v>#DIV/0!</v>
      </c>
      <c r="AB8" s="1557" t="e">
        <f t="shared" ref="AB8:AB47" si="4">D8/H8</f>
        <v>#DIV/0!</v>
      </c>
      <c r="AC8" s="1557" t="e">
        <f t="shared" ref="AC8:AC47" si="5">D8/J8</f>
        <v>#DIV/0!</v>
      </c>
    </row>
    <row r="9" spans="1:29" s="1215" customFormat="1" ht="14.4">
      <c r="A9" s="2869"/>
      <c r="B9" s="2876" t="s">
        <v>2750</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4" t="s">
        <v>535</v>
      </c>
      <c r="Q9" s="1146" t="str">
        <f t="shared" ref="Q9:Q15" si="6">B9</f>
        <v>用途</v>
      </c>
      <c r="R9" s="1554" t="s">
        <v>8</v>
      </c>
      <c r="S9" s="1555">
        <f t="shared" si="0"/>
        <v>100</v>
      </c>
      <c r="T9" s="1554" t="s">
        <v>8</v>
      </c>
      <c r="U9" s="1555">
        <f t="shared" si="1"/>
        <v>100</v>
      </c>
      <c r="V9" s="1554" t="s">
        <v>8</v>
      </c>
      <c r="W9" s="1555">
        <f t="shared" si="2"/>
        <v>100</v>
      </c>
      <c r="X9" s="1556"/>
      <c r="Y9" s="3319" t="s">
        <v>536</v>
      </c>
      <c r="Z9" s="1145" t="str">
        <f t="shared" ref="Z9:Z15" si="7">Q9</f>
        <v>用途</v>
      </c>
      <c r="AA9" s="1557">
        <f t="shared" si="3"/>
        <v>1</v>
      </c>
      <c r="AB9" s="1557">
        <f t="shared" si="4"/>
        <v>1</v>
      </c>
      <c r="AC9" s="1557">
        <f t="shared" si="5"/>
        <v>1</v>
      </c>
    </row>
    <row r="10" spans="1:29" s="1333" customFormat="1" ht="28.8">
      <c r="A10" s="2870"/>
      <c r="B10" s="2875" t="s">
        <v>2751</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4"/>
      <c r="Q10" s="1146" t="str">
        <f t="shared" si="6"/>
        <v>土地使用年限（年）</v>
      </c>
      <c r="R10" s="1554" t="s">
        <v>8</v>
      </c>
      <c r="S10" s="1555">
        <f t="shared" si="0"/>
        <v>100</v>
      </c>
      <c r="T10" s="1554" t="s">
        <v>8</v>
      </c>
      <c r="U10" s="1555">
        <f t="shared" si="1"/>
        <v>100</v>
      </c>
      <c r="V10" s="1554" t="s">
        <v>8</v>
      </c>
      <c r="W10" s="1555">
        <f t="shared" si="2"/>
        <v>100</v>
      </c>
      <c r="X10" s="1556"/>
      <c r="Y10" s="3319"/>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4"/>
      <c r="Q11" s="1146" t="str">
        <f t="shared" si="6"/>
        <v>容积率</v>
      </c>
      <c r="R11" s="1554" t="s">
        <v>8</v>
      </c>
      <c r="S11" s="1555" t="e">
        <f t="shared" si="0"/>
        <v>#N/A</v>
      </c>
      <c r="T11" s="1554" t="s">
        <v>8</v>
      </c>
      <c r="U11" s="1555" t="e">
        <f t="shared" si="1"/>
        <v>#N/A</v>
      </c>
      <c r="V11" s="1554" t="s">
        <v>8</v>
      </c>
      <c r="W11" s="1555" t="e">
        <f t="shared" si="2"/>
        <v>#N/A</v>
      </c>
      <c r="X11" s="1556"/>
      <c r="Y11" s="3319"/>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74"/>
      <c r="Q12" s="1146">
        <f t="shared" si="6"/>
        <v>111</v>
      </c>
      <c r="R12" s="1554" t="s">
        <v>8</v>
      </c>
      <c r="S12" s="1555">
        <f t="shared" si="0"/>
        <v>100</v>
      </c>
      <c r="T12" s="1554" t="s">
        <v>8</v>
      </c>
      <c r="U12" s="1555">
        <f t="shared" si="1"/>
        <v>100</v>
      </c>
      <c r="V12" s="1554" t="s">
        <v>8</v>
      </c>
      <c r="W12" s="1555">
        <f t="shared" si="2"/>
        <v>100</v>
      </c>
      <c r="X12" s="1556"/>
      <c r="Y12" s="3319"/>
      <c r="Z12" s="1145">
        <f t="shared" si="7"/>
        <v>111</v>
      </c>
      <c r="AA12" s="1557">
        <f>D12/F12</f>
        <v>1</v>
      </c>
      <c r="AB12" s="1557">
        <f>D12/H12</f>
        <v>1</v>
      </c>
      <c r="AC12" s="1557">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74"/>
      <c r="Q13" s="1146">
        <f t="shared" si="6"/>
        <v>111</v>
      </c>
      <c r="R13" s="1554" t="s">
        <v>8</v>
      </c>
      <c r="S13" s="1555">
        <f t="shared" si="0"/>
        <v>100</v>
      </c>
      <c r="T13" s="1554" t="s">
        <v>8</v>
      </c>
      <c r="U13" s="1555">
        <f t="shared" si="1"/>
        <v>100</v>
      </c>
      <c r="V13" s="1554" t="s">
        <v>8</v>
      </c>
      <c r="W13" s="1555">
        <f t="shared" si="2"/>
        <v>100</v>
      </c>
      <c r="X13" s="1556"/>
      <c r="Y13" s="3319"/>
      <c r="Z13" s="1145">
        <f t="shared" si="7"/>
        <v>111</v>
      </c>
      <c r="AA13" s="1557">
        <f t="shared" si="3"/>
        <v>1</v>
      </c>
      <c r="AB13" s="1557">
        <f t="shared" si="4"/>
        <v>1</v>
      </c>
      <c r="AC13" s="1557">
        <f t="shared" si="5"/>
        <v>1</v>
      </c>
    </row>
    <row r="14" spans="1:29" ht="15.6"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74"/>
      <c r="Q14" s="1146">
        <f t="shared" si="6"/>
        <v>111</v>
      </c>
      <c r="R14" s="1554" t="s">
        <v>8</v>
      </c>
      <c r="S14" s="1555">
        <f t="shared" si="0"/>
        <v>100</v>
      </c>
      <c r="T14" s="1554" t="s">
        <v>8</v>
      </c>
      <c r="U14" s="1555">
        <f t="shared" si="1"/>
        <v>100</v>
      </c>
      <c r="V14" s="1554" t="s">
        <v>8</v>
      </c>
      <c r="W14" s="1555">
        <f t="shared" si="2"/>
        <v>100</v>
      </c>
      <c r="X14" s="1556"/>
      <c r="Y14" s="3319"/>
      <c r="Z14" s="1145">
        <f t="shared" si="7"/>
        <v>111</v>
      </c>
      <c r="AA14" s="1557">
        <f t="shared" si="3"/>
        <v>1</v>
      </c>
      <c r="AB14" s="1557">
        <f t="shared" si="4"/>
        <v>1</v>
      </c>
      <c r="AC14" s="1557">
        <f t="shared" si="5"/>
        <v>1</v>
      </c>
    </row>
    <row r="15" spans="1:29" ht="82.8">
      <c r="A15" s="2865" t="s">
        <v>2748</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08" t="s">
        <v>540</v>
      </c>
      <c r="Q15" s="1558" t="str">
        <f t="shared" si="6"/>
        <v>办公集聚程度</v>
      </c>
      <c r="R15" s="1559" t="s">
        <v>8</v>
      </c>
      <c r="S15" s="1560">
        <f t="shared" si="0"/>
        <v>100</v>
      </c>
      <c r="T15" s="1559" t="s">
        <v>8</v>
      </c>
      <c r="U15" s="1560">
        <f t="shared" si="1"/>
        <v>100</v>
      </c>
      <c r="V15" s="1559" t="s">
        <v>8</v>
      </c>
      <c r="W15" s="1560">
        <f t="shared" si="2"/>
        <v>100</v>
      </c>
      <c r="X15" s="1553"/>
      <c r="Y15" s="3408" t="s">
        <v>540</v>
      </c>
      <c r="Z15" s="1561" t="str">
        <f t="shared" si="7"/>
        <v>办公集聚程度</v>
      </c>
      <c r="AA15" s="1562">
        <f t="shared" si="3"/>
        <v>1</v>
      </c>
      <c r="AB15" s="1562">
        <f t="shared" si="4"/>
        <v>1</v>
      </c>
      <c r="AC15" s="1562">
        <f t="shared" si="5"/>
        <v>1</v>
      </c>
    </row>
    <row r="16" spans="1:29" ht="15">
      <c r="A16" s="532"/>
      <c r="B16" s="553"/>
      <c r="C16" s="554"/>
      <c r="D16" s="555"/>
      <c r="E16" s="576"/>
      <c r="F16" s="555"/>
      <c r="G16" s="554"/>
      <c r="H16" s="559"/>
      <c r="I16" s="576"/>
      <c r="J16" s="555"/>
      <c r="K16" s="899"/>
      <c r="L16" s="2127"/>
      <c r="M16" s="2119"/>
      <c r="N16" s="2119"/>
      <c r="O16" s="2119"/>
      <c r="P16" s="3409"/>
      <c r="Q16" s="1558"/>
      <c r="R16" s="1559"/>
      <c r="S16" s="1560"/>
      <c r="T16" s="1559"/>
      <c r="U16" s="1560"/>
      <c r="V16" s="1559"/>
      <c r="W16" s="1560"/>
      <c r="X16" s="1553"/>
      <c r="Y16" s="3409"/>
      <c r="Z16" s="1561"/>
      <c r="AA16" s="1562">
        <v>1</v>
      </c>
      <c r="AB16" s="1562">
        <v>1</v>
      </c>
      <c r="AC16" s="1562">
        <v>1</v>
      </c>
    </row>
    <row r="17" spans="1:29" ht="96.6">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09"/>
      <c r="Q17" s="1558" t="str">
        <f>B17</f>
        <v>交通便捷度</v>
      </c>
      <c r="R17" s="1559" t="s">
        <v>8</v>
      </c>
      <c r="S17" s="1560">
        <f>F17</f>
        <v>100</v>
      </c>
      <c r="T17" s="1559" t="s">
        <v>8</v>
      </c>
      <c r="U17" s="1560">
        <f>H17</f>
        <v>100</v>
      </c>
      <c r="V17" s="1559" t="s">
        <v>8</v>
      </c>
      <c r="W17" s="1560">
        <f>J17</f>
        <v>100</v>
      </c>
      <c r="X17" s="1553"/>
      <c r="Y17" s="3409"/>
      <c r="Z17" s="1561" t="str">
        <f>Q17</f>
        <v>交通便捷度</v>
      </c>
      <c r="AA17" s="1562">
        <f t="shared" si="3"/>
        <v>1</v>
      </c>
      <c r="AB17" s="1562">
        <f t="shared" si="4"/>
        <v>1</v>
      </c>
      <c r="AC17" s="1562">
        <f t="shared" si="5"/>
        <v>1</v>
      </c>
    </row>
    <row r="18" spans="1:29" ht="15">
      <c r="A18" s="532"/>
      <c r="B18" s="566"/>
      <c r="C18" s="567"/>
      <c r="D18" s="559"/>
      <c r="E18" s="569"/>
      <c r="F18" s="559"/>
      <c r="G18" s="568"/>
      <c r="H18" s="555"/>
      <c r="I18" s="568"/>
      <c r="J18" s="555"/>
      <c r="K18" s="899"/>
      <c r="L18" s="2127"/>
      <c r="M18" s="2119"/>
      <c r="N18" s="2119"/>
      <c r="O18" s="2119"/>
      <c r="P18" s="3409"/>
      <c r="Q18" s="1558"/>
      <c r="R18" s="1559"/>
      <c r="S18" s="1560"/>
      <c r="T18" s="1559"/>
      <c r="U18" s="1560"/>
      <c r="V18" s="1559"/>
      <c r="W18" s="1560"/>
      <c r="X18" s="1553"/>
      <c r="Y18" s="3409"/>
      <c r="Z18" s="1561"/>
      <c r="AA18" s="1562">
        <v>1</v>
      </c>
      <c r="AB18" s="1562">
        <v>1</v>
      </c>
      <c r="AC18" s="1562">
        <v>1</v>
      </c>
    </row>
    <row r="19" spans="1:29" ht="41.4">
      <c r="A19" s="532"/>
      <c r="B19" s="2567" t="s">
        <v>2541</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09"/>
      <c r="Q19" s="1558" t="str">
        <f>B19</f>
        <v>公共配套设施</v>
      </c>
      <c r="R19" s="1559" t="s">
        <v>8</v>
      </c>
      <c r="S19" s="1560">
        <f>F19</f>
        <v>100</v>
      </c>
      <c r="T19" s="1559" t="s">
        <v>8</v>
      </c>
      <c r="U19" s="1560">
        <f>H19</f>
        <v>100</v>
      </c>
      <c r="V19" s="1559" t="s">
        <v>8</v>
      </c>
      <c r="W19" s="1560">
        <f>J19</f>
        <v>100</v>
      </c>
      <c r="X19" s="1553"/>
      <c r="Y19" s="3409"/>
      <c r="Z19" s="1561" t="str">
        <f>Q19</f>
        <v>公共配套设施</v>
      </c>
      <c r="AA19" s="1562">
        <f t="shared" si="3"/>
        <v>1</v>
      </c>
      <c r="AB19" s="1562">
        <f t="shared" si="4"/>
        <v>1</v>
      </c>
      <c r="AC19" s="1562">
        <f t="shared" si="5"/>
        <v>1</v>
      </c>
    </row>
    <row r="20" spans="1:29" ht="15">
      <c r="A20" s="532"/>
      <c r="B20" s="566"/>
      <c r="C20" s="554"/>
      <c r="D20" s="555"/>
      <c r="E20" s="558"/>
      <c r="F20" s="555"/>
      <c r="G20" s="556"/>
      <c r="H20" s="555"/>
      <c r="I20" s="556"/>
      <c r="J20" s="555"/>
      <c r="K20" s="899"/>
      <c r="L20" s="2127"/>
      <c r="M20" s="2119"/>
      <c r="N20" s="2119"/>
      <c r="O20" s="2119"/>
      <c r="P20" s="3409"/>
      <c r="Q20" s="1558"/>
      <c r="R20" s="1559"/>
      <c r="S20" s="1560"/>
      <c r="T20" s="1559"/>
      <c r="U20" s="1560"/>
      <c r="V20" s="1559"/>
      <c r="W20" s="1560"/>
      <c r="X20" s="1553"/>
      <c r="Y20" s="3409"/>
      <c r="Z20" s="1561"/>
      <c r="AA20" s="1562">
        <v>1</v>
      </c>
      <c r="AB20" s="1562">
        <v>1</v>
      </c>
      <c r="AC20" s="1562">
        <v>1</v>
      </c>
    </row>
    <row r="21" spans="1:29" ht="41.4">
      <c r="A21" s="532"/>
      <c r="B21" s="2555" t="s">
        <v>2553</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09"/>
      <c r="Q21" s="2543" t="str">
        <f>B21</f>
        <v>基础设施水平</v>
      </c>
      <c r="R21" s="1559" t="s">
        <v>8</v>
      </c>
      <c r="S21" s="1560">
        <f>F21</f>
        <v>100</v>
      </c>
      <c r="T21" s="1559" t="s">
        <v>8</v>
      </c>
      <c r="U21" s="1560">
        <f>H21</f>
        <v>100</v>
      </c>
      <c r="V21" s="1559" t="s">
        <v>8</v>
      </c>
      <c r="W21" s="1560">
        <f>J21</f>
        <v>100</v>
      </c>
      <c r="X21" s="2545"/>
      <c r="Y21" s="3409"/>
      <c r="Z21" s="2544" t="str">
        <f>Q21</f>
        <v>基础设施水平</v>
      </c>
      <c r="AA21" s="1562">
        <f t="shared" ref="AA21" si="8">D21/F21</f>
        <v>1</v>
      </c>
      <c r="AB21" s="1562">
        <f t="shared" ref="AB21" si="9">D21/H21</f>
        <v>1</v>
      </c>
      <c r="AC21" s="1562">
        <f t="shared" ref="AC21" si="10">D21/J21</f>
        <v>1</v>
      </c>
    </row>
    <row r="22" spans="1:29" ht="15">
      <c r="A22" s="532"/>
      <c r="B22" s="578"/>
      <c r="C22" s="567"/>
      <c r="D22" s="555"/>
      <c r="E22" s="576"/>
      <c r="F22" s="555"/>
      <c r="G22" s="554"/>
      <c r="H22" s="555"/>
      <c r="I22" s="554"/>
      <c r="J22" s="555"/>
      <c r="K22" s="2566"/>
      <c r="L22" s="2127"/>
      <c r="M22" s="2119"/>
      <c r="N22" s="2119"/>
      <c r="O22" s="2119"/>
      <c r="P22" s="3409"/>
      <c r="Q22" s="2543"/>
      <c r="R22" s="1559"/>
      <c r="S22" s="1560"/>
      <c r="T22" s="1559"/>
      <c r="U22" s="1560"/>
      <c r="V22" s="1559"/>
      <c r="W22" s="1560"/>
      <c r="X22" s="2545"/>
      <c r="Y22" s="3409"/>
      <c r="Z22" s="2544"/>
      <c r="AA22" s="1562">
        <v>1</v>
      </c>
      <c r="AB22" s="1562">
        <v>1</v>
      </c>
      <c r="AC22" s="1562">
        <v>1</v>
      </c>
    </row>
    <row r="23" spans="1:29" ht="55.2">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09"/>
      <c r="Q23" s="1558" t="str">
        <f>B23</f>
        <v>环境质量</v>
      </c>
      <c r="R23" s="1559" t="s">
        <v>8</v>
      </c>
      <c r="S23" s="1560">
        <f>F23</f>
        <v>100</v>
      </c>
      <c r="T23" s="1559" t="s">
        <v>8</v>
      </c>
      <c r="U23" s="1560">
        <f>H23</f>
        <v>100</v>
      </c>
      <c r="V23" s="1559" t="s">
        <v>8</v>
      </c>
      <c r="W23" s="1560">
        <f>J23</f>
        <v>100</v>
      </c>
      <c r="X23" s="1553"/>
      <c r="Y23" s="3409"/>
      <c r="Z23" s="1561" t="str">
        <f>Q23</f>
        <v>环境质量</v>
      </c>
      <c r="AA23" s="1562">
        <f t="shared" si="3"/>
        <v>1</v>
      </c>
      <c r="AB23" s="1562">
        <f t="shared" si="4"/>
        <v>1</v>
      </c>
      <c r="AC23" s="1562">
        <f t="shared" si="5"/>
        <v>1</v>
      </c>
    </row>
    <row r="24" spans="1:29" ht="15">
      <c r="A24" s="532"/>
      <c r="B24" s="578"/>
      <c r="C24" s="554"/>
      <c r="D24" s="555"/>
      <c r="E24" s="558"/>
      <c r="F24" s="555"/>
      <c r="G24" s="556"/>
      <c r="H24" s="555"/>
      <c r="I24" s="556"/>
      <c r="J24" s="555"/>
      <c r="K24" s="899"/>
      <c r="L24" s="2127"/>
      <c r="M24" s="2119"/>
      <c r="N24" s="2119"/>
      <c r="O24" s="2119"/>
      <c r="P24" s="3409"/>
      <c r="Q24" s="1558"/>
      <c r="R24" s="1559"/>
      <c r="S24" s="1560"/>
      <c r="T24" s="1559"/>
      <c r="U24" s="1560"/>
      <c r="V24" s="1559"/>
      <c r="W24" s="1560"/>
      <c r="X24" s="1553"/>
      <c r="Y24" s="3409"/>
      <c r="Z24" s="1561"/>
      <c r="AA24" s="1562">
        <v>1</v>
      </c>
      <c r="AB24" s="1562">
        <v>1</v>
      </c>
      <c r="AC24" s="1562">
        <v>1</v>
      </c>
    </row>
    <row r="25" spans="1:29" ht="28.8">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09"/>
      <c r="Q25" s="1558" t="str">
        <f>B25</f>
        <v>毗邻道路的类型与等级</v>
      </c>
      <c r="R25" s="1559" t="s">
        <v>8</v>
      </c>
      <c r="S25" s="1560">
        <f>F25</f>
        <v>100</v>
      </c>
      <c r="T25" s="1559" t="s">
        <v>8</v>
      </c>
      <c r="U25" s="1560">
        <f>H25</f>
        <v>100</v>
      </c>
      <c r="V25" s="1559" t="s">
        <v>8</v>
      </c>
      <c r="W25" s="1560">
        <f>J25</f>
        <v>100</v>
      </c>
      <c r="X25" s="1553"/>
      <c r="Y25" s="3409"/>
      <c r="Z25" s="1561" t="str">
        <f>Q25</f>
        <v>毗邻道路的类型与等级</v>
      </c>
      <c r="AA25" s="1562">
        <f t="shared" si="3"/>
        <v>1</v>
      </c>
      <c r="AB25" s="1562">
        <f t="shared" si="4"/>
        <v>1</v>
      </c>
      <c r="AC25" s="1562">
        <f t="shared" si="5"/>
        <v>1</v>
      </c>
    </row>
    <row r="26" spans="1:29" ht="15">
      <c r="A26" s="515"/>
      <c r="B26" s="566"/>
      <c r="C26" s="580"/>
      <c r="D26" s="540"/>
      <c r="E26" s="583"/>
      <c r="F26" s="540"/>
      <c r="G26" s="580"/>
      <c r="H26" s="540"/>
      <c r="I26" s="583"/>
      <c r="J26" s="540"/>
      <c r="K26" s="899"/>
      <c r="L26" s="2127"/>
      <c r="M26" s="2119"/>
      <c r="N26" s="2119"/>
      <c r="O26" s="2119"/>
      <c r="P26" s="3409"/>
      <c r="Q26" s="1558"/>
      <c r="R26" s="1559"/>
      <c r="S26" s="1560"/>
      <c r="T26" s="1559"/>
      <c r="U26" s="1560"/>
      <c r="V26" s="1559"/>
      <c r="W26" s="1560"/>
      <c r="X26" s="1553"/>
      <c r="Y26" s="3409"/>
      <c r="Z26" s="1561"/>
      <c r="AA26" s="1562">
        <v>1</v>
      </c>
      <c r="AB26" s="1562">
        <v>1</v>
      </c>
      <c r="AC26" s="156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09"/>
      <c r="Q27" s="1558" t="str">
        <f t="shared" ref="Q27:Q47" si="11">B27</f>
        <v>楼层</v>
      </c>
      <c r="R27" s="1559" t="s">
        <v>8</v>
      </c>
      <c r="S27" s="1560">
        <f>F27</f>
        <v>100</v>
      </c>
      <c r="T27" s="1559" t="s">
        <v>8</v>
      </c>
      <c r="U27" s="1560">
        <f>H27</f>
        <v>100</v>
      </c>
      <c r="V27" s="1559" t="s">
        <v>8</v>
      </c>
      <c r="W27" s="1560">
        <f>J27</f>
        <v>100</v>
      </c>
      <c r="X27" s="1553"/>
      <c r="Y27" s="3409"/>
      <c r="Z27" s="1561" t="str">
        <f>Q27</f>
        <v>楼层</v>
      </c>
      <c r="AA27" s="1562">
        <f t="shared" si="3"/>
        <v>1</v>
      </c>
      <c r="AB27" s="1562">
        <f t="shared" si="4"/>
        <v>1</v>
      </c>
      <c r="AC27" s="1562">
        <f t="shared" si="5"/>
        <v>1</v>
      </c>
    </row>
    <row r="28" spans="1:29" s="1215"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09"/>
      <c r="Q28" s="1146" t="str">
        <f t="shared" si="11"/>
        <v>朝向</v>
      </c>
      <c r="R28" s="1554" t="s">
        <v>8</v>
      </c>
      <c r="S28" s="1555">
        <f>F28</f>
        <v>100</v>
      </c>
      <c r="T28" s="1554" t="s">
        <v>8</v>
      </c>
      <c r="U28" s="1555">
        <f>H28</f>
        <v>100</v>
      </c>
      <c r="V28" s="1554" t="s">
        <v>8</v>
      </c>
      <c r="W28" s="1555">
        <f>J28</f>
        <v>100</v>
      </c>
      <c r="X28" s="1556"/>
      <c r="Y28" s="3409"/>
      <c r="Z28" s="1145" t="str">
        <f>Q28</f>
        <v>朝向</v>
      </c>
      <c r="AA28" s="1562">
        <f>D28/F28</f>
        <v>1</v>
      </c>
      <c r="AB28" s="1562">
        <f>D28/H28</f>
        <v>1</v>
      </c>
      <c r="AC28" s="1562">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09"/>
      <c r="Q29" s="1558">
        <f t="shared" si="11"/>
        <v>111</v>
      </c>
      <c r="R29" s="1559" t="s">
        <v>8</v>
      </c>
      <c r="S29" s="1560">
        <f t="shared" ref="S29:S47" si="12">F29</f>
        <v>100</v>
      </c>
      <c r="T29" s="1559" t="s">
        <v>8</v>
      </c>
      <c r="U29" s="1560">
        <f t="shared" ref="U29:U47" si="13">H29</f>
        <v>100</v>
      </c>
      <c r="V29" s="1559" t="s">
        <v>8</v>
      </c>
      <c r="W29" s="1560">
        <f t="shared" ref="W29:W47" si="14">J29</f>
        <v>100</v>
      </c>
      <c r="X29" s="1553"/>
      <c r="Y29" s="3409"/>
      <c r="Z29" s="1561">
        <f t="shared" ref="Z29:Z47" si="15">Q29</f>
        <v>111</v>
      </c>
      <c r="AA29" s="1562">
        <f t="shared" si="3"/>
        <v>1</v>
      </c>
      <c r="AB29" s="1562">
        <f t="shared" si="4"/>
        <v>1</v>
      </c>
      <c r="AC29" s="1562">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09"/>
      <c r="Q30" s="1558">
        <f t="shared" si="11"/>
        <v>111</v>
      </c>
      <c r="R30" s="1559" t="s">
        <v>8</v>
      </c>
      <c r="S30" s="1560">
        <f t="shared" si="12"/>
        <v>100</v>
      </c>
      <c r="T30" s="1559" t="s">
        <v>8</v>
      </c>
      <c r="U30" s="1560">
        <f t="shared" si="13"/>
        <v>100</v>
      </c>
      <c r="V30" s="1559" t="s">
        <v>8</v>
      </c>
      <c r="W30" s="1560">
        <f t="shared" si="14"/>
        <v>100</v>
      </c>
      <c r="X30" s="1553"/>
      <c r="Y30" s="3409"/>
      <c r="Z30" s="1561">
        <f t="shared" si="15"/>
        <v>111</v>
      </c>
      <c r="AA30" s="1562">
        <f t="shared" si="3"/>
        <v>1</v>
      </c>
      <c r="AB30" s="1562">
        <f t="shared" si="4"/>
        <v>1</v>
      </c>
      <c r="AC30" s="1562">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09"/>
      <c r="Q31" s="1558">
        <f t="shared" si="11"/>
        <v>111</v>
      </c>
      <c r="R31" s="1559" t="s">
        <v>8</v>
      </c>
      <c r="S31" s="1560">
        <f t="shared" si="12"/>
        <v>100</v>
      </c>
      <c r="T31" s="1559" t="s">
        <v>8</v>
      </c>
      <c r="U31" s="1560">
        <f t="shared" si="13"/>
        <v>100</v>
      </c>
      <c r="V31" s="1559" t="s">
        <v>8</v>
      </c>
      <c r="W31" s="1560">
        <f t="shared" si="14"/>
        <v>100</v>
      </c>
      <c r="X31" s="1553"/>
      <c r="Y31" s="3409"/>
      <c r="Z31" s="1561">
        <f t="shared" si="15"/>
        <v>111</v>
      </c>
      <c r="AA31" s="1562">
        <f t="shared" si="3"/>
        <v>1</v>
      </c>
      <c r="AB31" s="1562">
        <f t="shared" si="4"/>
        <v>1</v>
      </c>
      <c r="AC31" s="1562">
        <f t="shared" si="5"/>
        <v>1</v>
      </c>
    </row>
    <row r="32" spans="1:29" ht="15.6"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09"/>
      <c r="Q32" s="1558">
        <f t="shared" si="11"/>
        <v>111</v>
      </c>
      <c r="R32" s="1559" t="s">
        <v>8</v>
      </c>
      <c r="S32" s="1560">
        <f t="shared" si="12"/>
        <v>100</v>
      </c>
      <c r="T32" s="1559" t="s">
        <v>8</v>
      </c>
      <c r="U32" s="1560">
        <f t="shared" si="13"/>
        <v>100</v>
      </c>
      <c r="V32" s="1559" t="s">
        <v>8</v>
      </c>
      <c r="W32" s="1560">
        <f t="shared" si="14"/>
        <v>100</v>
      </c>
      <c r="X32" s="1553"/>
      <c r="Y32" s="3409"/>
      <c r="Z32" s="1561">
        <f t="shared" si="15"/>
        <v>111</v>
      </c>
      <c r="AA32" s="1562">
        <f t="shared" si="3"/>
        <v>1</v>
      </c>
      <c r="AB32" s="1562">
        <f t="shared" si="4"/>
        <v>1</v>
      </c>
      <c r="AC32" s="1562">
        <f t="shared" si="5"/>
        <v>1</v>
      </c>
    </row>
    <row r="33" spans="1:29" ht="15">
      <c r="A33" s="2862" t="s">
        <v>2749</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10" t="s">
        <v>550</v>
      </c>
      <c r="Q33" s="1558" t="str">
        <f t="shared" si="11"/>
        <v>建筑类型</v>
      </c>
      <c r="R33" s="1559" t="s">
        <v>8</v>
      </c>
      <c r="S33" s="1560">
        <f t="shared" si="12"/>
        <v>100</v>
      </c>
      <c r="T33" s="1559" t="s">
        <v>8</v>
      </c>
      <c r="U33" s="1560">
        <f t="shared" si="13"/>
        <v>100</v>
      </c>
      <c r="V33" s="1559" t="s">
        <v>8</v>
      </c>
      <c r="W33" s="1560">
        <f t="shared" si="14"/>
        <v>100</v>
      </c>
      <c r="X33" s="1553"/>
      <c r="Y33" s="3411" t="s">
        <v>550</v>
      </c>
      <c r="Z33" s="1561" t="str">
        <f t="shared" si="15"/>
        <v>建筑类型</v>
      </c>
      <c r="AA33" s="1562">
        <f t="shared" si="3"/>
        <v>1</v>
      </c>
      <c r="AB33" s="1562">
        <f t="shared" si="4"/>
        <v>1</v>
      </c>
      <c r="AC33" s="1562">
        <f t="shared" si="5"/>
        <v>1</v>
      </c>
    </row>
    <row r="34" spans="1:29" s="1334"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11"/>
      <c r="Q34" s="1590" t="str">
        <f t="shared" si="11"/>
        <v>项目建筑规模</v>
      </c>
      <c r="R34" s="1563" t="s">
        <v>8</v>
      </c>
      <c r="S34" s="1564" t="e">
        <f t="shared" si="12"/>
        <v>#N/A</v>
      </c>
      <c r="T34" s="1563" t="s">
        <v>8</v>
      </c>
      <c r="U34" s="1564" t="e">
        <f t="shared" si="13"/>
        <v>#N/A</v>
      </c>
      <c r="V34" s="1563" t="s">
        <v>8</v>
      </c>
      <c r="W34" s="1564" t="e">
        <f t="shared" si="14"/>
        <v>#N/A</v>
      </c>
      <c r="X34" s="1565"/>
      <c r="Y34" s="3411"/>
      <c r="Z34" s="1566" t="str">
        <f t="shared" si="15"/>
        <v>项目建筑规模</v>
      </c>
      <c r="AA34" s="1562" t="e">
        <f t="shared" si="3"/>
        <v>#N/A</v>
      </c>
      <c r="AB34" s="1562" t="e">
        <f t="shared" si="4"/>
        <v>#N/A</v>
      </c>
      <c r="AC34" s="156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11"/>
      <c r="Q35" s="1558" t="str">
        <f t="shared" si="11"/>
        <v>建筑结构</v>
      </c>
      <c r="R35" s="1559" t="s">
        <v>8</v>
      </c>
      <c r="S35" s="1560">
        <f t="shared" si="12"/>
        <v>100</v>
      </c>
      <c r="T35" s="1559" t="s">
        <v>8</v>
      </c>
      <c r="U35" s="1560">
        <f t="shared" si="13"/>
        <v>100</v>
      </c>
      <c r="V35" s="1559" t="s">
        <v>8</v>
      </c>
      <c r="W35" s="1560">
        <f t="shared" si="14"/>
        <v>100</v>
      </c>
      <c r="X35" s="1553"/>
      <c r="Y35" s="3411"/>
      <c r="Z35" s="1561" t="str">
        <f t="shared" si="15"/>
        <v>建筑结构</v>
      </c>
      <c r="AA35" s="1562">
        <f t="shared" si="3"/>
        <v>1</v>
      </c>
      <c r="AB35" s="1562">
        <f t="shared" si="4"/>
        <v>1</v>
      </c>
      <c r="AC35" s="156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11"/>
      <c r="Q36" s="1558" t="str">
        <f t="shared" si="11"/>
        <v>公共部分装修</v>
      </c>
      <c r="R36" s="1559" t="s">
        <v>8</v>
      </c>
      <c r="S36" s="1560">
        <f t="shared" si="12"/>
        <v>100</v>
      </c>
      <c r="T36" s="1559" t="s">
        <v>8</v>
      </c>
      <c r="U36" s="1560">
        <f t="shared" si="13"/>
        <v>100</v>
      </c>
      <c r="V36" s="1559" t="s">
        <v>8</v>
      </c>
      <c r="W36" s="1560">
        <f t="shared" si="14"/>
        <v>100</v>
      </c>
      <c r="X36" s="1553"/>
      <c r="Y36" s="3411"/>
      <c r="Z36" s="1561" t="str">
        <f t="shared" si="15"/>
        <v>公共部分装修</v>
      </c>
      <c r="AA36" s="1562">
        <f t="shared" si="3"/>
        <v>1</v>
      </c>
      <c r="AB36" s="1562">
        <f t="shared" si="4"/>
        <v>1</v>
      </c>
      <c r="AC36" s="1562">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11"/>
      <c r="Q37" s="1558" t="str">
        <f t="shared" si="11"/>
        <v>成新度</v>
      </c>
      <c r="R37" s="1559" t="s">
        <v>8</v>
      </c>
      <c r="S37" s="1560" t="e">
        <f t="shared" si="12"/>
        <v>#N/A</v>
      </c>
      <c r="T37" s="1559" t="s">
        <v>8</v>
      </c>
      <c r="U37" s="1560" t="e">
        <f t="shared" si="13"/>
        <v>#N/A</v>
      </c>
      <c r="V37" s="1559" t="s">
        <v>8</v>
      </c>
      <c r="W37" s="1560" t="e">
        <f t="shared" si="14"/>
        <v>#N/A</v>
      </c>
      <c r="X37" s="1553"/>
      <c r="Y37" s="3411"/>
      <c r="Z37" s="1561" t="str">
        <f t="shared" si="15"/>
        <v>成新度</v>
      </c>
      <c r="AA37" s="1562" t="e">
        <f t="shared" si="3"/>
        <v>#N/A</v>
      </c>
      <c r="AB37" s="1562" t="e">
        <f t="shared" si="4"/>
        <v>#N/A</v>
      </c>
      <c r="AC37" s="1562" t="e">
        <f t="shared" si="5"/>
        <v>#N/A</v>
      </c>
    </row>
    <row r="38" spans="1:29" s="1215"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11"/>
      <c r="Q38" s="1146" t="str">
        <f t="shared" si="11"/>
        <v>写字楼等级</v>
      </c>
      <c r="R38" s="1554" t="s">
        <v>8</v>
      </c>
      <c r="S38" s="1555">
        <f t="shared" si="12"/>
        <v>100</v>
      </c>
      <c r="T38" s="1554" t="s">
        <v>8</v>
      </c>
      <c r="U38" s="1555">
        <f t="shared" si="13"/>
        <v>100</v>
      </c>
      <c r="V38" s="1554" t="s">
        <v>8</v>
      </c>
      <c r="W38" s="1555">
        <f t="shared" si="14"/>
        <v>100</v>
      </c>
      <c r="X38" s="1556"/>
      <c r="Y38" s="3411"/>
      <c r="Z38" s="1145" t="str">
        <f t="shared" si="15"/>
        <v>写字楼等级</v>
      </c>
      <c r="AA38" s="1557">
        <f t="shared" si="3"/>
        <v>1</v>
      </c>
      <c r="AB38" s="1557">
        <f t="shared" si="4"/>
        <v>1</v>
      </c>
      <c r="AC38" s="155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11" t="s">
        <v>550</v>
      </c>
      <c r="Q39" s="1558" t="str">
        <f t="shared" si="11"/>
        <v>物业管理</v>
      </c>
      <c r="R39" s="1559" t="s">
        <v>8</v>
      </c>
      <c r="S39" s="1560">
        <f t="shared" si="12"/>
        <v>100</v>
      </c>
      <c r="T39" s="1559" t="s">
        <v>8</v>
      </c>
      <c r="U39" s="1560">
        <f t="shared" si="13"/>
        <v>100</v>
      </c>
      <c r="V39" s="1559" t="s">
        <v>8</v>
      </c>
      <c r="W39" s="1560">
        <f t="shared" si="14"/>
        <v>100</v>
      </c>
      <c r="X39" s="1553"/>
      <c r="Y39" s="3411" t="s">
        <v>550</v>
      </c>
      <c r="Z39" s="1561" t="str">
        <f t="shared" si="15"/>
        <v>物业管理</v>
      </c>
      <c r="AA39" s="1562">
        <f t="shared" si="3"/>
        <v>1</v>
      </c>
      <c r="AB39" s="1562">
        <f t="shared" si="4"/>
        <v>1</v>
      </c>
      <c r="AC39" s="1562">
        <f t="shared" si="5"/>
        <v>1</v>
      </c>
    </row>
    <row r="40" spans="1:29" ht="15">
      <c r="A40" s="594"/>
      <c r="B40" s="1880"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11"/>
      <c r="Q40" s="1558" t="str">
        <f t="shared" si="11"/>
        <v>市政基础设施</v>
      </c>
      <c r="R40" s="1559" t="s">
        <v>8</v>
      </c>
      <c r="S40" s="1560">
        <f t="shared" si="12"/>
        <v>100</v>
      </c>
      <c r="T40" s="1559" t="s">
        <v>8</v>
      </c>
      <c r="U40" s="1560">
        <f t="shared" si="13"/>
        <v>100</v>
      </c>
      <c r="V40" s="1559" t="s">
        <v>8</v>
      </c>
      <c r="W40" s="1560">
        <f t="shared" si="14"/>
        <v>100</v>
      </c>
      <c r="X40" s="1553"/>
      <c r="Y40" s="3411"/>
      <c r="Z40" s="1561" t="str">
        <f t="shared" si="15"/>
        <v>市政基础设施</v>
      </c>
      <c r="AA40" s="1562">
        <f t="shared" si="3"/>
        <v>1</v>
      </c>
      <c r="AB40" s="1562">
        <f t="shared" si="4"/>
        <v>1</v>
      </c>
      <c r="AC40" s="156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11"/>
      <c r="Q41" s="1558" t="str">
        <f t="shared" si="11"/>
        <v>层高</v>
      </c>
      <c r="R41" s="1559" t="s">
        <v>8</v>
      </c>
      <c r="S41" s="1560">
        <f t="shared" si="12"/>
        <v>100</v>
      </c>
      <c r="T41" s="1559" t="s">
        <v>8</v>
      </c>
      <c r="U41" s="1560">
        <f t="shared" si="13"/>
        <v>100</v>
      </c>
      <c r="V41" s="1559" t="s">
        <v>8</v>
      </c>
      <c r="W41" s="1560">
        <f t="shared" si="14"/>
        <v>100</v>
      </c>
      <c r="X41" s="1553"/>
      <c r="Y41" s="3411"/>
      <c r="Z41" s="1561" t="str">
        <f t="shared" si="15"/>
        <v>层高</v>
      </c>
      <c r="AA41" s="1562">
        <f t="shared" si="3"/>
        <v>1</v>
      </c>
      <c r="AB41" s="1562">
        <f t="shared" si="4"/>
        <v>1</v>
      </c>
      <c r="AC41" s="1562">
        <f t="shared" si="5"/>
        <v>1</v>
      </c>
    </row>
    <row r="42" spans="1:29" s="1334"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11"/>
      <c r="Q42" s="1590" t="str">
        <f t="shared" si="11"/>
        <v>单套建筑面积</v>
      </c>
      <c r="R42" s="1563" t="s">
        <v>8</v>
      </c>
      <c r="S42" s="1564">
        <f t="shared" si="12"/>
        <v>100</v>
      </c>
      <c r="T42" s="1563" t="s">
        <v>8</v>
      </c>
      <c r="U42" s="1564">
        <f t="shared" si="13"/>
        <v>100</v>
      </c>
      <c r="V42" s="1563" t="s">
        <v>8</v>
      </c>
      <c r="W42" s="1564">
        <f t="shared" si="14"/>
        <v>100</v>
      </c>
      <c r="X42" s="1565"/>
      <c r="Y42" s="3411"/>
      <c r="Z42" s="1566" t="str">
        <f t="shared" si="15"/>
        <v>单套建筑面积</v>
      </c>
      <c r="AA42" s="1562">
        <f t="shared" si="3"/>
        <v>1</v>
      </c>
      <c r="AB42" s="1562">
        <f t="shared" si="4"/>
        <v>1</v>
      </c>
      <c r="AC42" s="156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11"/>
      <c r="Q43" s="1558" t="str">
        <f t="shared" si="11"/>
        <v>内部装修</v>
      </c>
      <c r="R43" s="1559" t="s">
        <v>8</v>
      </c>
      <c r="S43" s="1560">
        <f t="shared" si="12"/>
        <v>100</v>
      </c>
      <c r="T43" s="1559" t="s">
        <v>8</v>
      </c>
      <c r="U43" s="1560">
        <f t="shared" si="13"/>
        <v>100</v>
      </c>
      <c r="V43" s="1559" t="s">
        <v>8</v>
      </c>
      <c r="W43" s="1560">
        <f t="shared" si="14"/>
        <v>100</v>
      </c>
      <c r="X43" s="1553"/>
      <c r="Y43" s="3411"/>
      <c r="Z43" s="1561" t="str">
        <f t="shared" si="15"/>
        <v>内部装修</v>
      </c>
      <c r="AA43" s="1562">
        <f t="shared" si="3"/>
        <v>1</v>
      </c>
      <c r="AB43" s="1562">
        <f t="shared" si="4"/>
        <v>1</v>
      </c>
      <c r="AC43" s="1562">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11"/>
      <c r="Q44" s="1558" t="str">
        <f t="shared" si="11"/>
        <v>内部装修维护情况</v>
      </c>
      <c r="R44" s="1559" t="s">
        <v>8</v>
      </c>
      <c r="S44" s="1560">
        <f t="shared" si="12"/>
        <v>100</v>
      </c>
      <c r="T44" s="1559" t="s">
        <v>8</v>
      </c>
      <c r="U44" s="1560">
        <f t="shared" si="13"/>
        <v>100</v>
      </c>
      <c r="V44" s="1559" t="s">
        <v>8</v>
      </c>
      <c r="W44" s="1560">
        <f t="shared" si="14"/>
        <v>100</v>
      </c>
      <c r="X44" s="1553"/>
      <c r="Y44" s="3411"/>
      <c r="Z44" s="1561" t="str">
        <f t="shared" si="15"/>
        <v>内部装修维护情况</v>
      </c>
      <c r="AA44" s="1562">
        <f t="shared" si="3"/>
        <v>1</v>
      </c>
      <c r="AB44" s="1562">
        <f t="shared" si="4"/>
        <v>1</v>
      </c>
      <c r="AC44" s="1562">
        <f t="shared" si="5"/>
        <v>1</v>
      </c>
    </row>
    <row r="45" spans="1:29" s="1215"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11"/>
      <c r="Q45" s="1146">
        <f t="shared" si="11"/>
        <v>111</v>
      </c>
      <c r="R45" s="1554" t="s">
        <v>8</v>
      </c>
      <c r="S45" s="1555">
        <f t="shared" si="12"/>
        <v>100</v>
      </c>
      <c r="T45" s="1554" t="s">
        <v>8</v>
      </c>
      <c r="U45" s="1555">
        <f t="shared" si="13"/>
        <v>100</v>
      </c>
      <c r="V45" s="1554" t="s">
        <v>8</v>
      </c>
      <c r="W45" s="1555">
        <f t="shared" si="14"/>
        <v>100</v>
      </c>
      <c r="X45" s="1556"/>
      <c r="Y45" s="3411"/>
      <c r="Z45" s="1145">
        <f t="shared" si="15"/>
        <v>111</v>
      </c>
      <c r="AA45" s="1557">
        <f t="shared" si="3"/>
        <v>1</v>
      </c>
      <c r="AB45" s="1557">
        <f t="shared" si="4"/>
        <v>1</v>
      </c>
      <c r="AC45" s="155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11"/>
      <c r="Q46" s="1558">
        <f t="shared" si="11"/>
        <v>111</v>
      </c>
      <c r="R46" s="1559" t="s">
        <v>8</v>
      </c>
      <c r="S46" s="1560">
        <f t="shared" si="12"/>
        <v>100</v>
      </c>
      <c r="T46" s="1559" t="s">
        <v>8</v>
      </c>
      <c r="U46" s="1560">
        <f t="shared" si="13"/>
        <v>100</v>
      </c>
      <c r="V46" s="1559" t="s">
        <v>8</v>
      </c>
      <c r="W46" s="1560">
        <f t="shared" si="14"/>
        <v>100</v>
      </c>
      <c r="X46" s="1553"/>
      <c r="Y46" s="3411"/>
      <c r="Z46" s="1561">
        <f t="shared" si="15"/>
        <v>111</v>
      </c>
      <c r="AA46" s="1562">
        <f t="shared" si="3"/>
        <v>1</v>
      </c>
      <c r="AB46" s="1562">
        <f t="shared" si="4"/>
        <v>1</v>
      </c>
      <c r="AC46" s="1562">
        <f t="shared" si="5"/>
        <v>1</v>
      </c>
    </row>
    <row r="47" spans="1:29" ht="15.6"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92"/>
      <c r="Q47" s="1558">
        <f t="shared" si="11"/>
        <v>111</v>
      </c>
      <c r="R47" s="1559" t="s">
        <v>8</v>
      </c>
      <c r="S47" s="1560">
        <f t="shared" si="12"/>
        <v>100</v>
      </c>
      <c r="T47" s="1559" t="s">
        <v>8</v>
      </c>
      <c r="U47" s="1560">
        <f t="shared" si="13"/>
        <v>100</v>
      </c>
      <c r="V47" s="1559" t="s">
        <v>8</v>
      </c>
      <c r="W47" s="1560">
        <f t="shared" si="14"/>
        <v>100</v>
      </c>
      <c r="X47" s="1553"/>
      <c r="Y47" s="3492"/>
      <c r="Z47" s="1561">
        <f t="shared" si="15"/>
        <v>111</v>
      </c>
      <c r="AA47" s="1562">
        <f t="shared" si="3"/>
        <v>1</v>
      </c>
      <c r="AB47" s="1562">
        <f t="shared" si="4"/>
        <v>1</v>
      </c>
      <c r="AC47" s="1562">
        <f t="shared" si="5"/>
        <v>1</v>
      </c>
    </row>
    <row r="48" spans="1:29" ht="14.4">
      <c r="A48" s="607" t="s">
        <v>736</v>
      </c>
      <c r="B48" s="887"/>
      <c r="C48" s="2591" t="s">
        <v>1</v>
      </c>
      <c r="D48" s="2592"/>
      <c r="E48" s="2593"/>
      <c r="F48" s="2594"/>
      <c r="G48" s="2595"/>
      <c r="H48" s="2596"/>
      <c r="I48" s="2593"/>
      <c r="J48" s="2596"/>
      <c r="K48" s="1596"/>
      <c r="L48" s="2129"/>
      <c r="M48" s="2119"/>
      <c r="N48" s="2119"/>
      <c r="O48" s="2119"/>
      <c r="P48" s="3372" t="str">
        <f>A48</f>
        <v>成交单价（元/平方米）</v>
      </c>
      <c r="Q48" s="3374"/>
      <c r="R48" s="3491">
        <f>E48</f>
        <v>0</v>
      </c>
      <c r="S48" s="3491"/>
      <c r="T48" s="3491">
        <f>G48</f>
        <v>0</v>
      </c>
      <c r="U48" s="3491"/>
      <c r="V48" s="3491">
        <f>I48</f>
        <v>0</v>
      </c>
      <c r="W48" s="3491"/>
      <c r="X48" s="1545"/>
      <c r="Y48" s="1567"/>
      <c r="Z48" s="1545"/>
      <c r="AA48" s="1545"/>
      <c r="AB48" s="1545"/>
      <c r="AC48" s="1545"/>
    </row>
    <row r="49" spans="1:29" ht="15" thickBot="1">
      <c r="A49" s="615" t="s">
        <v>2754</v>
      </c>
      <c r="B49" s="888"/>
      <c r="C49" s="2597" t="e">
        <f>R50</f>
        <v>#DIV/0!</v>
      </c>
      <c r="D49" s="2598"/>
      <c r="E49" s="2599" t="e">
        <f>R49</f>
        <v>#DIV/0!</v>
      </c>
      <c r="F49" s="2599"/>
      <c r="G49" s="2597" t="e">
        <f>T49</f>
        <v>#DIV/0!</v>
      </c>
      <c r="H49" s="2598"/>
      <c r="I49" s="2599" t="e">
        <f>V49</f>
        <v>#DIV/0!</v>
      </c>
      <c r="J49" s="2598"/>
      <c r="K49" s="1597"/>
      <c r="L49" s="2129"/>
      <c r="M49" s="2119"/>
      <c r="N49" s="2119"/>
      <c r="O49" s="2119"/>
      <c r="P49" s="3372" t="str">
        <f>A49</f>
        <v>比较价格（元/平方米）</v>
      </c>
      <c r="Q49" s="3374"/>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1545"/>
      <c r="Y49" s="1545"/>
      <c r="Z49" s="1545"/>
      <c r="AA49" s="1545"/>
      <c r="AB49" s="1545"/>
      <c r="AC49" s="1545"/>
    </row>
    <row r="50" spans="1:29" ht="15" thickBot="1">
      <c r="A50" s="621" t="s">
        <v>2931</v>
      </c>
      <c r="B50" s="622"/>
      <c r="C50" s="2600" t="e">
        <f>R50</f>
        <v>#DIV/0!</v>
      </c>
      <c r="D50" s="2600"/>
      <c r="E50" s="2600"/>
      <c r="F50" s="2600"/>
      <c r="G50" s="2600"/>
      <c r="H50" s="2600"/>
      <c r="I50" s="2600"/>
      <c r="J50" s="2600"/>
      <c r="K50" s="1598"/>
      <c r="L50" s="2129"/>
      <c r="M50" s="2119"/>
      <c r="N50" s="2119"/>
      <c r="O50" s="2119"/>
      <c r="P50" s="3493" t="str">
        <f>A50</f>
        <v>估价对象XX用房的比较价格（楼面单价，元/平方米）</v>
      </c>
      <c r="Q50" s="3372"/>
      <c r="R50" s="3490" t="e">
        <f>IF(F1="售价",ROUND(AVERAGE(R49:V49),0),ROUND(AVERAGE(R49:V49),1))</f>
        <v>#DIV/0!</v>
      </c>
      <c r="S50" s="3490"/>
      <c r="T50" s="3490"/>
      <c r="U50" s="3490"/>
      <c r="V50" s="3490"/>
      <c r="W50" s="3490"/>
      <c r="X50" s="1545"/>
      <c r="Y50" s="1545"/>
      <c r="Z50" s="1545"/>
      <c r="AA50" s="1545"/>
      <c r="AB50" s="1545"/>
      <c r="AC50" s="1545"/>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0"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0"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2.2" thickBot="1">
      <c r="A58" s="1570" t="s">
        <v>574</v>
      </c>
      <c r="B58" s="1545"/>
      <c r="C58" s="1569"/>
      <c r="D58" s="1569"/>
      <c r="E58" s="1569"/>
      <c r="F58" s="1571"/>
      <c r="G58" s="1571"/>
      <c r="H58" s="1569"/>
      <c r="I58" s="1569"/>
      <c r="J58" s="1569"/>
      <c r="K58" s="1572"/>
      <c r="L58" s="1568"/>
      <c r="M58" s="1569"/>
      <c r="N58" s="1569"/>
      <c r="O58" s="1569"/>
      <c r="P58" s="2195"/>
      <c r="Q58" s="2143"/>
      <c r="R58" s="2130"/>
      <c r="S58" s="2130"/>
      <c r="T58" s="2130"/>
      <c r="U58" s="2130"/>
      <c r="V58" s="2130"/>
      <c r="W58" s="2130"/>
      <c r="X58" s="2130"/>
      <c r="Y58" s="2130"/>
      <c r="Z58" s="2130"/>
      <c r="AA58" s="2130"/>
      <c r="AB58" s="2130"/>
      <c r="AC58" s="2130"/>
    </row>
    <row r="59" spans="1:29" s="1342" customFormat="1" ht="14.4">
      <c r="A59" s="645" t="s">
        <v>529</v>
      </c>
      <c r="B59" s="646"/>
      <c r="C59" s="2757" t="str">
        <f>YEAR(C7)&amp;"-"&amp;MONTH(C7)</f>
        <v>2020-6</v>
      </c>
      <c r="D59" s="2759">
        <f>EDATE(C59,-1)</f>
        <v>43952</v>
      </c>
      <c r="E59" s="2759">
        <f t="shared" ref="E59:O59" si="16">EDATE(D59,-1)</f>
        <v>43922</v>
      </c>
      <c r="F59" s="2759">
        <f t="shared" si="16"/>
        <v>43891</v>
      </c>
      <c r="G59" s="2759">
        <f t="shared" si="16"/>
        <v>43862</v>
      </c>
      <c r="H59" s="2759">
        <f t="shared" si="16"/>
        <v>43831</v>
      </c>
      <c r="I59" s="2759">
        <f t="shared" si="16"/>
        <v>43800</v>
      </c>
      <c r="J59" s="2759">
        <f t="shared" si="16"/>
        <v>43770</v>
      </c>
      <c r="K59" s="2759">
        <f t="shared" si="16"/>
        <v>43739</v>
      </c>
      <c r="L59" s="2759">
        <f t="shared" si="16"/>
        <v>43709</v>
      </c>
      <c r="M59" s="2759">
        <f t="shared" si="16"/>
        <v>43678</v>
      </c>
      <c r="N59" s="2759">
        <f t="shared" si="16"/>
        <v>43647</v>
      </c>
      <c r="O59" s="2759">
        <f t="shared" si="16"/>
        <v>43617</v>
      </c>
      <c r="P59" s="2196"/>
      <c r="Q59" s="2146"/>
      <c r="R59" s="2146"/>
      <c r="S59" s="2146"/>
      <c r="T59" s="2146"/>
      <c r="U59" s="2146"/>
      <c r="V59" s="2146"/>
      <c r="W59" s="2146"/>
      <c r="X59" s="2146"/>
      <c r="Y59" s="2146"/>
      <c r="Z59" s="2146"/>
      <c r="AA59" s="2146"/>
      <c r="AB59" s="2146"/>
      <c r="AC59" s="2146"/>
    </row>
    <row r="60" spans="1:29" s="1215" customFormat="1">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5" customFormat="1" ht="1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5" customFormat="1" ht="14.4">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5" customFormat="1" ht="14.4"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ht="14.4">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4.4"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4" customFormat="1" ht="14.4"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4" customFormat="1" ht="14.4"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4" customFormat="1" ht="14.4"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4" customFormat="1" ht="14.4"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4" customFormat="1" ht="14.4"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4" customFormat="1" ht="14.4"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ht="14.4">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 thickTop="1">
      <c r="A81" s="669"/>
      <c r="B81" s="1881" t="s">
        <v>2552</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 thickTop="1">
      <c r="A83" s="669"/>
      <c r="B83" s="2561" t="s">
        <v>2553</v>
      </c>
      <c r="C83" s="2562" t="s">
        <v>2554</v>
      </c>
      <c r="D83" s="2562" t="s">
        <v>2555</v>
      </c>
      <c r="E83" s="2562" t="s">
        <v>2556</v>
      </c>
      <c r="F83" s="2562" t="s">
        <v>2557</v>
      </c>
      <c r="G83" s="2562" t="s">
        <v>2558</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4.4"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5" customFormat="1" ht="29.4"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5"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5" customFormat="1" ht="14.4"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5"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4" customFormat="1" ht="14.4"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4"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4.4"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4.4"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4.4"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4.4"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4.4"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4.4"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4.4"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ht="14.4">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4"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4" customFormat="1" ht="14.4"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4"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4"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2551</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4"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4" customFormat="1" ht="14.4"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4" customFormat="1" ht="14.4"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4" customFormat="1" ht="14.4"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4.4"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4.4"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4.4"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4.4"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503" t="s">
        <v>788</v>
      </c>
      <c r="C1" s="504" t="s">
        <v>720</v>
      </c>
      <c r="D1" s="849"/>
      <c r="E1" s="506"/>
      <c r="F1" s="2762"/>
      <c r="G1" s="1586" t="s">
        <v>721</v>
      </c>
      <c r="H1" s="506"/>
      <c r="I1" s="506"/>
      <c r="J1" s="506"/>
      <c r="K1" s="507"/>
      <c r="L1" s="1548"/>
      <c r="M1" s="1549"/>
      <c r="N1" s="1549"/>
      <c r="O1" s="1549"/>
      <c r="P1" s="1550"/>
      <c r="Q1" s="1550"/>
      <c r="R1" s="1550"/>
      <c r="S1" s="1550"/>
      <c r="T1" s="1550"/>
      <c r="U1" s="1550"/>
      <c r="V1" s="1550"/>
      <c r="W1" s="1550"/>
      <c r="X1" s="1550"/>
      <c r="Y1" s="1550"/>
      <c r="Z1" s="1550"/>
      <c r="AA1" s="1550"/>
      <c r="AB1" s="1550"/>
      <c r="AC1" s="428"/>
    </row>
    <row r="2" spans="1:29" s="1331" customFormat="1" ht="28.5" customHeight="1">
      <c r="A2" s="423" t="s">
        <v>467</v>
      </c>
      <c r="B2" s="850" t="e">
        <f>ROUND(B3*D3/10000,0)</f>
        <v>#DIV/0!</v>
      </c>
      <c r="C2" s="2112"/>
      <c r="D2" s="2112"/>
      <c r="E2" s="2113"/>
      <c r="F2" s="2114"/>
      <c r="G2" s="2113"/>
      <c r="H2" s="2113"/>
      <c r="I2" s="2113"/>
      <c r="J2" s="2113"/>
      <c r="K2" s="2113"/>
      <c r="L2" s="2116"/>
      <c r="M2" s="2117"/>
      <c r="N2" s="2117"/>
      <c r="O2" s="2117"/>
      <c r="P2" s="1550"/>
      <c r="Q2" s="1550"/>
      <c r="R2" s="1550"/>
      <c r="S2" s="1550"/>
      <c r="T2" s="1550"/>
      <c r="U2" s="1550"/>
      <c r="V2" s="1550"/>
      <c r="W2" s="1550"/>
      <c r="X2" s="1550"/>
      <c r="Y2" s="1550"/>
      <c r="Z2" s="1550"/>
      <c r="AA2" s="1550"/>
      <c r="AB2" s="1550"/>
      <c r="AC2" s="428"/>
    </row>
    <row r="3" spans="1:29" s="1331"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521</v>
      </c>
      <c r="B4" s="513"/>
      <c r="C4" s="3380" t="s">
        <v>522</v>
      </c>
      <c r="D4" s="3381"/>
      <c r="E4" s="3414" t="s">
        <v>523</v>
      </c>
      <c r="F4" s="3415"/>
      <c r="G4" s="3380" t="s">
        <v>524</v>
      </c>
      <c r="H4" s="3381"/>
      <c r="I4" s="3380" t="s">
        <v>525</v>
      </c>
      <c r="J4" s="3381"/>
      <c r="K4" s="514" t="s">
        <v>526</v>
      </c>
      <c r="L4" s="2118"/>
      <c r="M4" s="2119"/>
      <c r="N4" s="2119"/>
      <c r="O4" s="2119"/>
      <c r="P4" s="3382" t="s">
        <v>527</v>
      </c>
      <c r="Q4" s="3383"/>
      <c r="R4" s="3388" t="s">
        <v>523</v>
      </c>
      <c r="S4" s="3389"/>
      <c r="T4" s="3388" t="s">
        <v>524</v>
      </c>
      <c r="U4" s="3389"/>
      <c r="V4" s="3375" t="s">
        <v>525</v>
      </c>
      <c r="W4" s="3375"/>
      <c r="X4" s="1553"/>
      <c r="Y4" s="3388" t="s">
        <v>527</v>
      </c>
      <c r="Z4" s="3389"/>
      <c r="AA4" s="3377" t="s">
        <v>523</v>
      </c>
      <c r="AB4" s="3378" t="s">
        <v>524</v>
      </c>
      <c r="AC4" s="3377" t="s">
        <v>525</v>
      </c>
    </row>
    <row r="5" spans="1:29">
      <c r="A5" s="515"/>
      <c r="B5" s="516"/>
      <c r="C5" s="3396" t="s">
        <v>2925</v>
      </c>
      <c r="D5" s="3397"/>
      <c r="E5" s="3416" t="s">
        <v>2926</v>
      </c>
      <c r="F5" s="3417"/>
      <c r="G5" s="3396" t="s">
        <v>2927</v>
      </c>
      <c r="H5" s="3397"/>
      <c r="I5" s="3396" t="s">
        <v>2928</v>
      </c>
      <c r="J5" s="3397"/>
      <c r="K5" s="514"/>
      <c r="L5" s="2118"/>
      <c r="M5" s="2119"/>
      <c r="N5" s="2119"/>
      <c r="O5" s="2119"/>
      <c r="P5" s="3384"/>
      <c r="Q5" s="3385"/>
      <c r="R5" s="3390"/>
      <c r="S5" s="3391"/>
      <c r="T5" s="3390"/>
      <c r="U5" s="3391"/>
      <c r="V5" s="3375"/>
      <c r="W5" s="3375"/>
      <c r="X5" s="1553"/>
      <c r="Y5" s="3390"/>
      <c r="Z5" s="3391"/>
      <c r="AA5" s="3378"/>
      <c r="AB5" s="3378"/>
      <c r="AC5" s="3378"/>
    </row>
    <row r="6" spans="1:29" ht="15" thickBot="1">
      <c r="A6" s="517"/>
      <c r="B6" s="518"/>
      <c r="C6" s="3394" t="s">
        <v>2929</v>
      </c>
      <c r="D6" s="3395"/>
      <c r="E6" s="3412" t="s">
        <v>2929</v>
      </c>
      <c r="F6" s="3413"/>
      <c r="G6" s="3394" t="s">
        <v>2929</v>
      </c>
      <c r="H6" s="3395"/>
      <c r="I6" s="3394" t="s">
        <v>2929</v>
      </c>
      <c r="J6" s="3395"/>
      <c r="K6" s="514" t="s">
        <v>528</v>
      </c>
      <c r="L6" s="2118"/>
      <c r="M6" s="2119"/>
      <c r="N6" s="2119"/>
      <c r="O6" s="2119"/>
      <c r="P6" s="3386"/>
      <c r="Q6" s="3387"/>
      <c r="R6" s="3390"/>
      <c r="S6" s="3391"/>
      <c r="T6" s="3392"/>
      <c r="U6" s="3393"/>
      <c r="V6" s="3375"/>
      <c r="W6" s="3375"/>
      <c r="X6" s="1553"/>
      <c r="Y6" s="3392"/>
      <c r="Z6" s="3393"/>
      <c r="AA6" s="3379"/>
      <c r="AB6" s="3379"/>
      <c r="AC6" s="3379"/>
    </row>
    <row r="7" spans="1:29" s="1215" customFormat="1" ht="15" thickBot="1">
      <c r="A7" s="2867"/>
      <c r="B7" s="2874" t="s">
        <v>529</v>
      </c>
      <c r="C7" s="519">
        <f>'数据-取费表'!B2</f>
        <v>44006</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05" t="s">
        <v>530</v>
      </c>
      <c r="Q7" s="3407"/>
      <c r="R7" s="1554" t="s">
        <v>8</v>
      </c>
      <c r="S7" s="1555">
        <f t="shared" ref="S7:S15" si="0">F7</f>
        <v>0</v>
      </c>
      <c r="T7" s="1554" t="s">
        <v>8</v>
      </c>
      <c r="U7" s="1555">
        <f t="shared" ref="U7:U15" si="1">H7</f>
        <v>0</v>
      </c>
      <c r="V7" s="1554" t="s">
        <v>8</v>
      </c>
      <c r="W7" s="1555">
        <f t="shared" ref="W7:W15" si="2">J7</f>
        <v>0</v>
      </c>
      <c r="X7" s="1556"/>
      <c r="Y7" s="3405" t="s">
        <v>530</v>
      </c>
      <c r="Z7" s="3406"/>
      <c r="AA7" s="1557" t="e">
        <f>D7/F7</f>
        <v>#DIV/0!</v>
      </c>
      <c r="AB7" s="1557" t="e">
        <f>D7/H7</f>
        <v>#DIV/0!</v>
      </c>
      <c r="AC7" s="1557" t="e">
        <f>D7/J7</f>
        <v>#DIV/0!</v>
      </c>
    </row>
    <row r="8" spans="1:29" s="1215" customFormat="1" ht="1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05" t="s">
        <v>533</v>
      </c>
      <c r="Q8" s="3406"/>
      <c r="R8" s="1554" t="s">
        <v>8</v>
      </c>
      <c r="S8" s="1555">
        <f t="shared" si="0"/>
        <v>0</v>
      </c>
      <c r="T8" s="1554" t="s">
        <v>8</v>
      </c>
      <c r="U8" s="1555">
        <f t="shared" si="1"/>
        <v>0</v>
      </c>
      <c r="V8" s="1554" t="s">
        <v>8</v>
      </c>
      <c r="W8" s="1555">
        <f t="shared" si="2"/>
        <v>0</v>
      </c>
      <c r="X8" s="1556"/>
      <c r="Y8" s="3405" t="s">
        <v>533</v>
      </c>
      <c r="Z8" s="3406"/>
      <c r="AA8" s="1557" t="e">
        <f t="shared" ref="AA8:AA40" si="3">D8/F8</f>
        <v>#DIV/0!</v>
      </c>
      <c r="AB8" s="1557" t="e">
        <f t="shared" ref="AB8:AB40" si="4">D8/H8</f>
        <v>#DIV/0!</v>
      </c>
      <c r="AC8" s="1557" t="e">
        <f t="shared" ref="AC8:AC40" si="5">D8/J8</f>
        <v>#DIV/0!</v>
      </c>
    </row>
    <row r="9" spans="1:29" s="1215" customFormat="1" ht="14.4">
      <c r="A9" s="2869"/>
      <c r="B9" s="2876" t="s">
        <v>2750</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4" t="s">
        <v>535</v>
      </c>
      <c r="Q9" s="1146" t="str">
        <f t="shared" ref="Q9:Q15" si="6">B9</f>
        <v>用途</v>
      </c>
      <c r="R9" s="1554" t="s">
        <v>8</v>
      </c>
      <c r="S9" s="1555">
        <f t="shared" si="0"/>
        <v>100</v>
      </c>
      <c r="T9" s="1554" t="s">
        <v>8</v>
      </c>
      <c r="U9" s="1555">
        <f t="shared" si="1"/>
        <v>100</v>
      </c>
      <c r="V9" s="1554" t="s">
        <v>8</v>
      </c>
      <c r="W9" s="1555">
        <f t="shared" si="2"/>
        <v>100</v>
      </c>
      <c r="X9" s="1556"/>
      <c r="Y9" s="3319" t="s">
        <v>536</v>
      </c>
      <c r="Z9" s="1145" t="str">
        <f t="shared" ref="Z9:Z15" si="7">Q9</f>
        <v>用途</v>
      </c>
      <c r="AA9" s="1557">
        <f t="shared" si="3"/>
        <v>1</v>
      </c>
      <c r="AB9" s="1557">
        <f t="shared" si="4"/>
        <v>1</v>
      </c>
      <c r="AC9" s="1557">
        <f t="shared" si="5"/>
        <v>1</v>
      </c>
    </row>
    <row r="10" spans="1:29" s="1333" customFormat="1" ht="28.8">
      <c r="A10" s="2870"/>
      <c r="B10" s="2875" t="s">
        <v>2751</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4"/>
      <c r="Q10" s="1146" t="str">
        <f t="shared" si="6"/>
        <v>土地使用年限（年）</v>
      </c>
      <c r="R10" s="1554" t="s">
        <v>8</v>
      </c>
      <c r="S10" s="1555">
        <f t="shared" si="0"/>
        <v>100</v>
      </c>
      <c r="T10" s="1554" t="s">
        <v>8</v>
      </c>
      <c r="U10" s="1555">
        <f t="shared" si="1"/>
        <v>100</v>
      </c>
      <c r="V10" s="1554" t="s">
        <v>8</v>
      </c>
      <c r="W10" s="1555">
        <f t="shared" si="2"/>
        <v>100</v>
      </c>
      <c r="X10" s="1556"/>
      <c r="Y10" s="3319"/>
      <c r="Z10" s="1145" t="str">
        <f t="shared" si="7"/>
        <v>土地使用年限（年）</v>
      </c>
      <c r="AA10" s="1557">
        <f t="shared" si="3"/>
        <v>1</v>
      </c>
      <c r="AB10" s="1557">
        <f t="shared" si="4"/>
        <v>1</v>
      </c>
      <c r="AC10" s="1557">
        <f t="shared" si="5"/>
        <v>1</v>
      </c>
    </row>
    <row r="11" spans="1:29" ht="15">
      <c r="A11" s="2871"/>
      <c r="B11" s="2875"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4"/>
      <c r="Q11" s="1146" t="str">
        <f t="shared" si="6"/>
        <v>容积率</v>
      </c>
      <c r="R11" s="1554" t="s">
        <v>8</v>
      </c>
      <c r="S11" s="1555" t="e">
        <f t="shared" si="0"/>
        <v>#N/A</v>
      </c>
      <c r="T11" s="1554" t="s">
        <v>8</v>
      </c>
      <c r="U11" s="1555" t="e">
        <f t="shared" si="1"/>
        <v>#N/A</v>
      </c>
      <c r="V11" s="1554" t="s">
        <v>8</v>
      </c>
      <c r="W11" s="1555" t="e">
        <f t="shared" si="2"/>
        <v>#N/A</v>
      </c>
      <c r="X11" s="1556"/>
      <c r="Y11" s="3319"/>
      <c r="Z11" s="1145" t="str">
        <f t="shared" si="7"/>
        <v>容积率</v>
      </c>
      <c r="AA11" s="1557" t="e">
        <f t="shared" si="3"/>
        <v>#N/A</v>
      </c>
      <c r="AB11" s="1557" t="e">
        <f t="shared" si="4"/>
        <v>#N/A</v>
      </c>
      <c r="AC11" s="1557" t="e">
        <f t="shared" si="5"/>
        <v>#N/A</v>
      </c>
    </row>
    <row r="12" spans="1:29" s="1215"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74"/>
      <c r="Q12" s="1146">
        <f t="shared" si="6"/>
        <v>111</v>
      </c>
      <c r="R12" s="1554" t="s">
        <v>8</v>
      </c>
      <c r="S12" s="1555">
        <f t="shared" si="0"/>
        <v>100</v>
      </c>
      <c r="T12" s="1554" t="s">
        <v>8</v>
      </c>
      <c r="U12" s="1555">
        <f t="shared" si="1"/>
        <v>100</v>
      </c>
      <c r="V12" s="1554" t="s">
        <v>8</v>
      </c>
      <c r="W12" s="1555">
        <f t="shared" si="2"/>
        <v>100</v>
      </c>
      <c r="X12" s="1556"/>
      <c r="Y12" s="3319"/>
      <c r="Z12" s="1145">
        <f t="shared" si="7"/>
        <v>111</v>
      </c>
      <c r="AA12" s="1557">
        <f>D12/F12</f>
        <v>1</v>
      </c>
      <c r="AB12" s="1557">
        <f>D12/H12</f>
        <v>1</v>
      </c>
      <c r="AC12" s="1557">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74"/>
      <c r="Q13" s="1146">
        <f t="shared" si="6"/>
        <v>111</v>
      </c>
      <c r="R13" s="1554" t="s">
        <v>8</v>
      </c>
      <c r="S13" s="1555">
        <f t="shared" si="0"/>
        <v>100</v>
      </c>
      <c r="T13" s="1554" t="s">
        <v>8</v>
      </c>
      <c r="U13" s="1555">
        <f t="shared" si="1"/>
        <v>100</v>
      </c>
      <c r="V13" s="1554" t="s">
        <v>8</v>
      </c>
      <c r="W13" s="1555">
        <f t="shared" si="2"/>
        <v>100</v>
      </c>
      <c r="X13" s="1556"/>
      <c r="Y13" s="3319"/>
      <c r="Z13" s="1145">
        <f t="shared" si="7"/>
        <v>111</v>
      </c>
      <c r="AA13" s="1557">
        <f t="shared" si="3"/>
        <v>1</v>
      </c>
      <c r="AB13" s="1557">
        <f t="shared" si="4"/>
        <v>1</v>
      </c>
      <c r="AC13" s="1557">
        <f t="shared" si="5"/>
        <v>1</v>
      </c>
    </row>
    <row r="14" spans="1:29" ht="15.6"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74"/>
      <c r="Q14" s="1146">
        <f t="shared" si="6"/>
        <v>111</v>
      </c>
      <c r="R14" s="1554" t="s">
        <v>8</v>
      </c>
      <c r="S14" s="1555">
        <f t="shared" si="0"/>
        <v>100</v>
      </c>
      <c r="T14" s="1554" t="s">
        <v>8</v>
      </c>
      <c r="U14" s="1555">
        <f t="shared" si="1"/>
        <v>100</v>
      </c>
      <c r="V14" s="1554" t="s">
        <v>8</v>
      </c>
      <c r="W14" s="1555">
        <f t="shared" si="2"/>
        <v>100</v>
      </c>
      <c r="X14" s="1556"/>
      <c r="Y14" s="3319"/>
      <c r="Z14" s="1145">
        <f t="shared" si="7"/>
        <v>111</v>
      </c>
      <c r="AA14" s="1557">
        <f t="shared" si="3"/>
        <v>1</v>
      </c>
      <c r="AB14" s="1557">
        <f t="shared" si="4"/>
        <v>1</v>
      </c>
      <c r="AC14" s="1557">
        <f t="shared" si="5"/>
        <v>1</v>
      </c>
    </row>
    <row r="15" spans="1:29" ht="69">
      <c r="A15" s="2865" t="s">
        <v>2748</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08" t="s">
        <v>540</v>
      </c>
      <c r="Q15" s="1558" t="str">
        <f t="shared" si="6"/>
        <v>产业集聚程度</v>
      </c>
      <c r="R15" s="1559" t="s">
        <v>8</v>
      </c>
      <c r="S15" s="1560">
        <f t="shared" si="0"/>
        <v>100</v>
      </c>
      <c r="T15" s="1559" t="s">
        <v>8</v>
      </c>
      <c r="U15" s="1560">
        <f t="shared" si="1"/>
        <v>100</v>
      </c>
      <c r="V15" s="1559" t="s">
        <v>8</v>
      </c>
      <c r="W15" s="1560">
        <f t="shared" si="2"/>
        <v>100</v>
      </c>
      <c r="X15" s="1553"/>
      <c r="Y15" s="3408" t="s">
        <v>540</v>
      </c>
      <c r="Z15" s="1561" t="str">
        <f t="shared" si="7"/>
        <v>产业集聚程度</v>
      </c>
      <c r="AA15" s="1562">
        <f t="shared" si="3"/>
        <v>1</v>
      </c>
      <c r="AB15" s="1562">
        <f t="shared" si="4"/>
        <v>1</v>
      </c>
      <c r="AC15" s="1562">
        <f t="shared" si="5"/>
        <v>1</v>
      </c>
    </row>
    <row r="16" spans="1:29" ht="15">
      <c r="A16" s="532"/>
      <c r="B16" s="869"/>
      <c r="C16" s="576"/>
      <c r="D16" s="555"/>
      <c r="E16" s="576"/>
      <c r="F16" s="557"/>
      <c r="G16" s="576"/>
      <c r="H16" s="559"/>
      <c r="I16" s="576"/>
      <c r="J16" s="555"/>
      <c r="K16" s="899"/>
      <c r="L16" s="2127"/>
      <c r="M16" s="2119"/>
      <c r="N16" s="2119"/>
      <c r="O16" s="2126"/>
      <c r="P16" s="3409"/>
      <c r="Q16" s="1558"/>
      <c r="R16" s="1559"/>
      <c r="S16" s="1560"/>
      <c r="T16" s="1559"/>
      <c r="U16" s="1560"/>
      <c r="V16" s="1559"/>
      <c r="W16" s="1560"/>
      <c r="X16" s="1553"/>
      <c r="Y16" s="3409"/>
      <c r="Z16" s="1561"/>
      <c r="AA16" s="1562">
        <v>1</v>
      </c>
      <c r="AB16" s="1562">
        <v>1</v>
      </c>
      <c r="AC16" s="1562">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09"/>
      <c r="Q17" s="1558" t="str">
        <f>B17</f>
        <v>交通便捷度</v>
      </c>
      <c r="R17" s="1559" t="s">
        <v>8</v>
      </c>
      <c r="S17" s="1560">
        <f>F17</f>
        <v>100</v>
      </c>
      <c r="T17" s="1559" t="s">
        <v>8</v>
      </c>
      <c r="U17" s="1560">
        <f>H17</f>
        <v>100</v>
      </c>
      <c r="V17" s="1559" t="s">
        <v>8</v>
      </c>
      <c r="W17" s="1560">
        <f>J17</f>
        <v>100</v>
      </c>
      <c r="X17" s="1553"/>
      <c r="Y17" s="3409"/>
      <c r="Z17" s="1561" t="str">
        <f>Q17</f>
        <v>交通便捷度</v>
      </c>
      <c r="AA17" s="1562">
        <f t="shared" si="3"/>
        <v>1</v>
      </c>
      <c r="AB17" s="1562">
        <f t="shared" si="4"/>
        <v>1</v>
      </c>
      <c r="AC17" s="1562">
        <f t="shared" si="5"/>
        <v>1</v>
      </c>
    </row>
    <row r="18" spans="1:29" ht="15">
      <c r="A18" s="532"/>
      <c r="B18" s="595"/>
      <c r="C18" s="873"/>
      <c r="D18" s="559"/>
      <c r="E18" s="568"/>
      <c r="F18" s="563"/>
      <c r="G18" s="569"/>
      <c r="H18" s="555"/>
      <c r="I18" s="568"/>
      <c r="J18" s="555"/>
      <c r="K18" s="899"/>
      <c r="L18" s="2127"/>
      <c r="M18" s="2119"/>
      <c r="N18" s="2119"/>
      <c r="O18" s="2126"/>
      <c r="P18" s="3409"/>
      <c r="Q18" s="1558"/>
      <c r="R18" s="1559"/>
      <c r="S18" s="1560"/>
      <c r="T18" s="1559"/>
      <c r="U18" s="1560"/>
      <c r="V18" s="1559"/>
      <c r="W18" s="1560"/>
      <c r="X18" s="1553"/>
      <c r="Y18" s="3409"/>
      <c r="Z18" s="1561"/>
      <c r="AA18" s="1562">
        <v>1</v>
      </c>
      <c r="AB18" s="1562">
        <v>1</v>
      </c>
      <c r="AC18" s="1562">
        <v>1</v>
      </c>
    </row>
    <row r="19" spans="1:29" ht="41.4">
      <c r="A19" s="532"/>
      <c r="B19" s="2567"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09"/>
      <c r="Q19" s="1558" t="str">
        <f>B19</f>
        <v>公共配套设施</v>
      </c>
      <c r="R19" s="1559" t="s">
        <v>8</v>
      </c>
      <c r="S19" s="1560">
        <f>F19</f>
        <v>100</v>
      </c>
      <c r="T19" s="1559" t="s">
        <v>8</v>
      </c>
      <c r="U19" s="1560">
        <f>H19</f>
        <v>100</v>
      </c>
      <c r="V19" s="1559" t="s">
        <v>8</v>
      </c>
      <c r="W19" s="1560">
        <f>J19</f>
        <v>100</v>
      </c>
      <c r="X19" s="1553"/>
      <c r="Y19" s="3409"/>
      <c r="Z19" s="1561" t="str">
        <f>Q19</f>
        <v>公共配套设施</v>
      </c>
      <c r="AA19" s="1562">
        <f t="shared" si="3"/>
        <v>1</v>
      </c>
      <c r="AB19" s="1562">
        <f t="shared" si="4"/>
        <v>1</v>
      </c>
      <c r="AC19" s="1562">
        <f t="shared" si="5"/>
        <v>1</v>
      </c>
    </row>
    <row r="20" spans="1:29" ht="15">
      <c r="A20" s="532"/>
      <c r="B20" s="566"/>
      <c r="C20" s="576"/>
      <c r="D20" s="555"/>
      <c r="E20" s="556"/>
      <c r="F20" s="557"/>
      <c r="G20" s="558"/>
      <c r="H20" s="555"/>
      <c r="I20" s="556"/>
      <c r="J20" s="555"/>
      <c r="K20" s="899"/>
      <c r="L20" s="2127"/>
      <c r="M20" s="2119"/>
      <c r="N20" s="2119"/>
      <c r="O20" s="2126"/>
      <c r="P20" s="3409"/>
      <c r="Q20" s="1558"/>
      <c r="R20" s="1559"/>
      <c r="S20" s="1560"/>
      <c r="T20" s="1559"/>
      <c r="U20" s="1560"/>
      <c r="V20" s="1559"/>
      <c r="W20" s="1560"/>
      <c r="X20" s="1553"/>
      <c r="Y20" s="3409"/>
      <c r="Z20" s="1561"/>
      <c r="AA20" s="1562">
        <v>1</v>
      </c>
      <c r="AB20" s="1562">
        <v>1</v>
      </c>
      <c r="AC20" s="1562">
        <v>1</v>
      </c>
    </row>
    <row r="21" spans="1:29" ht="41.4">
      <c r="A21" s="532"/>
      <c r="B21" s="2555"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09"/>
      <c r="Q21" s="2543" t="str">
        <f>B21</f>
        <v>基础设施水平</v>
      </c>
      <c r="R21" s="1559" t="s">
        <v>8</v>
      </c>
      <c r="S21" s="1560">
        <f>F21</f>
        <v>100</v>
      </c>
      <c r="T21" s="1559" t="s">
        <v>8</v>
      </c>
      <c r="U21" s="1560">
        <f>H21</f>
        <v>100</v>
      </c>
      <c r="V21" s="1559" t="s">
        <v>8</v>
      </c>
      <c r="W21" s="1560">
        <f>J21</f>
        <v>100</v>
      </c>
      <c r="X21" s="2545"/>
      <c r="Y21" s="3409"/>
      <c r="Z21" s="2544" t="str">
        <f>Q21</f>
        <v>基础设施水平</v>
      </c>
      <c r="AA21" s="1562">
        <f t="shared" ref="AA21" si="8">D21/F21</f>
        <v>1</v>
      </c>
      <c r="AB21" s="1562">
        <f t="shared" ref="AB21" si="9">D21/H21</f>
        <v>1</v>
      </c>
      <c r="AC21" s="1562">
        <f t="shared" ref="AC21" si="10">D21/J21</f>
        <v>1</v>
      </c>
    </row>
    <row r="22" spans="1:29" ht="15">
      <c r="A22" s="532"/>
      <c r="B22" s="578"/>
      <c r="C22" s="873"/>
      <c r="D22" s="555"/>
      <c r="E22" s="576"/>
      <c r="F22" s="557"/>
      <c r="G22" s="576"/>
      <c r="H22" s="555"/>
      <c r="I22" s="576"/>
      <c r="J22" s="555"/>
      <c r="K22" s="2566"/>
      <c r="L22" s="2127"/>
      <c r="M22" s="2119"/>
      <c r="N22" s="2119"/>
      <c r="O22" s="2126"/>
      <c r="P22" s="3409"/>
      <c r="Q22" s="2543"/>
      <c r="R22" s="1559"/>
      <c r="S22" s="1560"/>
      <c r="T22" s="1559"/>
      <c r="U22" s="1560"/>
      <c r="V22" s="1559"/>
      <c r="W22" s="1560"/>
      <c r="X22" s="2545"/>
      <c r="Y22" s="3409"/>
      <c r="Z22" s="2544"/>
      <c r="AA22" s="1562">
        <v>1</v>
      </c>
      <c r="AB22" s="1562">
        <v>1</v>
      </c>
      <c r="AC22" s="1562">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09"/>
      <c r="Q23" s="1558" t="str">
        <f>B23</f>
        <v>环境质量</v>
      </c>
      <c r="R23" s="1559" t="s">
        <v>8</v>
      </c>
      <c r="S23" s="1560">
        <f>F23</f>
        <v>100</v>
      </c>
      <c r="T23" s="1559" t="s">
        <v>8</v>
      </c>
      <c r="U23" s="1560">
        <f>H23</f>
        <v>100</v>
      </c>
      <c r="V23" s="1559" t="s">
        <v>8</v>
      </c>
      <c r="W23" s="1560">
        <f>J23</f>
        <v>100</v>
      </c>
      <c r="X23" s="1553"/>
      <c r="Y23" s="3409"/>
      <c r="Z23" s="1561" t="str">
        <f>Q23</f>
        <v>环境质量</v>
      </c>
      <c r="AA23" s="1562">
        <f t="shared" si="3"/>
        <v>1</v>
      </c>
      <c r="AB23" s="1562">
        <f t="shared" si="4"/>
        <v>1</v>
      </c>
      <c r="AC23" s="1562">
        <f t="shared" si="5"/>
        <v>1</v>
      </c>
    </row>
    <row r="24" spans="1:29" ht="15">
      <c r="A24" s="532"/>
      <c r="B24" s="922"/>
      <c r="C24" s="576"/>
      <c r="D24" s="555"/>
      <c r="E24" s="556"/>
      <c r="F24" s="557"/>
      <c r="G24" s="558"/>
      <c r="H24" s="555"/>
      <c r="I24" s="556"/>
      <c r="J24" s="555"/>
      <c r="K24" s="899"/>
      <c r="L24" s="2127"/>
      <c r="M24" s="2119"/>
      <c r="N24" s="2119"/>
      <c r="O24" s="2126"/>
      <c r="P24" s="3409"/>
      <c r="Q24" s="1558"/>
      <c r="R24" s="1559"/>
      <c r="S24" s="1560"/>
      <c r="T24" s="1559"/>
      <c r="U24" s="1560"/>
      <c r="V24" s="1559"/>
      <c r="W24" s="1560"/>
      <c r="X24" s="1553"/>
      <c r="Y24" s="3409"/>
      <c r="Z24" s="1561"/>
      <c r="AA24" s="1562">
        <v>1</v>
      </c>
      <c r="AB24" s="1562">
        <v>1</v>
      </c>
      <c r="AC24" s="156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09"/>
      <c r="Q25" s="1558">
        <f>B25</f>
        <v>111</v>
      </c>
      <c r="R25" s="1559" t="s">
        <v>8</v>
      </c>
      <c r="S25" s="1560">
        <f>F25</f>
        <v>100</v>
      </c>
      <c r="T25" s="1559" t="s">
        <v>8</v>
      </c>
      <c r="U25" s="1560">
        <f>H25</f>
        <v>100</v>
      </c>
      <c r="V25" s="1559" t="s">
        <v>8</v>
      </c>
      <c r="W25" s="1560">
        <f>J25</f>
        <v>100</v>
      </c>
      <c r="X25" s="1553"/>
      <c r="Y25" s="3409"/>
      <c r="Z25" s="1561">
        <f>Q25</f>
        <v>111</v>
      </c>
      <c r="AA25" s="1562">
        <f t="shared" si="3"/>
        <v>1</v>
      </c>
      <c r="AB25" s="1562">
        <f t="shared" si="4"/>
        <v>1</v>
      </c>
      <c r="AC25" s="156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09"/>
      <c r="Q26" s="1558">
        <f t="shared" ref="Q26:Q40" si="11">B26</f>
        <v>111</v>
      </c>
      <c r="R26" s="1559" t="s">
        <v>8</v>
      </c>
      <c r="S26" s="1560">
        <f>F26</f>
        <v>100</v>
      </c>
      <c r="T26" s="1559" t="s">
        <v>8</v>
      </c>
      <c r="U26" s="1560">
        <f>H26</f>
        <v>100</v>
      </c>
      <c r="V26" s="1559" t="s">
        <v>8</v>
      </c>
      <c r="W26" s="1560">
        <f>J26</f>
        <v>100</v>
      </c>
      <c r="X26" s="1553"/>
      <c r="Y26" s="3409"/>
      <c r="Z26" s="1561">
        <f>Q26</f>
        <v>111</v>
      </c>
      <c r="AA26" s="1562">
        <f t="shared" si="3"/>
        <v>1</v>
      </c>
      <c r="AB26" s="1562">
        <f t="shared" si="4"/>
        <v>1</v>
      </c>
      <c r="AC26" s="1562">
        <f t="shared" si="5"/>
        <v>1</v>
      </c>
    </row>
    <row r="27" spans="1:29" s="1215"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09"/>
      <c r="Q27" s="1146">
        <f t="shared" si="11"/>
        <v>111</v>
      </c>
      <c r="R27" s="1554" t="s">
        <v>8</v>
      </c>
      <c r="S27" s="1555">
        <f>F27</f>
        <v>100</v>
      </c>
      <c r="T27" s="1554" t="s">
        <v>8</v>
      </c>
      <c r="U27" s="1555">
        <f>H27</f>
        <v>100</v>
      </c>
      <c r="V27" s="1554" t="s">
        <v>8</v>
      </c>
      <c r="W27" s="1555">
        <f>J27</f>
        <v>100</v>
      </c>
      <c r="X27" s="1556"/>
      <c r="Y27" s="3409"/>
      <c r="Z27" s="1145">
        <f>Q27</f>
        <v>111</v>
      </c>
      <c r="AA27" s="1562">
        <f>D27/F27</f>
        <v>1</v>
      </c>
      <c r="AB27" s="1562">
        <f>D27/H27</f>
        <v>1</v>
      </c>
      <c r="AC27" s="1562">
        <f>D27/J27</f>
        <v>1</v>
      </c>
    </row>
    <row r="28" spans="1:29" ht="15.6"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09"/>
      <c r="Q28" s="1558">
        <f t="shared" si="11"/>
        <v>111</v>
      </c>
      <c r="R28" s="1559" t="s">
        <v>8</v>
      </c>
      <c r="S28" s="1560">
        <f t="shared" ref="S28:S40" si="12">F28</f>
        <v>100</v>
      </c>
      <c r="T28" s="1559" t="s">
        <v>8</v>
      </c>
      <c r="U28" s="1560">
        <f t="shared" ref="U28:U40" si="13">H28</f>
        <v>100</v>
      </c>
      <c r="V28" s="1559" t="s">
        <v>8</v>
      </c>
      <c r="W28" s="1560">
        <f t="shared" ref="W28:W40" si="14">J28</f>
        <v>100</v>
      </c>
      <c r="X28" s="1553"/>
      <c r="Y28" s="3409"/>
      <c r="Z28" s="1561">
        <f t="shared" ref="Z28:Z40" si="15">Q28</f>
        <v>111</v>
      </c>
      <c r="AA28" s="1562">
        <f t="shared" si="3"/>
        <v>1</v>
      </c>
      <c r="AB28" s="1562">
        <f t="shared" si="4"/>
        <v>1</v>
      </c>
      <c r="AC28" s="1562">
        <f t="shared" si="5"/>
        <v>1</v>
      </c>
    </row>
    <row r="29" spans="1:29" ht="15">
      <c r="A29" s="2862" t="s">
        <v>2749</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10" t="s">
        <v>550</v>
      </c>
      <c r="Q29" s="1558" t="str">
        <f t="shared" si="11"/>
        <v>建筑类型</v>
      </c>
      <c r="R29" s="1559" t="s">
        <v>8</v>
      </c>
      <c r="S29" s="1560">
        <f t="shared" si="12"/>
        <v>100</v>
      </c>
      <c r="T29" s="1559" t="s">
        <v>8</v>
      </c>
      <c r="U29" s="1560">
        <f t="shared" si="13"/>
        <v>100</v>
      </c>
      <c r="V29" s="1559" t="s">
        <v>8</v>
      </c>
      <c r="W29" s="1560">
        <f t="shared" si="14"/>
        <v>100</v>
      </c>
      <c r="X29" s="1553"/>
      <c r="Y29" s="3411" t="s">
        <v>550</v>
      </c>
      <c r="Z29" s="1561" t="str">
        <f t="shared" si="15"/>
        <v>建筑类型</v>
      </c>
      <c r="AA29" s="1562">
        <f t="shared" si="3"/>
        <v>1</v>
      </c>
      <c r="AB29" s="1562">
        <f t="shared" si="4"/>
        <v>1</v>
      </c>
      <c r="AC29" s="1562">
        <f t="shared" si="5"/>
        <v>1</v>
      </c>
    </row>
    <row r="30" spans="1:29" s="1334"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11"/>
      <c r="Q30" s="1590" t="str">
        <f t="shared" si="11"/>
        <v>项目建筑规模</v>
      </c>
      <c r="R30" s="1563" t="s">
        <v>8</v>
      </c>
      <c r="S30" s="1564" t="e">
        <f t="shared" si="12"/>
        <v>#N/A</v>
      </c>
      <c r="T30" s="1563" t="s">
        <v>8</v>
      </c>
      <c r="U30" s="1564" t="e">
        <f t="shared" si="13"/>
        <v>#N/A</v>
      </c>
      <c r="V30" s="1563" t="s">
        <v>8</v>
      </c>
      <c r="W30" s="1564" t="e">
        <f t="shared" si="14"/>
        <v>#N/A</v>
      </c>
      <c r="X30" s="1565"/>
      <c r="Y30" s="3411"/>
      <c r="Z30" s="1566" t="str">
        <f t="shared" si="15"/>
        <v>项目建筑规模</v>
      </c>
      <c r="AA30" s="1562" t="e">
        <f t="shared" si="3"/>
        <v>#N/A</v>
      </c>
      <c r="AB30" s="1562" t="e">
        <f t="shared" si="4"/>
        <v>#N/A</v>
      </c>
      <c r="AC30" s="156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11"/>
      <c r="Q31" s="1558" t="str">
        <f t="shared" si="11"/>
        <v>建筑结构</v>
      </c>
      <c r="R31" s="1559" t="s">
        <v>8</v>
      </c>
      <c r="S31" s="1560">
        <f t="shared" si="12"/>
        <v>100</v>
      </c>
      <c r="T31" s="1559" t="s">
        <v>8</v>
      </c>
      <c r="U31" s="1560">
        <f t="shared" si="13"/>
        <v>100</v>
      </c>
      <c r="V31" s="1559" t="s">
        <v>8</v>
      </c>
      <c r="W31" s="1560">
        <f t="shared" si="14"/>
        <v>100</v>
      </c>
      <c r="X31" s="1553"/>
      <c r="Y31" s="3411"/>
      <c r="Z31" s="1561" t="str">
        <f t="shared" si="15"/>
        <v>建筑结构</v>
      </c>
      <c r="AA31" s="1562">
        <f t="shared" si="3"/>
        <v>1</v>
      </c>
      <c r="AB31" s="1562">
        <f t="shared" si="4"/>
        <v>1</v>
      </c>
      <c r="AC31" s="156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11"/>
      <c r="Q32" s="1558" t="str">
        <f t="shared" si="11"/>
        <v>公共部分装修</v>
      </c>
      <c r="R32" s="1559" t="s">
        <v>8</v>
      </c>
      <c r="S32" s="1560">
        <f t="shared" si="12"/>
        <v>100</v>
      </c>
      <c r="T32" s="1559" t="s">
        <v>8</v>
      </c>
      <c r="U32" s="1560">
        <f t="shared" si="13"/>
        <v>100</v>
      </c>
      <c r="V32" s="1559" t="s">
        <v>8</v>
      </c>
      <c r="W32" s="1560">
        <f t="shared" si="14"/>
        <v>100</v>
      </c>
      <c r="X32" s="1553"/>
      <c r="Y32" s="3411"/>
      <c r="Z32" s="1561" t="str">
        <f t="shared" si="15"/>
        <v>公共部分装修</v>
      </c>
      <c r="AA32" s="1562">
        <f t="shared" si="3"/>
        <v>1</v>
      </c>
      <c r="AB32" s="1562">
        <f t="shared" si="4"/>
        <v>1</v>
      </c>
      <c r="AC32" s="1562">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11"/>
      <c r="Q33" s="1558" t="str">
        <f t="shared" si="11"/>
        <v>成新度</v>
      </c>
      <c r="R33" s="1559" t="s">
        <v>8</v>
      </c>
      <c r="S33" s="1560" t="e">
        <f t="shared" si="12"/>
        <v>#N/A</v>
      </c>
      <c r="T33" s="1559" t="s">
        <v>8</v>
      </c>
      <c r="U33" s="1560" t="e">
        <f t="shared" si="13"/>
        <v>#N/A</v>
      </c>
      <c r="V33" s="1559" t="s">
        <v>8</v>
      </c>
      <c r="W33" s="1560" t="e">
        <f t="shared" si="14"/>
        <v>#N/A</v>
      </c>
      <c r="X33" s="1553"/>
      <c r="Y33" s="3411"/>
      <c r="Z33" s="1561" t="str">
        <f t="shared" si="15"/>
        <v>成新度</v>
      </c>
      <c r="AA33" s="1562" t="e">
        <f t="shared" si="3"/>
        <v>#N/A</v>
      </c>
      <c r="AB33" s="1562" t="e">
        <f t="shared" si="4"/>
        <v>#N/A</v>
      </c>
      <c r="AC33" s="1562" t="e">
        <f t="shared" si="5"/>
        <v>#N/A</v>
      </c>
    </row>
    <row r="34" spans="1:29" s="1215"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11"/>
      <c r="Q34" s="1146" t="str">
        <f t="shared" si="11"/>
        <v>物业管理</v>
      </c>
      <c r="R34" s="1554" t="s">
        <v>8</v>
      </c>
      <c r="S34" s="1555">
        <f t="shared" si="12"/>
        <v>100</v>
      </c>
      <c r="T34" s="1554" t="s">
        <v>8</v>
      </c>
      <c r="U34" s="1555">
        <f t="shared" si="13"/>
        <v>100</v>
      </c>
      <c r="V34" s="1554" t="s">
        <v>8</v>
      </c>
      <c r="W34" s="1555">
        <f t="shared" si="14"/>
        <v>100</v>
      </c>
      <c r="X34" s="1556"/>
      <c r="Y34" s="3411"/>
      <c r="Z34" s="1145" t="str">
        <f t="shared" si="15"/>
        <v>物业管理</v>
      </c>
      <c r="AA34" s="1557">
        <f t="shared" si="3"/>
        <v>1</v>
      </c>
      <c r="AB34" s="1557">
        <f t="shared" si="4"/>
        <v>1</v>
      </c>
      <c r="AC34" s="1557">
        <f t="shared" si="5"/>
        <v>1</v>
      </c>
    </row>
    <row r="35" spans="1:29" ht="15">
      <c r="A35" s="594"/>
      <c r="B35" s="1880"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11" t="s">
        <v>550</v>
      </c>
      <c r="Q35" s="1558" t="str">
        <f t="shared" si="11"/>
        <v>市政基础设施</v>
      </c>
      <c r="R35" s="1559" t="s">
        <v>8</v>
      </c>
      <c r="S35" s="1560">
        <f t="shared" si="12"/>
        <v>100</v>
      </c>
      <c r="T35" s="1559" t="s">
        <v>8</v>
      </c>
      <c r="U35" s="1560">
        <f t="shared" si="13"/>
        <v>100</v>
      </c>
      <c r="V35" s="1559" t="s">
        <v>8</v>
      </c>
      <c r="W35" s="1560">
        <f t="shared" si="14"/>
        <v>100</v>
      </c>
      <c r="X35" s="1553"/>
      <c r="Y35" s="3411" t="s">
        <v>550</v>
      </c>
      <c r="Z35" s="1561" t="str">
        <f t="shared" si="15"/>
        <v>市政基础设施</v>
      </c>
      <c r="AA35" s="1562">
        <f t="shared" si="3"/>
        <v>1</v>
      </c>
      <c r="AB35" s="1562">
        <f t="shared" si="4"/>
        <v>1</v>
      </c>
      <c r="AC35" s="156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11"/>
      <c r="Q36" s="1558" t="str">
        <f t="shared" si="11"/>
        <v>内部装修</v>
      </c>
      <c r="R36" s="1559" t="s">
        <v>8</v>
      </c>
      <c r="S36" s="1560">
        <f t="shared" si="12"/>
        <v>100</v>
      </c>
      <c r="T36" s="1559" t="s">
        <v>8</v>
      </c>
      <c r="U36" s="1560">
        <f t="shared" si="13"/>
        <v>100</v>
      </c>
      <c r="V36" s="1559" t="s">
        <v>8</v>
      </c>
      <c r="W36" s="1560">
        <f t="shared" si="14"/>
        <v>100</v>
      </c>
      <c r="X36" s="1553"/>
      <c r="Y36" s="3411"/>
      <c r="Z36" s="1561" t="str">
        <f t="shared" si="15"/>
        <v>内部装修</v>
      </c>
      <c r="AA36" s="1562">
        <f t="shared" si="3"/>
        <v>1</v>
      </c>
      <c r="AB36" s="1562">
        <f t="shared" si="4"/>
        <v>1</v>
      </c>
      <c r="AC36" s="156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11"/>
      <c r="Q37" s="1558" t="str">
        <f t="shared" si="11"/>
        <v>内部装修状况</v>
      </c>
      <c r="R37" s="1559" t="s">
        <v>8</v>
      </c>
      <c r="S37" s="1560">
        <f t="shared" si="12"/>
        <v>100</v>
      </c>
      <c r="T37" s="1559" t="s">
        <v>8</v>
      </c>
      <c r="U37" s="1560">
        <f t="shared" si="13"/>
        <v>100</v>
      </c>
      <c r="V37" s="1559" t="s">
        <v>8</v>
      </c>
      <c r="W37" s="1560">
        <f t="shared" si="14"/>
        <v>100</v>
      </c>
      <c r="X37" s="1553"/>
      <c r="Y37" s="3411"/>
      <c r="Z37" s="1561" t="str">
        <f t="shared" si="15"/>
        <v>内部装修状况</v>
      </c>
      <c r="AA37" s="1562">
        <f t="shared" si="3"/>
        <v>1</v>
      </c>
      <c r="AB37" s="1562">
        <f t="shared" si="4"/>
        <v>1</v>
      </c>
      <c r="AC37" s="1562">
        <f t="shared" si="5"/>
        <v>1</v>
      </c>
    </row>
    <row r="38" spans="1:29" s="1334"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11"/>
      <c r="Q38" s="1590">
        <f t="shared" si="11"/>
        <v>111</v>
      </c>
      <c r="R38" s="1563" t="s">
        <v>8</v>
      </c>
      <c r="S38" s="1564">
        <f t="shared" si="12"/>
        <v>100</v>
      </c>
      <c r="T38" s="1563" t="s">
        <v>8</v>
      </c>
      <c r="U38" s="1564">
        <f t="shared" si="13"/>
        <v>100</v>
      </c>
      <c r="V38" s="1563" t="s">
        <v>8</v>
      </c>
      <c r="W38" s="1564">
        <f t="shared" si="14"/>
        <v>100</v>
      </c>
      <c r="X38" s="1565"/>
      <c r="Y38" s="3411"/>
      <c r="Z38" s="1566">
        <f t="shared" si="15"/>
        <v>111</v>
      </c>
      <c r="AA38" s="1562">
        <f t="shared" si="3"/>
        <v>1</v>
      </c>
      <c r="AB38" s="1562">
        <f t="shared" si="4"/>
        <v>1</v>
      </c>
      <c r="AC38" s="1562">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11"/>
      <c r="Q39" s="1558">
        <f t="shared" si="11"/>
        <v>111</v>
      </c>
      <c r="R39" s="1559" t="s">
        <v>8</v>
      </c>
      <c r="S39" s="1560">
        <f t="shared" si="12"/>
        <v>100</v>
      </c>
      <c r="T39" s="1559" t="s">
        <v>8</v>
      </c>
      <c r="U39" s="1560">
        <f t="shared" si="13"/>
        <v>100</v>
      </c>
      <c r="V39" s="1559" t="s">
        <v>8</v>
      </c>
      <c r="W39" s="1560">
        <f t="shared" si="14"/>
        <v>100</v>
      </c>
      <c r="X39" s="1553"/>
      <c r="Y39" s="3411"/>
      <c r="Z39" s="1561">
        <f t="shared" si="15"/>
        <v>111</v>
      </c>
      <c r="AA39" s="1562">
        <f t="shared" si="3"/>
        <v>1</v>
      </c>
      <c r="AB39" s="1562">
        <f t="shared" si="4"/>
        <v>1</v>
      </c>
      <c r="AC39" s="1562">
        <f t="shared" si="5"/>
        <v>1</v>
      </c>
    </row>
    <row r="40" spans="1:29" ht="15.6"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92"/>
      <c r="Q40" s="1558">
        <f t="shared" si="11"/>
        <v>111</v>
      </c>
      <c r="R40" s="1559" t="s">
        <v>8</v>
      </c>
      <c r="S40" s="1560">
        <f t="shared" si="12"/>
        <v>100</v>
      </c>
      <c r="T40" s="1559" t="s">
        <v>8</v>
      </c>
      <c r="U40" s="1560">
        <f t="shared" si="13"/>
        <v>100</v>
      </c>
      <c r="V40" s="1559" t="s">
        <v>8</v>
      </c>
      <c r="W40" s="1560">
        <f t="shared" si="14"/>
        <v>100</v>
      </c>
      <c r="X40" s="1553"/>
      <c r="Y40" s="3492"/>
      <c r="Z40" s="1561">
        <f t="shared" si="15"/>
        <v>111</v>
      </c>
      <c r="AA40" s="1562">
        <f t="shared" si="3"/>
        <v>1</v>
      </c>
      <c r="AB40" s="1562">
        <f t="shared" si="4"/>
        <v>1</v>
      </c>
      <c r="AC40" s="1562">
        <f t="shared" si="5"/>
        <v>1</v>
      </c>
    </row>
    <row r="41" spans="1:29" ht="14.4">
      <c r="A41" s="607" t="s">
        <v>736</v>
      </c>
      <c r="B41" s="887"/>
      <c r="C41" s="2591" t="s">
        <v>1</v>
      </c>
      <c r="D41" s="2592"/>
      <c r="E41" s="2593"/>
      <c r="F41" s="2594"/>
      <c r="G41" s="2595"/>
      <c r="H41" s="2596"/>
      <c r="I41" s="2593"/>
      <c r="J41" s="2596"/>
      <c r="K41" s="1596"/>
      <c r="L41" s="2129"/>
      <c r="M41" s="2130"/>
      <c r="N41" s="2119"/>
      <c r="O41" s="2130"/>
      <c r="P41" s="3374" t="str">
        <f>A41</f>
        <v>成交单价（元/平方米）</v>
      </c>
      <c r="Q41" s="3374"/>
      <c r="R41" s="3491">
        <f>E41</f>
        <v>0</v>
      </c>
      <c r="S41" s="3491"/>
      <c r="T41" s="3491">
        <f>G41</f>
        <v>0</v>
      </c>
      <c r="U41" s="3491"/>
      <c r="V41" s="3491">
        <f>I41</f>
        <v>0</v>
      </c>
      <c r="W41" s="3491"/>
      <c r="X41" s="1545"/>
      <c r="Y41" s="1567"/>
      <c r="Z41" s="1545"/>
      <c r="AA41" s="1545"/>
      <c r="AB41" s="1545"/>
      <c r="AC41" s="1545"/>
    </row>
    <row r="42" spans="1:29" ht="15" thickBot="1">
      <c r="A42" s="615" t="s">
        <v>2754</v>
      </c>
      <c r="B42" s="888"/>
      <c r="C42" s="2597" t="e">
        <f>R43</f>
        <v>#DIV/0!</v>
      </c>
      <c r="D42" s="2598"/>
      <c r="E42" s="2599" t="e">
        <f>R42</f>
        <v>#DIV/0!</v>
      </c>
      <c r="F42" s="2599"/>
      <c r="G42" s="2597" t="e">
        <f>T42</f>
        <v>#DIV/0!</v>
      </c>
      <c r="H42" s="2598"/>
      <c r="I42" s="2599" t="e">
        <f>V42</f>
        <v>#DIV/0!</v>
      </c>
      <c r="J42" s="2598"/>
      <c r="K42" s="1597"/>
      <c r="L42" s="2129"/>
      <c r="M42" s="2130"/>
      <c r="N42" s="2119"/>
      <c r="O42" s="2130"/>
      <c r="P42" s="3374" t="str">
        <f>A42</f>
        <v>比较价格（元/平方米）</v>
      </c>
      <c r="Q42" s="3374"/>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45"/>
      <c r="Y42" s="1545"/>
      <c r="Z42" s="1545"/>
      <c r="AA42" s="1545"/>
      <c r="AB42" s="1545"/>
      <c r="AC42" s="1545"/>
    </row>
    <row r="43" spans="1:29" ht="15" thickBot="1">
      <c r="A43" s="621" t="s">
        <v>2931</v>
      </c>
      <c r="B43" s="622"/>
      <c r="C43" s="2600" t="e">
        <f>R43</f>
        <v>#DIV/0!</v>
      </c>
      <c r="D43" s="2600"/>
      <c r="E43" s="2600"/>
      <c r="F43" s="2600"/>
      <c r="G43" s="2600"/>
      <c r="H43" s="2600"/>
      <c r="I43" s="2600"/>
      <c r="J43" s="2600"/>
      <c r="K43" s="1598"/>
      <c r="L43" s="2129"/>
      <c r="M43" s="2130"/>
      <c r="N43" s="2130"/>
      <c r="O43" s="2130"/>
      <c r="P43" s="3371" t="str">
        <f>A43</f>
        <v>估价对象XX用房的比较价格（楼面单价，元/平方米）</v>
      </c>
      <c r="Q43" s="3372"/>
      <c r="R43" s="3490" t="e">
        <f>IF(F1="售价",ROUND(AVERAGE(R42:V42),0),ROUND(AVERAGE(R42:V42),1))</f>
        <v>#DIV/0!</v>
      </c>
      <c r="S43" s="3490"/>
      <c r="T43" s="3490"/>
      <c r="U43" s="3490"/>
      <c r="V43" s="3490"/>
      <c r="W43" s="3490"/>
      <c r="X43" s="1545"/>
      <c r="Y43" s="1545"/>
      <c r="Z43" s="1545"/>
      <c r="AA43" s="1545"/>
      <c r="AB43" s="1545"/>
      <c r="AC43" s="1545"/>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0"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0"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2.2" thickBot="1">
      <c r="A51" s="1570" t="s">
        <v>574</v>
      </c>
      <c r="B51" s="1545"/>
      <c r="C51" s="1569"/>
      <c r="D51" s="1569"/>
      <c r="E51" s="1569"/>
      <c r="F51" s="1571"/>
      <c r="G51" s="1571"/>
      <c r="H51" s="1569"/>
      <c r="I51" s="1569"/>
      <c r="J51" s="1569"/>
      <c r="K51" s="1572"/>
      <c r="L51" s="1568"/>
      <c r="M51" s="1569"/>
      <c r="N51" s="1569"/>
      <c r="O51" s="1569"/>
      <c r="P51" s="2142"/>
      <c r="Q51" s="2143"/>
      <c r="R51" s="2130"/>
      <c r="S51" s="2130"/>
      <c r="T51" s="2130"/>
      <c r="U51" s="2130"/>
      <c r="V51" s="2130"/>
      <c r="W51" s="2130"/>
      <c r="X51" s="2130"/>
      <c r="Y51" s="2130"/>
      <c r="Z51" s="2130"/>
      <c r="AA51" s="2130"/>
      <c r="AB51" s="2130"/>
      <c r="AC51" s="2130"/>
    </row>
    <row r="52" spans="1:29" s="1342" customFormat="1" ht="14.4">
      <c r="A52" s="645" t="s">
        <v>529</v>
      </c>
      <c r="B52" s="646"/>
      <c r="C52" s="2757" t="str">
        <f>YEAR(C7)&amp;"-"&amp;MONTH(C7)</f>
        <v>2020-6</v>
      </c>
      <c r="D52" s="2759">
        <f>EDATE(C52,-1)</f>
        <v>43952</v>
      </c>
      <c r="E52" s="2759">
        <f t="shared" ref="E52:O52" si="16">EDATE(D52,-1)</f>
        <v>43922</v>
      </c>
      <c r="F52" s="2759">
        <f t="shared" si="16"/>
        <v>43891</v>
      </c>
      <c r="G52" s="2759">
        <f t="shared" si="16"/>
        <v>43862</v>
      </c>
      <c r="H52" s="2759">
        <f t="shared" si="16"/>
        <v>43831</v>
      </c>
      <c r="I52" s="2759">
        <f t="shared" si="16"/>
        <v>43800</v>
      </c>
      <c r="J52" s="2759">
        <f t="shared" si="16"/>
        <v>43770</v>
      </c>
      <c r="K52" s="2759">
        <f t="shared" si="16"/>
        <v>43739</v>
      </c>
      <c r="L52" s="2759">
        <f t="shared" si="16"/>
        <v>43709</v>
      </c>
      <c r="M52" s="2759">
        <f t="shared" si="16"/>
        <v>43678</v>
      </c>
      <c r="N52" s="2759">
        <f t="shared" si="16"/>
        <v>43647</v>
      </c>
      <c r="O52" s="2759">
        <f t="shared" si="16"/>
        <v>43617</v>
      </c>
      <c r="P52" s="2145"/>
      <c r="Q52" s="2146"/>
      <c r="R52" s="2146"/>
      <c r="S52" s="2146"/>
      <c r="T52" s="2146"/>
      <c r="U52" s="2146"/>
      <c r="V52" s="2146"/>
      <c r="W52" s="2146"/>
      <c r="X52" s="2146"/>
      <c r="Y52" s="2146"/>
      <c r="Z52" s="2146"/>
      <c r="AA52" s="2146"/>
      <c r="AB52" s="2146"/>
      <c r="AC52" s="2146"/>
    </row>
    <row r="53" spans="1:29" s="1215" customFormat="1">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5" customFormat="1" ht="1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5" customFormat="1" ht="14.4">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5" customFormat="1" ht="14.4"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ht="14.4">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4" customFormat="1" ht="14.4"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4" customFormat="1" ht="14.4"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4" customFormat="1" ht="14.4"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4" customFormat="1" ht="14.4"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4" customFormat="1" ht="14.4"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4" customFormat="1" ht="14.4"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ht="14.4">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 thickTop="1">
      <c r="A74" s="669"/>
      <c r="B74" s="1881" t="s">
        <v>2552</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 thickTop="1">
      <c r="A76" s="669"/>
      <c r="B76" s="2561" t="s">
        <v>2553</v>
      </c>
      <c r="C76" s="2562" t="s">
        <v>2554</v>
      </c>
      <c r="D76" s="2562" t="s">
        <v>2555</v>
      </c>
      <c r="E76" s="2562" t="s">
        <v>2556</v>
      </c>
      <c r="F76" s="2562" t="s">
        <v>2557</v>
      </c>
      <c r="G76" s="2562" t="s">
        <v>2558</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5" customFormat="1" ht="14.4"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5" customFormat="1" ht="14.4"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5" customFormat="1" ht="14.4"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5" customFormat="1" ht="14.4"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4" customFormat="1" ht="14.4"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4" customFormat="1" ht="14.4"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4.4"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4.4"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ht="14.4">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4"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4"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4"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2551</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9.4"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4" customFormat="1" ht="14.4"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4" customFormat="1" ht="14.4"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4.4"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4.4"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4.4"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4.4"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IF(B37="元/平方米",C39,ROUND(B2*10000/D3,0))</f>
        <v>#DIV/0!</v>
      </c>
      <c r="C3" s="852" t="s">
        <v>796</v>
      </c>
      <c r="D3" s="851">
        <f>SUMIF('数据-汇总表'!$C19:$C33,D1,'数据-汇总表'!$E19:$E33)</f>
        <v>0</v>
      </c>
      <c r="E3" s="1833" t="s">
        <v>2072</v>
      </c>
      <c r="F3" s="851">
        <f>SUMIF('数据-取费表'!A5:A15,D1,'数据-取费表'!AH5:AH15)</f>
        <v>0</v>
      </c>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797</v>
      </c>
      <c r="B4" s="513"/>
      <c r="C4" s="3380" t="s">
        <v>798</v>
      </c>
      <c r="D4" s="3381"/>
      <c r="E4" s="3380" t="s">
        <v>799</v>
      </c>
      <c r="F4" s="3381"/>
      <c r="G4" s="3380" t="s">
        <v>800</v>
      </c>
      <c r="H4" s="3381"/>
      <c r="I4" s="3380" t="s">
        <v>801</v>
      </c>
      <c r="J4" s="3381"/>
      <c r="K4" s="514" t="s">
        <v>802</v>
      </c>
      <c r="L4" s="2118"/>
      <c r="M4" s="2119"/>
      <c r="N4" s="2119"/>
      <c r="O4" s="2119"/>
      <c r="P4" s="3382" t="s">
        <v>803</v>
      </c>
      <c r="Q4" s="3383"/>
      <c r="R4" s="3388" t="s">
        <v>799</v>
      </c>
      <c r="S4" s="3389"/>
      <c r="T4" s="3388" t="s">
        <v>800</v>
      </c>
      <c r="U4" s="3389"/>
      <c r="V4" s="3375" t="s">
        <v>801</v>
      </c>
      <c r="W4" s="3375"/>
      <c r="X4" s="1553"/>
      <c r="Y4" s="3388" t="s">
        <v>803</v>
      </c>
      <c r="Z4" s="3389"/>
      <c r="AA4" s="3377" t="s">
        <v>799</v>
      </c>
      <c r="AB4" s="3378" t="s">
        <v>800</v>
      </c>
      <c r="AC4" s="3377" t="s">
        <v>801</v>
      </c>
    </row>
    <row r="5" spans="1:29">
      <c r="A5" s="515"/>
      <c r="B5" s="516"/>
      <c r="C5" s="3396" t="s">
        <v>2925</v>
      </c>
      <c r="D5" s="3397"/>
      <c r="E5" s="3396" t="s">
        <v>2926</v>
      </c>
      <c r="F5" s="3397"/>
      <c r="G5" s="3396" t="s">
        <v>2927</v>
      </c>
      <c r="H5" s="3397"/>
      <c r="I5" s="3396" t="s">
        <v>2928</v>
      </c>
      <c r="J5" s="3397"/>
      <c r="K5" s="514"/>
      <c r="L5" s="2118"/>
      <c r="M5" s="2119"/>
      <c r="N5" s="2119"/>
      <c r="O5" s="2119"/>
      <c r="P5" s="3384"/>
      <c r="Q5" s="3385"/>
      <c r="R5" s="3390"/>
      <c r="S5" s="3391"/>
      <c r="T5" s="3390"/>
      <c r="U5" s="3391"/>
      <c r="V5" s="3375"/>
      <c r="W5" s="3375"/>
      <c r="X5" s="1553"/>
      <c r="Y5" s="3390"/>
      <c r="Z5" s="3391"/>
      <c r="AA5" s="3378"/>
      <c r="AB5" s="3378"/>
      <c r="AC5" s="3378"/>
    </row>
    <row r="6" spans="1:29" ht="15" thickBot="1">
      <c r="A6" s="517"/>
      <c r="B6" s="518"/>
      <c r="C6" s="3394" t="s">
        <v>2929</v>
      </c>
      <c r="D6" s="3395"/>
      <c r="E6" s="3398" t="s">
        <v>2929</v>
      </c>
      <c r="F6" s="3399"/>
      <c r="G6" s="3394" t="s">
        <v>2929</v>
      </c>
      <c r="H6" s="3395"/>
      <c r="I6" s="3394" t="s">
        <v>2929</v>
      </c>
      <c r="J6" s="3395"/>
      <c r="K6" s="514" t="s">
        <v>528</v>
      </c>
      <c r="L6" s="2118"/>
      <c r="M6" s="2119"/>
      <c r="N6" s="2119"/>
      <c r="O6" s="2119"/>
      <c r="P6" s="3386"/>
      <c r="Q6" s="3387"/>
      <c r="R6" s="3390"/>
      <c r="S6" s="3391"/>
      <c r="T6" s="3392"/>
      <c r="U6" s="3393"/>
      <c r="V6" s="3375"/>
      <c r="W6" s="3375"/>
      <c r="X6" s="1553"/>
      <c r="Y6" s="3392"/>
      <c r="Z6" s="3393"/>
      <c r="AA6" s="3379"/>
      <c r="AB6" s="3379"/>
      <c r="AC6" s="3379"/>
    </row>
    <row r="7" spans="1:29" s="1215" customFormat="1" ht="15" thickBot="1">
      <c r="A7" s="2867"/>
      <c r="B7" s="2874" t="s">
        <v>529</v>
      </c>
      <c r="C7" s="519">
        <f>'数据-取费表'!B2</f>
        <v>44006</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05" t="s">
        <v>530</v>
      </c>
      <c r="Q7" s="3407"/>
      <c r="R7" s="1554" t="s">
        <v>8</v>
      </c>
      <c r="S7" s="1555">
        <f t="shared" ref="S7:S14" si="0">F7</f>
        <v>0</v>
      </c>
      <c r="T7" s="1554" t="s">
        <v>8</v>
      </c>
      <c r="U7" s="1555">
        <f t="shared" ref="U7:U14" si="1">H7</f>
        <v>0</v>
      </c>
      <c r="V7" s="1554" t="s">
        <v>8</v>
      </c>
      <c r="W7" s="1555">
        <f t="shared" ref="W7:W14" si="2">J7</f>
        <v>0</v>
      </c>
      <c r="X7" s="1556"/>
      <c r="Y7" s="3405" t="s">
        <v>530</v>
      </c>
      <c r="Z7" s="3406"/>
      <c r="AA7" s="1557" t="e">
        <f>D7/F7</f>
        <v>#DIV/0!</v>
      </c>
      <c r="AB7" s="1557" t="e">
        <f>D7/H7</f>
        <v>#DIV/0!</v>
      </c>
      <c r="AC7" s="1557" t="e">
        <f>D7/J7</f>
        <v>#DIV/0!</v>
      </c>
    </row>
    <row r="8" spans="1:29" s="1215" customFormat="1" ht="1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05" t="s">
        <v>533</v>
      </c>
      <c r="Q8" s="3406"/>
      <c r="R8" s="1554" t="s">
        <v>8</v>
      </c>
      <c r="S8" s="1555">
        <f t="shared" si="0"/>
        <v>0</v>
      </c>
      <c r="T8" s="1554" t="s">
        <v>8</v>
      </c>
      <c r="U8" s="1555">
        <f t="shared" si="1"/>
        <v>0</v>
      </c>
      <c r="V8" s="1554" t="s">
        <v>8</v>
      </c>
      <c r="W8" s="1555">
        <f t="shared" si="2"/>
        <v>0</v>
      </c>
      <c r="X8" s="1556"/>
      <c r="Y8" s="3405" t="s">
        <v>533</v>
      </c>
      <c r="Z8" s="3406"/>
      <c r="AA8" s="1557" t="e">
        <f t="shared" ref="AA8:AA36" si="3">D8/F8</f>
        <v>#DIV/0!</v>
      </c>
      <c r="AB8" s="1557" t="e">
        <f t="shared" ref="AB8:AB36" si="4">D8/H8</f>
        <v>#DIV/0!</v>
      </c>
      <c r="AC8" s="1557" t="e">
        <f t="shared" ref="AC8:AC36" si="5">D8/J8</f>
        <v>#DIV/0!</v>
      </c>
    </row>
    <row r="9" spans="1:29" s="1215" customFormat="1" ht="14.4">
      <c r="A9" s="2869"/>
      <c r="B9" s="2876" t="s">
        <v>2750</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74" t="s">
        <v>535</v>
      </c>
      <c r="Q9" s="1146" t="str">
        <f t="shared" ref="Q9:Q14" si="6">B9</f>
        <v>用途</v>
      </c>
      <c r="R9" s="1554" t="s">
        <v>8</v>
      </c>
      <c r="S9" s="1555">
        <f t="shared" si="0"/>
        <v>100</v>
      </c>
      <c r="T9" s="1554" t="s">
        <v>8</v>
      </c>
      <c r="U9" s="1555">
        <f t="shared" si="1"/>
        <v>100</v>
      </c>
      <c r="V9" s="1554" t="s">
        <v>8</v>
      </c>
      <c r="W9" s="1555">
        <f t="shared" si="2"/>
        <v>100</v>
      </c>
      <c r="X9" s="1556"/>
      <c r="Y9" s="3319" t="s">
        <v>536</v>
      </c>
      <c r="Z9" s="1145" t="str">
        <f t="shared" ref="Z9:Z14" si="7">Q9</f>
        <v>用途</v>
      </c>
      <c r="AA9" s="1557">
        <f t="shared" si="3"/>
        <v>1</v>
      </c>
      <c r="AB9" s="1557">
        <f t="shared" si="4"/>
        <v>1</v>
      </c>
      <c r="AC9" s="1557">
        <f t="shared" si="5"/>
        <v>1</v>
      </c>
    </row>
    <row r="10" spans="1:29" s="1333" customFormat="1" ht="28.8">
      <c r="A10" s="2870"/>
      <c r="B10" s="2875" t="s">
        <v>2751</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74"/>
      <c r="Q10" s="1146" t="str">
        <f t="shared" si="6"/>
        <v>土地使用年限（年）</v>
      </c>
      <c r="R10" s="1554" t="s">
        <v>8</v>
      </c>
      <c r="S10" s="1555">
        <f t="shared" si="0"/>
        <v>100</v>
      </c>
      <c r="T10" s="1554" t="s">
        <v>8</v>
      </c>
      <c r="U10" s="1555">
        <f t="shared" si="1"/>
        <v>100</v>
      </c>
      <c r="V10" s="1554" t="s">
        <v>8</v>
      </c>
      <c r="W10" s="1555">
        <f t="shared" si="2"/>
        <v>100</v>
      </c>
      <c r="X10" s="1556"/>
      <c r="Y10" s="3319"/>
      <c r="Z10" s="1145" t="str">
        <f t="shared" si="7"/>
        <v>土地使用年限（年）</v>
      </c>
      <c r="AA10" s="1557">
        <f t="shared" si="3"/>
        <v>1</v>
      </c>
      <c r="AB10" s="1557">
        <f t="shared" si="4"/>
        <v>1</v>
      </c>
      <c r="AC10" s="1557">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4"/>
      <c r="Q11" s="1146">
        <f t="shared" si="6"/>
        <v>111</v>
      </c>
      <c r="R11" s="1554" t="s">
        <v>8</v>
      </c>
      <c r="S11" s="1555">
        <f t="shared" si="0"/>
        <v>100</v>
      </c>
      <c r="T11" s="1554" t="s">
        <v>8</v>
      </c>
      <c r="U11" s="1555">
        <f t="shared" si="1"/>
        <v>100</v>
      </c>
      <c r="V11" s="1554" t="s">
        <v>8</v>
      </c>
      <c r="W11" s="1555">
        <f t="shared" si="2"/>
        <v>100</v>
      </c>
      <c r="X11" s="1556"/>
      <c r="Y11" s="3319"/>
      <c r="Z11" s="1145">
        <f t="shared" si="7"/>
        <v>111</v>
      </c>
      <c r="AA11" s="1557">
        <f t="shared" si="3"/>
        <v>1</v>
      </c>
      <c r="AB11" s="1557">
        <f t="shared" si="4"/>
        <v>1</v>
      </c>
      <c r="AC11" s="1557">
        <f t="shared" si="5"/>
        <v>1</v>
      </c>
    </row>
    <row r="12" spans="1:29" s="1215"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4"/>
      <c r="Q12" s="1146">
        <f t="shared" si="6"/>
        <v>111</v>
      </c>
      <c r="R12" s="1554" t="s">
        <v>8</v>
      </c>
      <c r="S12" s="1555">
        <f t="shared" si="0"/>
        <v>100</v>
      </c>
      <c r="T12" s="1554" t="s">
        <v>8</v>
      </c>
      <c r="U12" s="1555">
        <f t="shared" si="1"/>
        <v>100</v>
      </c>
      <c r="V12" s="1554" t="s">
        <v>8</v>
      </c>
      <c r="W12" s="1555">
        <f t="shared" si="2"/>
        <v>100</v>
      </c>
      <c r="X12" s="1556"/>
      <c r="Y12" s="3319"/>
      <c r="Z12" s="1145">
        <f t="shared" si="7"/>
        <v>111</v>
      </c>
      <c r="AA12" s="1557">
        <f>D12/F12</f>
        <v>1</v>
      </c>
      <c r="AB12" s="1557">
        <f>D12/H12</f>
        <v>1</v>
      </c>
      <c r="AC12" s="1557">
        <f>D12/J12</f>
        <v>1</v>
      </c>
    </row>
    <row r="13" spans="1:29" ht="15.6"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4"/>
      <c r="Q13" s="1146">
        <f t="shared" si="6"/>
        <v>111</v>
      </c>
      <c r="R13" s="1554" t="s">
        <v>8</v>
      </c>
      <c r="S13" s="1555">
        <f t="shared" si="0"/>
        <v>100</v>
      </c>
      <c r="T13" s="1554" t="s">
        <v>8</v>
      </c>
      <c r="U13" s="1555">
        <f t="shared" si="1"/>
        <v>100</v>
      </c>
      <c r="V13" s="1554" t="s">
        <v>8</v>
      </c>
      <c r="W13" s="1555">
        <f t="shared" si="2"/>
        <v>100</v>
      </c>
      <c r="X13" s="1556"/>
      <c r="Y13" s="3319"/>
      <c r="Z13" s="1145">
        <f t="shared" si="7"/>
        <v>111</v>
      </c>
      <c r="AA13" s="1557">
        <f t="shared" si="3"/>
        <v>1</v>
      </c>
      <c r="AB13" s="1557">
        <f t="shared" si="4"/>
        <v>1</v>
      </c>
      <c r="AC13" s="1557">
        <f t="shared" si="5"/>
        <v>1</v>
      </c>
    </row>
    <row r="14" spans="1:29" ht="96.6">
      <c r="A14" s="2865" t="s">
        <v>2748</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08" t="s">
        <v>540</v>
      </c>
      <c r="Q14" s="1558" t="str">
        <f t="shared" si="6"/>
        <v>交通便捷度</v>
      </c>
      <c r="R14" s="1559" t="s">
        <v>8</v>
      </c>
      <c r="S14" s="1560">
        <f t="shared" si="0"/>
        <v>100</v>
      </c>
      <c r="T14" s="1559" t="s">
        <v>8</v>
      </c>
      <c r="U14" s="1560">
        <f t="shared" si="1"/>
        <v>100</v>
      </c>
      <c r="V14" s="1559" t="s">
        <v>8</v>
      </c>
      <c r="W14" s="1560">
        <f t="shared" si="2"/>
        <v>100</v>
      </c>
      <c r="X14" s="1553"/>
      <c r="Y14" s="3408" t="s">
        <v>540</v>
      </c>
      <c r="Z14" s="1561" t="str">
        <f t="shared" si="7"/>
        <v>交通便捷度</v>
      </c>
      <c r="AA14" s="1562">
        <f t="shared" si="3"/>
        <v>1</v>
      </c>
      <c r="AB14" s="1562">
        <f t="shared" si="4"/>
        <v>1</v>
      </c>
      <c r="AC14" s="1562">
        <f t="shared" si="5"/>
        <v>1</v>
      </c>
    </row>
    <row r="15" spans="1:29" ht="15">
      <c r="A15" s="515"/>
      <c r="B15" s="924"/>
      <c r="C15" s="576"/>
      <c r="D15" s="555"/>
      <c r="E15" s="576"/>
      <c r="F15" s="557"/>
      <c r="G15" s="576"/>
      <c r="H15" s="559"/>
      <c r="I15" s="576"/>
      <c r="J15" s="555"/>
      <c r="K15" s="899"/>
      <c r="L15" s="2127"/>
      <c r="M15" s="2119"/>
      <c r="N15" s="2119"/>
      <c r="O15" s="2126"/>
      <c r="P15" s="3409"/>
      <c r="Q15" s="1558"/>
      <c r="R15" s="1559"/>
      <c r="S15" s="1560"/>
      <c r="T15" s="1559"/>
      <c r="U15" s="1560"/>
      <c r="V15" s="1559"/>
      <c r="W15" s="1560"/>
      <c r="X15" s="1553"/>
      <c r="Y15" s="3409"/>
      <c r="Z15" s="1561"/>
      <c r="AA15" s="1562">
        <v>1</v>
      </c>
      <c r="AB15" s="1562">
        <v>1</v>
      </c>
      <c r="AC15" s="1562">
        <v>1</v>
      </c>
    </row>
    <row r="16" spans="1:29" ht="41.4">
      <c r="A16" s="515"/>
      <c r="B16" s="2567" t="s">
        <v>2541</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09"/>
      <c r="Q16" s="1558" t="str">
        <f>B16</f>
        <v>公共配套设施</v>
      </c>
      <c r="R16" s="1559" t="s">
        <v>8</v>
      </c>
      <c r="S16" s="1560">
        <f>F16</f>
        <v>100</v>
      </c>
      <c r="T16" s="1559" t="s">
        <v>8</v>
      </c>
      <c r="U16" s="1560">
        <f>H16</f>
        <v>100</v>
      </c>
      <c r="V16" s="1559" t="s">
        <v>8</v>
      </c>
      <c r="W16" s="1560">
        <f>J16</f>
        <v>100</v>
      </c>
      <c r="X16" s="1553"/>
      <c r="Y16" s="3409"/>
      <c r="Z16" s="1561" t="str">
        <f>Q16</f>
        <v>公共配套设施</v>
      </c>
      <c r="AA16" s="1562">
        <f t="shared" si="3"/>
        <v>1</v>
      </c>
      <c r="AB16" s="1562">
        <f t="shared" si="4"/>
        <v>1</v>
      </c>
      <c r="AC16" s="1562">
        <f t="shared" si="5"/>
        <v>1</v>
      </c>
    </row>
    <row r="17" spans="1:29" ht="15">
      <c r="A17" s="515"/>
      <c r="B17" s="566"/>
      <c r="C17" s="873"/>
      <c r="D17" s="555"/>
      <c r="E17" s="576"/>
      <c r="F17" s="557"/>
      <c r="G17" s="576"/>
      <c r="H17" s="555"/>
      <c r="I17" s="576"/>
      <c r="J17" s="555"/>
      <c r="K17" s="899"/>
      <c r="L17" s="2127"/>
      <c r="M17" s="2119"/>
      <c r="N17" s="2119"/>
      <c r="O17" s="2126"/>
      <c r="P17" s="3409"/>
      <c r="Q17" s="1558"/>
      <c r="R17" s="1559"/>
      <c r="S17" s="1560"/>
      <c r="T17" s="1559"/>
      <c r="U17" s="1560"/>
      <c r="V17" s="1559"/>
      <c r="W17" s="1560"/>
      <c r="X17" s="1553"/>
      <c r="Y17" s="3409"/>
      <c r="Z17" s="1561"/>
      <c r="AA17" s="1562">
        <v>1</v>
      </c>
      <c r="AB17" s="1562">
        <v>1</v>
      </c>
      <c r="AC17" s="1562">
        <v>1</v>
      </c>
    </row>
    <row r="18" spans="1:29" ht="41.4">
      <c r="A18" s="515"/>
      <c r="B18" s="2555" t="s">
        <v>2553</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09"/>
      <c r="Q18" s="2543" t="str">
        <f>B18</f>
        <v>基础设施水平</v>
      </c>
      <c r="R18" s="1559" t="s">
        <v>8</v>
      </c>
      <c r="S18" s="1560">
        <f>F18</f>
        <v>100</v>
      </c>
      <c r="T18" s="1559" t="s">
        <v>8</v>
      </c>
      <c r="U18" s="1560">
        <f>H18</f>
        <v>100</v>
      </c>
      <c r="V18" s="1559" t="s">
        <v>8</v>
      </c>
      <c r="W18" s="1560">
        <f>J18</f>
        <v>100</v>
      </c>
      <c r="X18" s="2545"/>
      <c r="Y18" s="3409"/>
      <c r="Z18" s="2544" t="str">
        <f>Q18</f>
        <v>基础设施水平</v>
      </c>
      <c r="AA18" s="1562">
        <f t="shared" ref="AA18" si="8">D18/F18</f>
        <v>1</v>
      </c>
      <c r="AB18" s="1562">
        <f t="shared" ref="AB18" si="9">D18/H18</f>
        <v>1</v>
      </c>
      <c r="AC18" s="1562">
        <f t="shared" ref="AC18" si="10">D18/J18</f>
        <v>1</v>
      </c>
    </row>
    <row r="19" spans="1:29" ht="15">
      <c r="A19" s="515"/>
      <c r="B19" s="578"/>
      <c r="C19" s="873"/>
      <c r="D19" s="559"/>
      <c r="E19" s="576"/>
      <c r="F19" s="557"/>
      <c r="G19" s="576"/>
      <c r="H19" s="555"/>
      <c r="I19" s="576"/>
      <c r="J19" s="555"/>
      <c r="K19" s="2566"/>
      <c r="L19" s="2127"/>
      <c r="M19" s="2119"/>
      <c r="N19" s="2119"/>
      <c r="O19" s="2126"/>
      <c r="P19" s="3409"/>
      <c r="Q19" s="2543"/>
      <c r="R19" s="1559"/>
      <c r="S19" s="1560"/>
      <c r="T19" s="1559"/>
      <c r="U19" s="1560"/>
      <c r="V19" s="1559"/>
      <c r="W19" s="1560"/>
      <c r="X19" s="2545"/>
      <c r="Y19" s="3409"/>
      <c r="Z19" s="2544"/>
      <c r="AA19" s="1562">
        <v>1</v>
      </c>
      <c r="AB19" s="1562">
        <v>1</v>
      </c>
      <c r="AC19" s="1562">
        <v>1</v>
      </c>
    </row>
    <row r="20" spans="1:29" ht="55.2">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09"/>
      <c r="Q20" s="1558" t="str">
        <f>B20</f>
        <v>自然及人文环境</v>
      </c>
      <c r="R20" s="1559" t="s">
        <v>8</v>
      </c>
      <c r="S20" s="1560">
        <f>F20</f>
        <v>100</v>
      </c>
      <c r="T20" s="1559" t="s">
        <v>8</v>
      </c>
      <c r="U20" s="1560">
        <f>H20</f>
        <v>100</v>
      </c>
      <c r="V20" s="1559" t="s">
        <v>8</v>
      </c>
      <c r="W20" s="1560">
        <f>J20</f>
        <v>100</v>
      </c>
      <c r="X20" s="1553"/>
      <c r="Y20" s="3409"/>
      <c r="Z20" s="1561" t="str">
        <f>Q20</f>
        <v>自然及人文环境</v>
      </c>
      <c r="AA20" s="1562">
        <f t="shared" si="3"/>
        <v>1</v>
      </c>
      <c r="AB20" s="1562">
        <f t="shared" si="4"/>
        <v>1</v>
      </c>
      <c r="AC20" s="1562">
        <f t="shared" si="5"/>
        <v>1</v>
      </c>
    </row>
    <row r="21" spans="1:29" ht="15">
      <c r="A21" s="515"/>
      <c r="B21" s="566"/>
      <c r="C21" s="576"/>
      <c r="D21" s="555"/>
      <c r="E21" s="576"/>
      <c r="F21" s="557"/>
      <c r="G21" s="576"/>
      <c r="H21" s="555"/>
      <c r="I21" s="576"/>
      <c r="J21" s="555"/>
      <c r="K21" s="899"/>
      <c r="L21" s="2127"/>
      <c r="M21" s="2119"/>
      <c r="N21" s="2119"/>
      <c r="O21" s="2126"/>
      <c r="P21" s="3409"/>
      <c r="Q21" s="1558"/>
      <c r="R21" s="1559"/>
      <c r="S21" s="1560"/>
      <c r="T21" s="1559"/>
      <c r="U21" s="1560"/>
      <c r="V21" s="1559"/>
      <c r="W21" s="1560"/>
      <c r="X21" s="1553"/>
      <c r="Y21" s="3409"/>
      <c r="Z21" s="1561"/>
      <c r="AA21" s="1562">
        <v>1</v>
      </c>
      <c r="AB21" s="1562">
        <v>1</v>
      </c>
      <c r="AC21" s="156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09"/>
      <c r="Q22" s="1558" t="str">
        <f>B22</f>
        <v>楼层</v>
      </c>
      <c r="R22" s="1559" t="s">
        <v>8</v>
      </c>
      <c r="S22" s="1560">
        <f>F22</f>
        <v>100</v>
      </c>
      <c r="T22" s="1559" t="s">
        <v>8</v>
      </c>
      <c r="U22" s="1560">
        <f>H22</f>
        <v>100</v>
      </c>
      <c r="V22" s="1559" t="s">
        <v>8</v>
      </c>
      <c r="W22" s="1560">
        <f>J22</f>
        <v>100</v>
      </c>
      <c r="X22" s="1553"/>
      <c r="Y22" s="3409"/>
      <c r="Z22" s="1561" t="str">
        <f>Q22</f>
        <v>楼层</v>
      </c>
      <c r="AA22" s="1562">
        <f t="shared" si="3"/>
        <v>1</v>
      </c>
      <c r="AB22" s="1562">
        <f t="shared" si="4"/>
        <v>1</v>
      </c>
      <c r="AC22" s="1562">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09"/>
      <c r="Q23" s="1558">
        <f>B23</f>
        <v>111</v>
      </c>
      <c r="R23" s="1559" t="s">
        <v>8</v>
      </c>
      <c r="S23" s="1560">
        <f>F23</f>
        <v>100</v>
      </c>
      <c r="T23" s="1559" t="s">
        <v>8</v>
      </c>
      <c r="U23" s="1560">
        <f>H23</f>
        <v>100</v>
      </c>
      <c r="V23" s="1559" t="s">
        <v>8</v>
      </c>
      <c r="W23" s="1560">
        <f>J23</f>
        <v>100</v>
      </c>
      <c r="X23" s="1553"/>
      <c r="Y23" s="3409"/>
      <c r="Z23" s="1561">
        <f>Q23</f>
        <v>111</v>
      </c>
      <c r="AA23" s="1562">
        <f t="shared" si="3"/>
        <v>1</v>
      </c>
      <c r="AB23" s="1562">
        <f t="shared" si="4"/>
        <v>1</v>
      </c>
      <c r="AC23" s="1562">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09"/>
      <c r="Q24" s="1558">
        <f t="shared" ref="Q24:Q36" si="11">B24</f>
        <v>111</v>
      </c>
      <c r="R24" s="1559" t="s">
        <v>8</v>
      </c>
      <c r="S24" s="1560">
        <f>F24</f>
        <v>100</v>
      </c>
      <c r="T24" s="1559" t="s">
        <v>8</v>
      </c>
      <c r="U24" s="1560">
        <f>H24</f>
        <v>100</v>
      </c>
      <c r="V24" s="1559" t="s">
        <v>8</v>
      </c>
      <c r="W24" s="1560">
        <f>J24</f>
        <v>100</v>
      </c>
      <c r="X24" s="1553"/>
      <c r="Y24" s="3409"/>
      <c r="Z24" s="1561">
        <f>Q24</f>
        <v>111</v>
      </c>
      <c r="AA24" s="1562">
        <f t="shared" si="3"/>
        <v>1</v>
      </c>
      <c r="AB24" s="1562">
        <f t="shared" si="4"/>
        <v>1</v>
      </c>
      <c r="AC24" s="1562">
        <f t="shared" si="5"/>
        <v>1</v>
      </c>
    </row>
    <row r="25" spans="1:29" s="1215" customFormat="1" ht="15.6"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09"/>
      <c r="Q25" s="1146">
        <f t="shared" si="11"/>
        <v>111</v>
      </c>
      <c r="R25" s="1554" t="s">
        <v>8</v>
      </c>
      <c r="S25" s="1555">
        <f>F25</f>
        <v>100</v>
      </c>
      <c r="T25" s="1554" t="s">
        <v>8</v>
      </c>
      <c r="U25" s="1555">
        <f>H25</f>
        <v>100</v>
      </c>
      <c r="V25" s="1554" t="s">
        <v>8</v>
      </c>
      <c r="W25" s="1555">
        <f>J25</f>
        <v>100</v>
      </c>
      <c r="X25" s="1556"/>
      <c r="Y25" s="3409"/>
      <c r="Z25" s="1145">
        <f>Q25</f>
        <v>111</v>
      </c>
      <c r="AA25" s="1562">
        <f>D25/F25</f>
        <v>1</v>
      </c>
      <c r="AB25" s="1562">
        <f>D25/H25</f>
        <v>1</v>
      </c>
      <c r="AC25" s="1562">
        <f>D25/J25</f>
        <v>1</v>
      </c>
    </row>
    <row r="26" spans="1:29" ht="15">
      <c r="A26" s="2862" t="s">
        <v>2749</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10" t="s">
        <v>550</v>
      </c>
      <c r="Q26" s="1558" t="str">
        <f t="shared" si="11"/>
        <v>配套类型</v>
      </c>
      <c r="R26" s="1559" t="s">
        <v>8</v>
      </c>
      <c r="S26" s="1560">
        <f t="shared" ref="S26:S36" si="12">F26</f>
        <v>100</v>
      </c>
      <c r="T26" s="1559" t="s">
        <v>8</v>
      </c>
      <c r="U26" s="1560">
        <f t="shared" ref="U26:U36" si="13">H26</f>
        <v>100</v>
      </c>
      <c r="V26" s="1559" t="s">
        <v>8</v>
      </c>
      <c r="W26" s="1560">
        <f t="shared" ref="W26:W36" si="14">J26</f>
        <v>100</v>
      </c>
      <c r="X26" s="1553"/>
      <c r="Y26" s="3411" t="s">
        <v>550</v>
      </c>
      <c r="Z26" s="1561" t="str">
        <f t="shared" ref="Z26:Z36" si="15">Q26</f>
        <v>配套类型</v>
      </c>
      <c r="AA26" s="1562">
        <f t="shared" si="3"/>
        <v>1</v>
      </c>
      <c r="AB26" s="1562">
        <f t="shared" si="4"/>
        <v>1</v>
      </c>
      <c r="AC26" s="1562">
        <f t="shared" si="5"/>
        <v>1</v>
      </c>
    </row>
    <row r="27" spans="1:29" s="1334"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11"/>
      <c r="Q27" s="1590" t="str">
        <f t="shared" si="11"/>
        <v>项目停车位配比</v>
      </c>
      <c r="R27" s="1563" t="s">
        <v>8</v>
      </c>
      <c r="S27" s="1564">
        <f t="shared" si="12"/>
        <v>100</v>
      </c>
      <c r="T27" s="1563" t="s">
        <v>8</v>
      </c>
      <c r="U27" s="1564">
        <f t="shared" si="13"/>
        <v>100</v>
      </c>
      <c r="V27" s="1563" t="s">
        <v>8</v>
      </c>
      <c r="W27" s="1564">
        <f t="shared" si="14"/>
        <v>100</v>
      </c>
      <c r="X27" s="1565"/>
      <c r="Y27" s="3411"/>
      <c r="Z27" s="1566" t="str">
        <f t="shared" si="15"/>
        <v>项目停车位配比</v>
      </c>
      <c r="AA27" s="1562">
        <f t="shared" si="3"/>
        <v>1</v>
      </c>
      <c r="AB27" s="1562">
        <f t="shared" si="4"/>
        <v>1</v>
      </c>
      <c r="AC27" s="1562">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11"/>
      <c r="Q28" s="1558" t="str">
        <f t="shared" si="11"/>
        <v>公共部分装修</v>
      </c>
      <c r="R28" s="1559" t="s">
        <v>8</v>
      </c>
      <c r="S28" s="1560">
        <f t="shared" si="12"/>
        <v>100</v>
      </c>
      <c r="T28" s="1559" t="s">
        <v>8</v>
      </c>
      <c r="U28" s="1560">
        <f t="shared" si="13"/>
        <v>100</v>
      </c>
      <c r="V28" s="1559" t="s">
        <v>8</v>
      </c>
      <c r="W28" s="1560">
        <f t="shared" si="14"/>
        <v>100</v>
      </c>
      <c r="X28" s="1553"/>
      <c r="Y28" s="3411"/>
      <c r="Z28" s="1561" t="str">
        <f t="shared" si="15"/>
        <v>公共部分装修</v>
      </c>
      <c r="AA28" s="1562">
        <f t="shared" si="3"/>
        <v>1</v>
      </c>
      <c r="AB28" s="1562">
        <f t="shared" si="4"/>
        <v>1</v>
      </c>
      <c r="AC28" s="1562">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11"/>
      <c r="Q29" s="1558" t="str">
        <f t="shared" si="11"/>
        <v>成新率</v>
      </c>
      <c r="R29" s="1559" t="s">
        <v>8</v>
      </c>
      <c r="S29" s="1560" t="e">
        <f t="shared" si="12"/>
        <v>#N/A</v>
      </c>
      <c r="T29" s="1559" t="s">
        <v>8</v>
      </c>
      <c r="U29" s="1560" t="e">
        <f t="shared" si="13"/>
        <v>#N/A</v>
      </c>
      <c r="V29" s="1559" t="s">
        <v>8</v>
      </c>
      <c r="W29" s="1560" t="e">
        <f t="shared" si="14"/>
        <v>#N/A</v>
      </c>
      <c r="X29" s="1553"/>
      <c r="Y29" s="3411"/>
      <c r="Z29" s="1561" t="str">
        <f t="shared" si="15"/>
        <v>成新率</v>
      </c>
      <c r="AA29" s="1562" t="e">
        <f t="shared" si="3"/>
        <v>#N/A</v>
      </c>
      <c r="AB29" s="1562" t="e">
        <f t="shared" si="4"/>
        <v>#N/A</v>
      </c>
      <c r="AC29" s="1562"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11"/>
      <c r="Q30" s="1558" t="str">
        <f t="shared" si="11"/>
        <v>物业等级</v>
      </c>
      <c r="R30" s="1559" t="s">
        <v>8</v>
      </c>
      <c r="S30" s="1560">
        <f t="shared" si="12"/>
        <v>100</v>
      </c>
      <c r="T30" s="1559" t="s">
        <v>8</v>
      </c>
      <c r="U30" s="1560">
        <f t="shared" si="13"/>
        <v>100</v>
      </c>
      <c r="V30" s="1559" t="s">
        <v>8</v>
      </c>
      <c r="W30" s="1560">
        <f t="shared" si="14"/>
        <v>100</v>
      </c>
      <c r="X30" s="1553"/>
      <c r="Y30" s="3411"/>
      <c r="Z30" s="1561" t="str">
        <f t="shared" si="15"/>
        <v>物业等级</v>
      </c>
      <c r="AA30" s="1562">
        <f t="shared" si="3"/>
        <v>1</v>
      </c>
      <c r="AB30" s="1562">
        <f t="shared" si="4"/>
        <v>1</v>
      </c>
      <c r="AC30" s="1562">
        <f t="shared" si="5"/>
        <v>1</v>
      </c>
    </row>
    <row r="31" spans="1:29" s="1215"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11"/>
      <c r="Q31" s="1146" t="str">
        <f t="shared" si="11"/>
        <v>停车位面积</v>
      </c>
      <c r="R31" s="1554" t="s">
        <v>8</v>
      </c>
      <c r="S31" s="1555" t="e">
        <f t="shared" si="12"/>
        <v>#N/A</v>
      </c>
      <c r="T31" s="1554" t="s">
        <v>8</v>
      </c>
      <c r="U31" s="1555" t="e">
        <f t="shared" si="13"/>
        <v>#N/A</v>
      </c>
      <c r="V31" s="1554" t="s">
        <v>8</v>
      </c>
      <c r="W31" s="1555" t="e">
        <f t="shared" si="14"/>
        <v>#N/A</v>
      </c>
      <c r="X31" s="1556"/>
      <c r="Y31" s="3411"/>
      <c r="Z31" s="1145" t="str">
        <f t="shared" si="15"/>
        <v>停车位面积</v>
      </c>
      <c r="AA31" s="1557" t="e">
        <f t="shared" si="3"/>
        <v>#N/A</v>
      </c>
      <c r="AB31" s="1557" t="e">
        <f t="shared" si="4"/>
        <v>#N/A</v>
      </c>
      <c r="AC31" s="1557"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11" t="s">
        <v>550</v>
      </c>
      <c r="Q32" s="1558" t="str">
        <f t="shared" si="11"/>
        <v>车位类型</v>
      </c>
      <c r="R32" s="1559" t="s">
        <v>8</v>
      </c>
      <c r="S32" s="1560">
        <f t="shared" si="12"/>
        <v>100</v>
      </c>
      <c r="T32" s="1559" t="s">
        <v>8</v>
      </c>
      <c r="U32" s="1560">
        <f t="shared" si="13"/>
        <v>100</v>
      </c>
      <c r="V32" s="1559" t="s">
        <v>8</v>
      </c>
      <c r="W32" s="1560">
        <f t="shared" si="14"/>
        <v>100</v>
      </c>
      <c r="X32" s="1553"/>
      <c r="Y32" s="3411" t="s">
        <v>550</v>
      </c>
      <c r="Z32" s="1561" t="str">
        <f t="shared" si="15"/>
        <v>车位类型</v>
      </c>
      <c r="AA32" s="1562">
        <f t="shared" si="3"/>
        <v>1</v>
      </c>
      <c r="AB32" s="1562">
        <f t="shared" si="4"/>
        <v>1</v>
      </c>
      <c r="AC32" s="1562">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11"/>
      <c r="Q33" s="1558" t="str">
        <f t="shared" si="11"/>
        <v>是否直接入户</v>
      </c>
      <c r="R33" s="1559" t="s">
        <v>8</v>
      </c>
      <c r="S33" s="1560">
        <f t="shared" si="12"/>
        <v>100</v>
      </c>
      <c r="T33" s="1559" t="s">
        <v>8</v>
      </c>
      <c r="U33" s="1560">
        <f t="shared" si="13"/>
        <v>100</v>
      </c>
      <c r="V33" s="1559" t="s">
        <v>8</v>
      </c>
      <c r="W33" s="1560">
        <f t="shared" si="14"/>
        <v>100</v>
      </c>
      <c r="X33" s="1553"/>
      <c r="Y33" s="3411"/>
      <c r="Z33" s="1561" t="str">
        <f t="shared" si="15"/>
        <v>是否直接入户</v>
      </c>
      <c r="AA33" s="1562">
        <f t="shared" si="3"/>
        <v>1</v>
      </c>
      <c r="AB33" s="1562">
        <f t="shared" si="4"/>
        <v>1</v>
      </c>
      <c r="AC33" s="1562">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11"/>
      <c r="Q34" s="1558">
        <f t="shared" si="11"/>
        <v>111</v>
      </c>
      <c r="R34" s="1559" t="s">
        <v>8</v>
      </c>
      <c r="S34" s="1560">
        <f t="shared" si="12"/>
        <v>100</v>
      </c>
      <c r="T34" s="1559" t="s">
        <v>8</v>
      </c>
      <c r="U34" s="1560">
        <f t="shared" si="13"/>
        <v>100</v>
      </c>
      <c r="V34" s="1559" t="s">
        <v>8</v>
      </c>
      <c r="W34" s="1560">
        <f t="shared" si="14"/>
        <v>100</v>
      </c>
      <c r="X34" s="1553"/>
      <c r="Y34" s="3411"/>
      <c r="Z34" s="1561">
        <f t="shared" si="15"/>
        <v>111</v>
      </c>
      <c r="AA34" s="1562">
        <f t="shared" si="3"/>
        <v>1</v>
      </c>
      <c r="AB34" s="1562">
        <f t="shared" si="4"/>
        <v>1</v>
      </c>
      <c r="AC34" s="1562">
        <f t="shared" si="5"/>
        <v>1</v>
      </c>
    </row>
    <row r="35" spans="1:29" s="1334"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11"/>
      <c r="Q35" s="1590">
        <f t="shared" si="11"/>
        <v>111</v>
      </c>
      <c r="R35" s="1563" t="s">
        <v>8</v>
      </c>
      <c r="S35" s="1564">
        <f t="shared" si="12"/>
        <v>100</v>
      </c>
      <c r="T35" s="1563" t="s">
        <v>8</v>
      </c>
      <c r="U35" s="1564">
        <f t="shared" si="13"/>
        <v>100</v>
      </c>
      <c r="V35" s="1563" t="s">
        <v>8</v>
      </c>
      <c r="W35" s="1564">
        <f t="shared" si="14"/>
        <v>100</v>
      </c>
      <c r="X35" s="1565"/>
      <c r="Y35" s="3411"/>
      <c r="Z35" s="1566">
        <f t="shared" si="15"/>
        <v>111</v>
      </c>
      <c r="AA35" s="1562">
        <f t="shared" si="3"/>
        <v>1</v>
      </c>
      <c r="AB35" s="1562">
        <f t="shared" si="4"/>
        <v>1</v>
      </c>
      <c r="AC35" s="1562">
        <f t="shared" si="5"/>
        <v>1</v>
      </c>
    </row>
    <row r="36" spans="1:29" ht="15.6"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11"/>
      <c r="Q36" s="1558">
        <f t="shared" si="11"/>
        <v>111</v>
      </c>
      <c r="R36" s="1559" t="s">
        <v>8</v>
      </c>
      <c r="S36" s="1560">
        <f t="shared" si="12"/>
        <v>100</v>
      </c>
      <c r="T36" s="1559" t="s">
        <v>8</v>
      </c>
      <c r="U36" s="1560">
        <f t="shared" si="13"/>
        <v>100</v>
      </c>
      <c r="V36" s="1559" t="s">
        <v>8</v>
      </c>
      <c r="W36" s="1560">
        <f t="shared" si="14"/>
        <v>100</v>
      </c>
      <c r="X36" s="1553"/>
      <c r="Y36" s="3411"/>
      <c r="Z36" s="1561">
        <f t="shared" si="15"/>
        <v>111</v>
      </c>
      <c r="AA36" s="1562">
        <f t="shared" si="3"/>
        <v>1</v>
      </c>
      <c r="AB36" s="1562">
        <f t="shared" si="4"/>
        <v>1</v>
      </c>
      <c r="AC36" s="1562">
        <f t="shared" si="5"/>
        <v>1</v>
      </c>
    </row>
    <row r="37" spans="1:29" ht="14.4">
      <c r="A37" s="1831" t="s">
        <v>2073</v>
      </c>
      <c r="B37" s="1832" t="s">
        <v>2074</v>
      </c>
      <c r="C37" s="2591" t="s">
        <v>1</v>
      </c>
      <c r="D37" s="2592"/>
      <c r="E37" s="2593"/>
      <c r="F37" s="2594"/>
      <c r="G37" s="2595"/>
      <c r="H37" s="2596"/>
      <c r="I37" s="2593"/>
      <c r="J37" s="2596"/>
      <c r="K37" s="1596"/>
      <c r="L37" s="2129"/>
      <c r="M37" s="2130"/>
      <c r="N37" s="2119"/>
      <c r="O37" s="2130"/>
      <c r="P37" s="3374" t="str">
        <f>A37</f>
        <v>成交单价</v>
      </c>
      <c r="Q37" s="3374"/>
      <c r="R37" s="3491">
        <f>E37</f>
        <v>0</v>
      </c>
      <c r="S37" s="3491"/>
      <c r="T37" s="3491">
        <f>G37</f>
        <v>0</v>
      </c>
      <c r="U37" s="3491"/>
      <c r="V37" s="3491">
        <f>I37</f>
        <v>0</v>
      </c>
      <c r="W37" s="3491"/>
      <c r="X37" s="1545"/>
      <c r="Y37" s="1567"/>
      <c r="Z37" s="1545"/>
      <c r="AA37" s="1545"/>
      <c r="AB37" s="1545"/>
      <c r="AC37" s="1545"/>
    </row>
    <row r="38" spans="1:29" ht="15" thickBot="1">
      <c r="A38" s="615" t="s">
        <v>2754</v>
      </c>
      <c r="B38" s="888"/>
      <c r="C38" s="2597" t="e">
        <f>R39</f>
        <v>#DIV/0!</v>
      </c>
      <c r="D38" s="2598"/>
      <c r="E38" s="2599" t="e">
        <f>R38</f>
        <v>#DIV/0!</v>
      </c>
      <c r="F38" s="2599"/>
      <c r="G38" s="2597" t="e">
        <f>T38</f>
        <v>#DIV/0!</v>
      </c>
      <c r="H38" s="2598"/>
      <c r="I38" s="2599" t="e">
        <f>V38</f>
        <v>#DIV/0!</v>
      </c>
      <c r="J38" s="2598"/>
      <c r="K38" s="1597"/>
      <c r="L38" s="2129"/>
      <c r="M38" s="2130"/>
      <c r="N38" s="2130"/>
      <c r="O38" s="2130"/>
      <c r="P38" s="3374" t="str">
        <f>A38</f>
        <v>比较价格（元/平方米）</v>
      </c>
      <c r="Q38" s="3374"/>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1545"/>
      <c r="Y38" s="1545"/>
      <c r="Z38" s="1545"/>
      <c r="AA38" s="1545"/>
      <c r="AB38" s="1545"/>
      <c r="AC38" s="1545"/>
    </row>
    <row r="39" spans="1:29" ht="15" thickBot="1">
      <c r="A39" s="621" t="s">
        <v>2931</v>
      </c>
      <c r="B39" s="622"/>
      <c r="C39" s="2600" t="e">
        <f>R39</f>
        <v>#DIV/0!</v>
      </c>
      <c r="D39" s="2600"/>
      <c r="E39" s="2600"/>
      <c r="F39" s="2600"/>
      <c r="G39" s="2600"/>
      <c r="H39" s="2600"/>
      <c r="I39" s="2600"/>
      <c r="J39" s="2600"/>
      <c r="K39" s="1598"/>
      <c r="L39" s="2129"/>
      <c r="M39" s="2130"/>
      <c r="N39" s="2130"/>
      <c r="O39" s="2130"/>
      <c r="P39" s="3371" t="str">
        <f>A39</f>
        <v>估价对象XX用房的比较价格（楼面单价，元/平方米）</v>
      </c>
      <c r="Q39" s="3372"/>
      <c r="R39" s="3490" t="e">
        <f>IF(F1="售价",ROUND(AVERAGE(R38:V38),0),ROUND(AVERAGE(R38:V38),1))</f>
        <v>#DIV/0!</v>
      </c>
      <c r="S39" s="3490"/>
      <c r="T39" s="3490"/>
      <c r="U39" s="3490"/>
      <c r="V39" s="3490"/>
      <c r="W39" s="3490"/>
      <c r="X39" s="1545"/>
      <c r="Y39" s="1545"/>
      <c r="Z39" s="1545"/>
      <c r="AA39" s="1545"/>
      <c r="AB39" s="1545"/>
      <c r="AC39" s="1545"/>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0"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0"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2.2" thickBot="1">
      <c r="A47" s="1570" t="s">
        <v>574</v>
      </c>
      <c r="B47" s="1545"/>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2" customFormat="1" ht="14.4">
      <c r="A48" s="645" t="s">
        <v>529</v>
      </c>
      <c r="B48" s="646"/>
      <c r="C48" s="2757" t="str">
        <f>YEAR(C7)&amp;"-"&amp;MONTH(C7)</f>
        <v>2020-6</v>
      </c>
      <c r="D48" s="2759">
        <f>EDATE(C48,-1)</f>
        <v>43952</v>
      </c>
      <c r="E48" s="2759">
        <f t="shared" ref="E48:O48" si="16">EDATE(D48,-1)</f>
        <v>43922</v>
      </c>
      <c r="F48" s="2759">
        <f t="shared" si="16"/>
        <v>43891</v>
      </c>
      <c r="G48" s="2759">
        <f t="shared" si="16"/>
        <v>43862</v>
      </c>
      <c r="H48" s="2759">
        <f t="shared" si="16"/>
        <v>43831</v>
      </c>
      <c r="I48" s="2759">
        <f t="shared" si="16"/>
        <v>43800</v>
      </c>
      <c r="J48" s="2759">
        <f t="shared" si="16"/>
        <v>43770</v>
      </c>
      <c r="K48" s="2759">
        <f t="shared" si="16"/>
        <v>43739</v>
      </c>
      <c r="L48" s="2759">
        <f t="shared" si="16"/>
        <v>43709</v>
      </c>
      <c r="M48" s="2759">
        <f t="shared" si="16"/>
        <v>43678</v>
      </c>
      <c r="N48" s="2759">
        <f t="shared" si="16"/>
        <v>43647</v>
      </c>
      <c r="O48" s="2759">
        <f t="shared" si="16"/>
        <v>43617</v>
      </c>
      <c r="P48" s="2145"/>
      <c r="Q48" s="2146"/>
      <c r="R48" s="2146"/>
      <c r="S48" s="2146"/>
      <c r="T48" s="2146"/>
      <c r="U48" s="2146"/>
      <c r="V48" s="2146"/>
      <c r="W48" s="2146"/>
      <c r="X48" s="2146"/>
      <c r="Y48" s="2146"/>
      <c r="Z48" s="2146"/>
      <c r="AA48" s="2146"/>
      <c r="AB48" s="2146"/>
      <c r="AC48" s="2146"/>
    </row>
    <row r="49" spans="1:29" s="1215" customFormat="1">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5" customFormat="1" ht="1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5" customFormat="1" ht="14.4">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5" customFormat="1" ht="14.4"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ht="14.4">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4.4"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4.4"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4.4"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4" customFormat="1" ht="14.4"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4" customFormat="1" ht="14.4"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4" customFormat="1" ht="14.4"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4" customFormat="1" ht="14.4"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1881" t="s">
        <v>2552</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 thickTop="1">
      <c r="A67" s="669"/>
      <c r="B67" s="2561" t="s">
        <v>2553</v>
      </c>
      <c r="C67" s="2562" t="s">
        <v>2554</v>
      </c>
      <c r="D67" s="2562" t="s">
        <v>2555</v>
      </c>
      <c r="E67" s="2562" t="s">
        <v>2556</v>
      </c>
      <c r="F67" s="2562" t="s">
        <v>2557</v>
      </c>
      <c r="G67" s="2562" t="s">
        <v>2558</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4.4"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5" customFormat="1" ht="14.4"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5" customFormat="1" ht="14.4"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5" customFormat="1" ht="14.4"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4" customFormat="1" ht="14.4"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4" customFormat="1" ht="14.4"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9.4"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4" customFormat="1" ht="14.4"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4"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4"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4" customFormat="1" ht="14.4"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4.4"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4.4"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4" customFormat="1" ht="14.4"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4" customFormat="1" ht="14.4"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4.4"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4.4"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4.4"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3.8"/>
  <cols>
    <col min="1" max="1" width="10.44140625" style="1332" customWidth="1"/>
    <col min="2" max="2" width="15.77734375" style="1332" customWidth="1"/>
    <col min="3" max="3" width="14.33203125" style="1332" customWidth="1"/>
    <col min="4" max="4" width="12.21875" style="1332" customWidth="1"/>
    <col min="5" max="5" width="14.33203125" style="1332" customWidth="1"/>
    <col min="6" max="6" width="12.21875" style="1332" customWidth="1"/>
    <col min="7" max="7" width="14.44140625" style="1332" customWidth="1"/>
    <col min="8" max="8" width="12.21875" style="1332" customWidth="1"/>
    <col min="9" max="9" width="14.44140625" style="1332" customWidth="1"/>
    <col min="10" max="10" width="12.21875" style="1332" customWidth="1"/>
    <col min="11" max="11" width="12.21875" style="1338" customWidth="1"/>
    <col min="12" max="12" width="12.21875" style="1339" customWidth="1"/>
    <col min="13" max="15" width="12.21875" style="1332" customWidth="1"/>
    <col min="16" max="16" width="4.77734375" style="1332" customWidth="1"/>
    <col min="17" max="17" width="19.44140625" style="1332" customWidth="1"/>
    <col min="18" max="22" width="6.109375" style="1332" customWidth="1"/>
    <col min="23" max="23" width="5.77734375" style="1332" customWidth="1"/>
    <col min="24" max="24" width="4.21875" style="1332" customWidth="1"/>
    <col min="25" max="25" width="3.44140625" style="1332" customWidth="1"/>
    <col min="26" max="26" width="19.77734375" style="1332" customWidth="1"/>
    <col min="27" max="28" width="9.33203125" style="1332" customWidth="1"/>
    <col min="29" max="16384" width="9" style="1332"/>
  </cols>
  <sheetData>
    <row r="1" spans="1:29" s="1331" customFormat="1" ht="28.5" customHeight="1">
      <c r="A1" s="502" t="s">
        <v>718</v>
      </c>
      <c r="B1" s="923"/>
      <c r="C1" s="504" t="s">
        <v>792</v>
      </c>
      <c r="D1" s="849"/>
      <c r="E1" s="506"/>
      <c r="F1" s="2762"/>
      <c r="G1" s="1586" t="s">
        <v>793</v>
      </c>
      <c r="H1" s="506"/>
      <c r="I1" s="506"/>
      <c r="J1" s="506"/>
      <c r="K1" s="507"/>
      <c r="L1" s="1548"/>
      <c r="M1" s="1549"/>
      <c r="N1" s="1549"/>
      <c r="O1" s="1549"/>
      <c r="P1" s="1550"/>
      <c r="Q1" s="1550"/>
      <c r="R1" s="1550"/>
      <c r="S1" s="1550"/>
      <c r="T1" s="1550"/>
      <c r="U1" s="1550"/>
      <c r="V1" s="1550"/>
      <c r="W1" s="1550"/>
      <c r="X1" s="1550"/>
      <c r="Y1" s="1550"/>
      <c r="Z1" s="1550"/>
      <c r="AA1" s="1550"/>
      <c r="AB1" s="1550"/>
      <c r="AC1" s="1551"/>
    </row>
    <row r="2" spans="1:29" s="1331" customFormat="1" ht="28.5" customHeight="1">
      <c r="A2" s="423" t="s">
        <v>794</v>
      </c>
      <c r="B2" s="850" t="e">
        <f>ROUND(B3*D3/10000,0)</f>
        <v>#DIV/0!</v>
      </c>
      <c r="C2" s="2112"/>
      <c r="D2" s="2112"/>
      <c r="E2" s="2113"/>
      <c r="F2" s="2114"/>
      <c r="G2" s="2113"/>
      <c r="H2" s="2113"/>
      <c r="I2" s="2113"/>
      <c r="J2" s="2113"/>
      <c r="K2" s="2115"/>
      <c r="L2" s="2116"/>
      <c r="M2" s="2117"/>
      <c r="N2" s="2117"/>
      <c r="O2" s="2117"/>
      <c r="P2" s="1550"/>
      <c r="Q2" s="1550"/>
      <c r="R2" s="1550"/>
      <c r="S2" s="1550"/>
      <c r="T2" s="1550"/>
      <c r="U2" s="1550"/>
      <c r="V2" s="1550"/>
      <c r="W2" s="1550"/>
      <c r="X2" s="1550"/>
      <c r="Y2" s="1550"/>
      <c r="Z2" s="1550"/>
      <c r="AA2" s="1550"/>
      <c r="AB2" s="1550"/>
      <c r="AC2" s="1551"/>
    </row>
    <row r="3" spans="1:29" s="1331"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0"/>
      <c r="Q3" s="1550"/>
      <c r="R3" s="1550"/>
      <c r="S3" s="1550"/>
      <c r="T3" s="1550"/>
      <c r="U3" s="1550"/>
      <c r="V3" s="1550"/>
      <c r="W3" s="1550"/>
      <c r="X3" s="1550"/>
      <c r="Y3" s="1550"/>
      <c r="Z3" s="1550"/>
      <c r="AA3" s="1550"/>
      <c r="AB3" s="1552"/>
      <c r="AC3" s="428"/>
    </row>
    <row r="4" spans="1:29" ht="14.4">
      <c r="A4" s="512" t="s">
        <v>797</v>
      </c>
      <c r="B4" s="513"/>
      <c r="C4" s="3380" t="s">
        <v>798</v>
      </c>
      <c r="D4" s="3381"/>
      <c r="E4" s="3414" t="s">
        <v>799</v>
      </c>
      <c r="F4" s="3415"/>
      <c r="G4" s="3380" t="s">
        <v>800</v>
      </c>
      <c r="H4" s="3381"/>
      <c r="I4" s="3380" t="s">
        <v>801</v>
      </c>
      <c r="J4" s="3381"/>
      <c r="K4" s="514" t="s">
        <v>802</v>
      </c>
      <c r="L4" s="2118"/>
      <c r="M4" s="2119"/>
      <c r="N4" s="2119"/>
      <c r="O4" s="2119"/>
      <c r="P4" s="3382" t="s">
        <v>803</v>
      </c>
      <c r="Q4" s="3383"/>
      <c r="R4" s="3388" t="s">
        <v>799</v>
      </c>
      <c r="S4" s="3389"/>
      <c r="T4" s="3388" t="s">
        <v>800</v>
      </c>
      <c r="U4" s="3389"/>
      <c r="V4" s="3375" t="s">
        <v>801</v>
      </c>
      <c r="W4" s="3375"/>
      <c r="X4" s="1553"/>
      <c r="Y4" s="3388" t="s">
        <v>803</v>
      </c>
      <c r="Z4" s="3389"/>
      <c r="AA4" s="3377" t="s">
        <v>799</v>
      </c>
      <c r="AB4" s="3378" t="s">
        <v>800</v>
      </c>
      <c r="AC4" s="3377" t="s">
        <v>801</v>
      </c>
    </row>
    <row r="5" spans="1:29">
      <c r="A5" s="515"/>
      <c r="B5" s="516"/>
      <c r="C5" s="3396" t="s">
        <v>2925</v>
      </c>
      <c r="D5" s="3397"/>
      <c r="E5" s="3416" t="s">
        <v>2926</v>
      </c>
      <c r="F5" s="3417"/>
      <c r="G5" s="3396" t="s">
        <v>2927</v>
      </c>
      <c r="H5" s="3397"/>
      <c r="I5" s="3396" t="s">
        <v>2928</v>
      </c>
      <c r="J5" s="3397"/>
      <c r="K5" s="514"/>
      <c r="L5" s="2118"/>
      <c r="M5" s="2119"/>
      <c r="N5" s="2119"/>
      <c r="O5" s="2119"/>
      <c r="P5" s="3384"/>
      <c r="Q5" s="3385"/>
      <c r="R5" s="3390"/>
      <c r="S5" s="3391"/>
      <c r="T5" s="3390"/>
      <c r="U5" s="3391"/>
      <c r="V5" s="3375"/>
      <c r="W5" s="3375"/>
      <c r="X5" s="1553"/>
      <c r="Y5" s="3390"/>
      <c r="Z5" s="3391"/>
      <c r="AA5" s="3378"/>
      <c r="AB5" s="3378"/>
      <c r="AC5" s="3378"/>
    </row>
    <row r="6" spans="1:29" ht="15" thickBot="1">
      <c r="A6" s="517"/>
      <c r="B6" s="518"/>
      <c r="C6" s="3394" t="s">
        <v>2929</v>
      </c>
      <c r="D6" s="3395"/>
      <c r="E6" s="3412" t="s">
        <v>2929</v>
      </c>
      <c r="F6" s="3413"/>
      <c r="G6" s="3394" t="s">
        <v>2929</v>
      </c>
      <c r="H6" s="3395"/>
      <c r="I6" s="3394" t="s">
        <v>2929</v>
      </c>
      <c r="J6" s="3395"/>
      <c r="K6" s="514" t="s">
        <v>528</v>
      </c>
      <c r="L6" s="2118"/>
      <c r="M6" s="2119"/>
      <c r="N6" s="2119"/>
      <c r="O6" s="2119"/>
      <c r="P6" s="3386"/>
      <c r="Q6" s="3387"/>
      <c r="R6" s="3390"/>
      <c r="S6" s="3391"/>
      <c r="T6" s="3392"/>
      <c r="U6" s="3393"/>
      <c r="V6" s="3375"/>
      <c r="W6" s="3375"/>
      <c r="X6" s="1553"/>
      <c r="Y6" s="3392"/>
      <c r="Z6" s="3393"/>
      <c r="AA6" s="3379"/>
      <c r="AB6" s="3379"/>
      <c r="AC6" s="3379"/>
    </row>
    <row r="7" spans="1:29" s="1215" customFormat="1" ht="15" thickBot="1">
      <c r="A7" s="2867"/>
      <c r="B7" s="2874" t="s">
        <v>529</v>
      </c>
      <c r="C7" s="519">
        <f>'数据-取费表'!B2</f>
        <v>44006</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05" t="s">
        <v>530</v>
      </c>
      <c r="Q7" s="3407"/>
      <c r="R7" s="1554" t="s">
        <v>8</v>
      </c>
      <c r="S7" s="1555">
        <f t="shared" ref="S7:S14" si="0">F7</f>
        <v>0</v>
      </c>
      <c r="T7" s="1554" t="s">
        <v>8</v>
      </c>
      <c r="U7" s="1555">
        <f t="shared" ref="U7:U14" si="1">H7</f>
        <v>0</v>
      </c>
      <c r="V7" s="1554" t="s">
        <v>8</v>
      </c>
      <c r="W7" s="1555">
        <f t="shared" ref="W7:W14" si="2">J7</f>
        <v>0</v>
      </c>
      <c r="X7" s="1556"/>
      <c r="Y7" s="3405" t="s">
        <v>530</v>
      </c>
      <c r="Z7" s="3406"/>
      <c r="AA7" s="1557" t="e">
        <f>D7/F7</f>
        <v>#DIV/0!</v>
      </c>
      <c r="AB7" s="1557" t="e">
        <f>D7/H7</f>
        <v>#DIV/0!</v>
      </c>
      <c r="AC7" s="1557" t="e">
        <f>D7/J7</f>
        <v>#DIV/0!</v>
      </c>
    </row>
    <row r="8" spans="1:29" s="1215" customFormat="1" ht="1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05" t="s">
        <v>533</v>
      </c>
      <c r="Q8" s="3406"/>
      <c r="R8" s="1554" t="s">
        <v>8</v>
      </c>
      <c r="S8" s="1555">
        <f t="shared" si="0"/>
        <v>0</v>
      </c>
      <c r="T8" s="1554" t="s">
        <v>8</v>
      </c>
      <c r="U8" s="1555">
        <f t="shared" si="1"/>
        <v>0</v>
      </c>
      <c r="V8" s="1554" t="s">
        <v>8</v>
      </c>
      <c r="W8" s="1555">
        <f t="shared" si="2"/>
        <v>0</v>
      </c>
      <c r="X8" s="1556"/>
      <c r="Y8" s="3405" t="s">
        <v>533</v>
      </c>
      <c r="Z8" s="3406"/>
      <c r="AA8" s="1557" t="e">
        <f t="shared" ref="AA8:AA34" si="3">D8/F8</f>
        <v>#DIV/0!</v>
      </c>
      <c r="AB8" s="1557" t="e">
        <f t="shared" ref="AB8:AB34" si="4">D8/H8</f>
        <v>#DIV/0!</v>
      </c>
      <c r="AC8" s="1557" t="e">
        <f t="shared" ref="AC8:AC34" si="5">D8/J8</f>
        <v>#DIV/0!</v>
      </c>
    </row>
    <row r="9" spans="1:29" s="1215" customFormat="1" ht="14.4">
      <c r="A9" s="2869"/>
      <c r="B9" s="2876" t="s">
        <v>2750</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4" t="s">
        <v>535</v>
      </c>
      <c r="Q9" s="1146" t="str">
        <f t="shared" ref="Q9:Q14" si="6">B9</f>
        <v>用途</v>
      </c>
      <c r="R9" s="1554" t="s">
        <v>8</v>
      </c>
      <c r="S9" s="1555">
        <f t="shared" si="0"/>
        <v>100</v>
      </c>
      <c r="T9" s="1554" t="s">
        <v>8</v>
      </c>
      <c r="U9" s="1555">
        <f t="shared" si="1"/>
        <v>100</v>
      </c>
      <c r="V9" s="1554" t="s">
        <v>8</v>
      </c>
      <c r="W9" s="1555">
        <f t="shared" si="2"/>
        <v>100</v>
      </c>
      <c r="X9" s="1556"/>
      <c r="Y9" s="3319" t="s">
        <v>536</v>
      </c>
      <c r="Z9" s="1145" t="str">
        <f t="shared" ref="Z9:Z14" si="7">Q9</f>
        <v>用途</v>
      </c>
      <c r="AA9" s="1557">
        <f t="shared" si="3"/>
        <v>1</v>
      </c>
      <c r="AB9" s="1557">
        <f t="shared" si="4"/>
        <v>1</v>
      </c>
      <c r="AC9" s="1557">
        <f t="shared" si="5"/>
        <v>1</v>
      </c>
    </row>
    <row r="10" spans="1:29" s="1333" customFormat="1" ht="28.8">
      <c r="A10" s="2870"/>
      <c r="B10" s="2875" t="s">
        <v>2751</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4"/>
      <c r="Q10" s="1146" t="str">
        <f t="shared" si="6"/>
        <v>土地使用年限（年）</v>
      </c>
      <c r="R10" s="1554" t="s">
        <v>8</v>
      </c>
      <c r="S10" s="1555">
        <f t="shared" si="0"/>
        <v>100</v>
      </c>
      <c r="T10" s="1554" t="s">
        <v>8</v>
      </c>
      <c r="U10" s="1555">
        <f t="shared" si="1"/>
        <v>100</v>
      </c>
      <c r="V10" s="1554" t="s">
        <v>8</v>
      </c>
      <c r="W10" s="1555">
        <f t="shared" si="2"/>
        <v>100</v>
      </c>
      <c r="X10" s="1556"/>
      <c r="Y10" s="3319"/>
      <c r="Z10" s="1145" t="str">
        <f t="shared" si="7"/>
        <v>土地使用年限（年）</v>
      </c>
      <c r="AA10" s="1557">
        <f t="shared" si="3"/>
        <v>1</v>
      </c>
      <c r="AB10" s="1557">
        <f t="shared" si="4"/>
        <v>1</v>
      </c>
      <c r="AC10" s="1557">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74"/>
      <c r="Q11" s="1146">
        <f t="shared" si="6"/>
        <v>111</v>
      </c>
      <c r="R11" s="1554" t="s">
        <v>8</v>
      </c>
      <c r="S11" s="1555">
        <f t="shared" si="0"/>
        <v>100</v>
      </c>
      <c r="T11" s="1554" t="s">
        <v>8</v>
      </c>
      <c r="U11" s="1555">
        <f t="shared" si="1"/>
        <v>100</v>
      </c>
      <c r="V11" s="1554" t="s">
        <v>8</v>
      </c>
      <c r="W11" s="1555">
        <f t="shared" si="2"/>
        <v>100</v>
      </c>
      <c r="X11" s="1556"/>
      <c r="Y11" s="3319"/>
      <c r="Z11" s="1145">
        <f t="shared" si="7"/>
        <v>111</v>
      </c>
      <c r="AA11" s="1557">
        <f t="shared" si="3"/>
        <v>1</v>
      </c>
      <c r="AB11" s="1557">
        <f t="shared" si="4"/>
        <v>1</v>
      </c>
      <c r="AC11" s="1557">
        <f t="shared" si="5"/>
        <v>1</v>
      </c>
    </row>
    <row r="12" spans="1:29" s="1215"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74"/>
      <c r="Q12" s="1146">
        <f t="shared" si="6"/>
        <v>111</v>
      </c>
      <c r="R12" s="1554" t="s">
        <v>8</v>
      </c>
      <c r="S12" s="1555">
        <f t="shared" si="0"/>
        <v>100</v>
      </c>
      <c r="T12" s="1554" t="s">
        <v>8</v>
      </c>
      <c r="U12" s="1555">
        <f t="shared" si="1"/>
        <v>100</v>
      </c>
      <c r="V12" s="1554" t="s">
        <v>8</v>
      </c>
      <c r="W12" s="1555">
        <f t="shared" si="2"/>
        <v>100</v>
      </c>
      <c r="X12" s="1556"/>
      <c r="Y12" s="3319"/>
      <c r="Z12" s="1145">
        <f t="shared" si="7"/>
        <v>111</v>
      </c>
      <c r="AA12" s="1557">
        <f>D12/F12</f>
        <v>1</v>
      </c>
      <c r="AB12" s="1557">
        <f>D12/H12</f>
        <v>1</v>
      </c>
      <c r="AC12" s="1557">
        <f>D12/J12</f>
        <v>1</v>
      </c>
    </row>
    <row r="13" spans="1:29" ht="15.6"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74"/>
      <c r="Q13" s="1146">
        <f t="shared" si="6"/>
        <v>111</v>
      </c>
      <c r="R13" s="1554" t="s">
        <v>8</v>
      </c>
      <c r="S13" s="1555">
        <f t="shared" si="0"/>
        <v>100</v>
      </c>
      <c r="T13" s="1554" t="s">
        <v>8</v>
      </c>
      <c r="U13" s="1555">
        <f t="shared" si="1"/>
        <v>100</v>
      </c>
      <c r="V13" s="1554" t="s">
        <v>8</v>
      </c>
      <c r="W13" s="1555">
        <f t="shared" si="2"/>
        <v>100</v>
      </c>
      <c r="X13" s="1556"/>
      <c r="Y13" s="3319"/>
      <c r="Z13" s="1145">
        <f t="shared" si="7"/>
        <v>111</v>
      </c>
      <c r="AA13" s="1557">
        <f t="shared" si="3"/>
        <v>1</v>
      </c>
      <c r="AB13" s="1557">
        <f t="shared" si="4"/>
        <v>1</v>
      </c>
      <c r="AC13" s="1557">
        <f t="shared" si="5"/>
        <v>1</v>
      </c>
    </row>
    <row r="14" spans="1:29" ht="96.6">
      <c r="A14" s="2865" t="s">
        <v>2748</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08" t="s">
        <v>540</v>
      </c>
      <c r="Q14" s="1558" t="str">
        <f t="shared" si="6"/>
        <v>交通便捷度</v>
      </c>
      <c r="R14" s="1559" t="s">
        <v>8</v>
      </c>
      <c r="S14" s="1560">
        <f t="shared" si="0"/>
        <v>100</v>
      </c>
      <c r="T14" s="1559" t="s">
        <v>8</v>
      </c>
      <c r="U14" s="1560">
        <f t="shared" si="1"/>
        <v>100</v>
      </c>
      <c r="V14" s="1559" t="s">
        <v>8</v>
      </c>
      <c r="W14" s="1560">
        <f t="shared" si="2"/>
        <v>100</v>
      </c>
      <c r="X14" s="1553"/>
      <c r="Y14" s="3408" t="s">
        <v>540</v>
      </c>
      <c r="Z14" s="1561" t="str">
        <f t="shared" si="7"/>
        <v>交通便捷度</v>
      </c>
      <c r="AA14" s="1562">
        <f t="shared" si="3"/>
        <v>1</v>
      </c>
      <c r="AB14" s="1562">
        <f t="shared" si="4"/>
        <v>1</v>
      </c>
      <c r="AC14" s="1562">
        <f t="shared" si="5"/>
        <v>1</v>
      </c>
    </row>
    <row r="15" spans="1:29" ht="15">
      <c r="A15" s="532"/>
      <c r="B15" s="869"/>
      <c r="C15" s="576"/>
      <c r="D15" s="555"/>
      <c r="E15" s="576"/>
      <c r="F15" s="557"/>
      <c r="G15" s="576"/>
      <c r="H15" s="559"/>
      <c r="I15" s="576"/>
      <c r="J15" s="555"/>
      <c r="K15" s="899"/>
      <c r="L15" s="2127"/>
      <c r="M15" s="2119"/>
      <c r="N15" s="2119"/>
      <c r="O15" s="2126"/>
      <c r="P15" s="3409"/>
      <c r="Q15" s="1558"/>
      <c r="R15" s="1559"/>
      <c r="S15" s="1560"/>
      <c r="T15" s="1559"/>
      <c r="U15" s="1560"/>
      <c r="V15" s="1559"/>
      <c r="W15" s="1560"/>
      <c r="X15" s="1553"/>
      <c r="Y15" s="3409"/>
      <c r="Z15" s="1561"/>
      <c r="AA15" s="1562">
        <v>1</v>
      </c>
      <c r="AB15" s="1562">
        <v>1</v>
      </c>
      <c r="AC15" s="1562">
        <v>1</v>
      </c>
    </row>
    <row r="16" spans="1:29" ht="41.4">
      <c r="A16" s="532"/>
      <c r="B16" s="2567" t="s">
        <v>2541</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09"/>
      <c r="Q16" s="1558" t="str">
        <f>B16</f>
        <v>公共配套设施</v>
      </c>
      <c r="R16" s="1559" t="s">
        <v>8</v>
      </c>
      <c r="S16" s="1560">
        <f>F16</f>
        <v>100</v>
      </c>
      <c r="T16" s="1559" t="s">
        <v>8</v>
      </c>
      <c r="U16" s="1560">
        <f>H16</f>
        <v>100</v>
      </c>
      <c r="V16" s="1559" t="s">
        <v>8</v>
      </c>
      <c r="W16" s="1560">
        <f>J16</f>
        <v>100</v>
      </c>
      <c r="X16" s="1553"/>
      <c r="Y16" s="3409"/>
      <c r="Z16" s="1561" t="str">
        <f>Q16</f>
        <v>公共配套设施</v>
      </c>
      <c r="AA16" s="1562">
        <f t="shared" si="3"/>
        <v>1</v>
      </c>
      <c r="AB16" s="1562">
        <f t="shared" si="4"/>
        <v>1</v>
      </c>
      <c r="AC16" s="1562">
        <f t="shared" si="5"/>
        <v>1</v>
      </c>
    </row>
    <row r="17" spans="1:29" ht="15">
      <c r="A17" s="532"/>
      <c r="B17" s="566"/>
      <c r="C17" s="873"/>
      <c r="D17" s="555"/>
      <c r="E17" s="576"/>
      <c r="F17" s="557"/>
      <c r="G17" s="576"/>
      <c r="H17" s="555"/>
      <c r="I17" s="576"/>
      <c r="J17" s="555"/>
      <c r="K17" s="899"/>
      <c r="L17" s="2127"/>
      <c r="M17" s="2119"/>
      <c r="N17" s="2119"/>
      <c r="O17" s="2126"/>
      <c r="P17" s="3409"/>
      <c r="Q17" s="1558"/>
      <c r="R17" s="1559"/>
      <c r="S17" s="1560"/>
      <c r="T17" s="1559"/>
      <c r="U17" s="1560"/>
      <c r="V17" s="1559"/>
      <c r="W17" s="1560"/>
      <c r="X17" s="1553"/>
      <c r="Y17" s="3409"/>
      <c r="Z17" s="1561"/>
      <c r="AA17" s="1562">
        <v>1</v>
      </c>
      <c r="AB17" s="1562">
        <v>1</v>
      </c>
      <c r="AC17" s="1562">
        <v>1</v>
      </c>
    </row>
    <row r="18" spans="1:29" ht="41.4">
      <c r="A18" s="532"/>
      <c r="B18" s="2555" t="s">
        <v>2553</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09"/>
      <c r="Q18" s="2543" t="str">
        <f>B18</f>
        <v>基础设施水平</v>
      </c>
      <c r="R18" s="1559" t="s">
        <v>8</v>
      </c>
      <c r="S18" s="1560">
        <f>F18</f>
        <v>100</v>
      </c>
      <c r="T18" s="1559" t="s">
        <v>8</v>
      </c>
      <c r="U18" s="1560">
        <f>H18</f>
        <v>100</v>
      </c>
      <c r="V18" s="1559" t="s">
        <v>8</v>
      </c>
      <c r="W18" s="1560">
        <f>J18</f>
        <v>100</v>
      </c>
      <c r="X18" s="2545"/>
      <c r="Y18" s="3409"/>
      <c r="Z18" s="2544" t="str">
        <f>Q18</f>
        <v>基础设施水平</v>
      </c>
      <c r="AA18" s="1562">
        <f t="shared" ref="AA18" si="8">D18/F18</f>
        <v>1</v>
      </c>
      <c r="AB18" s="1562">
        <f t="shared" ref="AB18" si="9">D18/H18</f>
        <v>1</v>
      </c>
      <c r="AC18" s="1562">
        <f t="shared" ref="AC18" si="10">D18/J18</f>
        <v>1</v>
      </c>
    </row>
    <row r="19" spans="1:29" ht="15">
      <c r="A19" s="532"/>
      <c r="B19" s="578"/>
      <c r="C19" s="873"/>
      <c r="D19" s="559"/>
      <c r="E19" s="873"/>
      <c r="F19" s="563"/>
      <c r="G19" s="873"/>
      <c r="H19" s="555"/>
      <c r="I19" s="576"/>
      <c r="J19" s="555"/>
      <c r="K19" s="2566"/>
      <c r="L19" s="2127"/>
      <c r="M19" s="2119"/>
      <c r="N19" s="2119"/>
      <c r="O19" s="2126"/>
      <c r="P19" s="3409"/>
      <c r="Q19" s="2543"/>
      <c r="R19" s="1559"/>
      <c r="S19" s="1560"/>
      <c r="T19" s="1559"/>
      <c r="U19" s="1560"/>
      <c r="V19" s="1559"/>
      <c r="W19" s="1560"/>
      <c r="X19" s="2545"/>
      <c r="Y19" s="3409"/>
      <c r="Z19" s="2544"/>
      <c r="AA19" s="1562">
        <v>1</v>
      </c>
      <c r="AB19" s="1562">
        <v>1</v>
      </c>
      <c r="AC19" s="1562">
        <v>1</v>
      </c>
    </row>
    <row r="20" spans="1:29" ht="55.2">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09"/>
      <c r="Q20" s="1558" t="str">
        <f>B20</f>
        <v>自然及人文环境</v>
      </c>
      <c r="R20" s="1559" t="s">
        <v>8</v>
      </c>
      <c r="S20" s="1560">
        <f>F20</f>
        <v>100</v>
      </c>
      <c r="T20" s="1559" t="s">
        <v>8</v>
      </c>
      <c r="U20" s="1560">
        <f>H20</f>
        <v>100</v>
      </c>
      <c r="V20" s="1559" t="s">
        <v>8</v>
      </c>
      <c r="W20" s="1560">
        <f>J20</f>
        <v>100</v>
      </c>
      <c r="X20" s="1553"/>
      <c r="Y20" s="3409"/>
      <c r="Z20" s="1561" t="str">
        <f>Q20</f>
        <v>自然及人文环境</v>
      </c>
      <c r="AA20" s="1562">
        <f t="shared" si="3"/>
        <v>1</v>
      </c>
      <c r="AB20" s="1562">
        <f t="shared" si="4"/>
        <v>1</v>
      </c>
      <c r="AC20" s="1562">
        <f t="shared" si="5"/>
        <v>1</v>
      </c>
    </row>
    <row r="21" spans="1:29" ht="15">
      <c r="A21" s="532"/>
      <c r="B21" s="595"/>
      <c r="C21" s="576"/>
      <c r="D21" s="555"/>
      <c r="E21" s="576"/>
      <c r="F21" s="557"/>
      <c r="G21" s="576"/>
      <c r="H21" s="555"/>
      <c r="I21" s="576"/>
      <c r="J21" s="555"/>
      <c r="K21" s="899"/>
      <c r="L21" s="2127"/>
      <c r="M21" s="2119"/>
      <c r="N21" s="2119"/>
      <c r="O21" s="2126"/>
      <c r="P21" s="3409"/>
      <c r="Q21" s="1558"/>
      <c r="R21" s="1559"/>
      <c r="S21" s="1560"/>
      <c r="T21" s="1559"/>
      <c r="U21" s="1560"/>
      <c r="V21" s="1559"/>
      <c r="W21" s="1560"/>
      <c r="X21" s="1553"/>
      <c r="Y21" s="3409"/>
      <c r="Z21" s="1561"/>
      <c r="AA21" s="1562">
        <v>1</v>
      </c>
      <c r="AB21" s="1562">
        <v>1</v>
      </c>
      <c r="AC21" s="156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09"/>
      <c r="Q22" s="1558" t="str">
        <f>B22</f>
        <v>楼层</v>
      </c>
      <c r="R22" s="1559" t="s">
        <v>8</v>
      </c>
      <c r="S22" s="1560">
        <f>F22</f>
        <v>100</v>
      </c>
      <c r="T22" s="1559" t="s">
        <v>8</v>
      </c>
      <c r="U22" s="1560">
        <f>H22</f>
        <v>100</v>
      </c>
      <c r="V22" s="1559" t="s">
        <v>8</v>
      </c>
      <c r="W22" s="1560">
        <f>J22</f>
        <v>100</v>
      </c>
      <c r="X22" s="1553"/>
      <c r="Y22" s="3409"/>
      <c r="Z22" s="1561" t="str">
        <f>Q22</f>
        <v>楼层</v>
      </c>
      <c r="AA22" s="1562">
        <f t="shared" si="3"/>
        <v>1</v>
      </c>
      <c r="AB22" s="1562">
        <f t="shared" si="4"/>
        <v>1</v>
      </c>
      <c r="AC22" s="156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09"/>
      <c r="Q23" s="1558">
        <f>B23</f>
        <v>111</v>
      </c>
      <c r="R23" s="1559" t="s">
        <v>8</v>
      </c>
      <c r="S23" s="1560">
        <f>F23</f>
        <v>100</v>
      </c>
      <c r="T23" s="1559" t="s">
        <v>8</v>
      </c>
      <c r="U23" s="1560">
        <f>H23</f>
        <v>100</v>
      </c>
      <c r="V23" s="1559" t="s">
        <v>8</v>
      </c>
      <c r="W23" s="1560">
        <f>J23</f>
        <v>100</v>
      </c>
      <c r="X23" s="1553"/>
      <c r="Y23" s="3409"/>
      <c r="Z23" s="1561">
        <f>Q23</f>
        <v>111</v>
      </c>
      <c r="AA23" s="1562">
        <f t="shared" si="3"/>
        <v>1</v>
      </c>
      <c r="AB23" s="1562">
        <f t="shared" si="4"/>
        <v>1</v>
      </c>
      <c r="AC23" s="156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09"/>
      <c r="Q24" s="1558">
        <f t="shared" ref="Q24:Q34" si="11">B24</f>
        <v>111</v>
      </c>
      <c r="R24" s="1559" t="s">
        <v>8</v>
      </c>
      <c r="S24" s="1560">
        <f>F24</f>
        <v>100</v>
      </c>
      <c r="T24" s="1559" t="s">
        <v>8</v>
      </c>
      <c r="U24" s="1560">
        <f>H24</f>
        <v>100</v>
      </c>
      <c r="V24" s="1559" t="s">
        <v>8</v>
      </c>
      <c r="W24" s="1560">
        <f>J24</f>
        <v>100</v>
      </c>
      <c r="X24" s="1553"/>
      <c r="Y24" s="3409"/>
      <c r="Z24" s="1561">
        <f>Q24</f>
        <v>111</v>
      </c>
      <c r="AA24" s="1562">
        <f t="shared" si="3"/>
        <v>1</v>
      </c>
      <c r="AB24" s="1562">
        <f t="shared" si="4"/>
        <v>1</v>
      </c>
      <c r="AC24" s="1562">
        <f t="shared" si="5"/>
        <v>1</v>
      </c>
    </row>
    <row r="25" spans="1:29" s="1215" customFormat="1" ht="15.6"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09"/>
      <c r="Q25" s="1146">
        <f t="shared" si="11"/>
        <v>111</v>
      </c>
      <c r="R25" s="1554" t="s">
        <v>8</v>
      </c>
      <c r="S25" s="1555">
        <f>F25</f>
        <v>100</v>
      </c>
      <c r="T25" s="1554" t="s">
        <v>8</v>
      </c>
      <c r="U25" s="1555">
        <f>H25</f>
        <v>100</v>
      </c>
      <c r="V25" s="1554" t="s">
        <v>8</v>
      </c>
      <c r="W25" s="1555">
        <f>J25</f>
        <v>100</v>
      </c>
      <c r="X25" s="1556"/>
      <c r="Y25" s="3409"/>
      <c r="Z25" s="1145">
        <f>Q25</f>
        <v>111</v>
      </c>
      <c r="AA25" s="1562">
        <f>D25/F25</f>
        <v>1</v>
      </c>
      <c r="AB25" s="1562">
        <f>D25/H25</f>
        <v>1</v>
      </c>
      <c r="AC25" s="1562">
        <f>D25/J25</f>
        <v>1</v>
      </c>
    </row>
    <row r="26" spans="1:29" ht="15">
      <c r="A26" s="2862" t="s">
        <v>2749</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10" t="s">
        <v>821</v>
      </c>
      <c r="Q26" s="1558" t="str">
        <f t="shared" si="11"/>
        <v>公共部分装修</v>
      </c>
      <c r="R26" s="1559" t="s">
        <v>8</v>
      </c>
      <c r="S26" s="1560">
        <f t="shared" ref="S26:S34" si="12">F26</f>
        <v>100</v>
      </c>
      <c r="T26" s="1559" t="s">
        <v>8</v>
      </c>
      <c r="U26" s="1560">
        <f t="shared" ref="U26:U34" si="13">H26</f>
        <v>100</v>
      </c>
      <c r="V26" s="1559" t="s">
        <v>8</v>
      </c>
      <c r="W26" s="1560">
        <f t="shared" ref="W26:W34" si="14">J26</f>
        <v>100</v>
      </c>
      <c r="X26" s="1553"/>
      <c r="Y26" s="3411" t="s">
        <v>821</v>
      </c>
      <c r="Z26" s="1561" t="str">
        <f t="shared" ref="Z26:Z34" si="15">Q26</f>
        <v>公共部分装修</v>
      </c>
      <c r="AA26" s="1562">
        <f t="shared" si="3"/>
        <v>1</v>
      </c>
      <c r="AB26" s="1562">
        <f t="shared" si="4"/>
        <v>1</v>
      </c>
      <c r="AC26" s="1562">
        <f t="shared" si="5"/>
        <v>1</v>
      </c>
    </row>
    <row r="27" spans="1:29" s="1334"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11"/>
      <c r="Q27" s="1590" t="str">
        <f t="shared" si="11"/>
        <v>成新率</v>
      </c>
      <c r="R27" s="1563" t="s">
        <v>8</v>
      </c>
      <c r="S27" s="1564" t="e">
        <f t="shared" si="12"/>
        <v>#N/A</v>
      </c>
      <c r="T27" s="1563" t="s">
        <v>8</v>
      </c>
      <c r="U27" s="1564" t="e">
        <f t="shared" si="13"/>
        <v>#N/A</v>
      </c>
      <c r="V27" s="1563" t="s">
        <v>8</v>
      </c>
      <c r="W27" s="1564" t="e">
        <f t="shared" si="14"/>
        <v>#N/A</v>
      </c>
      <c r="X27" s="1565"/>
      <c r="Y27" s="3411"/>
      <c r="Z27" s="1566" t="str">
        <f t="shared" si="15"/>
        <v>成新率</v>
      </c>
      <c r="AA27" s="1562" t="e">
        <f t="shared" si="3"/>
        <v>#N/A</v>
      </c>
      <c r="AB27" s="1562" t="e">
        <f t="shared" si="4"/>
        <v>#N/A</v>
      </c>
      <c r="AC27" s="156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11"/>
      <c r="Q28" s="1558" t="str">
        <f t="shared" si="11"/>
        <v>物业等级</v>
      </c>
      <c r="R28" s="1559" t="s">
        <v>8</v>
      </c>
      <c r="S28" s="1560">
        <f t="shared" si="12"/>
        <v>100</v>
      </c>
      <c r="T28" s="1559" t="s">
        <v>8</v>
      </c>
      <c r="U28" s="1560">
        <f t="shared" si="13"/>
        <v>100</v>
      </c>
      <c r="V28" s="1559" t="s">
        <v>8</v>
      </c>
      <c r="W28" s="1560">
        <f t="shared" si="14"/>
        <v>100</v>
      </c>
      <c r="X28" s="1553"/>
      <c r="Y28" s="3411"/>
      <c r="Z28" s="1561" t="str">
        <f t="shared" si="15"/>
        <v>物业等级</v>
      </c>
      <c r="AA28" s="1562">
        <f t="shared" si="3"/>
        <v>1</v>
      </c>
      <c r="AB28" s="1562">
        <f t="shared" si="4"/>
        <v>1</v>
      </c>
      <c r="AC28" s="1562">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11"/>
      <c r="Q29" s="1558" t="str">
        <f t="shared" si="11"/>
        <v>有无电梯</v>
      </c>
      <c r="R29" s="1559" t="s">
        <v>8</v>
      </c>
      <c r="S29" s="1560">
        <f t="shared" si="12"/>
        <v>100</v>
      </c>
      <c r="T29" s="1559" t="s">
        <v>8</v>
      </c>
      <c r="U29" s="1560">
        <f t="shared" si="13"/>
        <v>100</v>
      </c>
      <c r="V29" s="1559" t="s">
        <v>8</v>
      </c>
      <c r="W29" s="1560">
        <f t="shared" si="14"/>
        <v>100</v>
      </c>
      <c r="X29" s="1553"/>
      <c r="Y29" s="3411"/>
      <c r="Z29" s="1561" t="str">
        <f t="shared" si="15"/>
        <v>有无电梯</v>
      </c>
      <c r="AA29" s="1562">
        <f t="shared" si="3"/>
        <v>1</v>
      </c>
      <c r="AB29" s="1562">
        <f t="shared" si="4"/>
        <v>1</v>
      </c>
      <c r="AC29" s="1562">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11"/>
      <c r="Q30" s="1558" t="str">
        <f t="shared" si="11"/>
        <v>建筑面积</v>
      </c>
      <c r="R30" s="1559" t="s">
        <v>8</v>
      </c>
      <c r="S30" s="1560" t="e">
        <f t="shared" si="12"/>
        <v>#N/A</v>
      </c>
      <c r="T30" s="1559" t="s">
        <v>8</v>
      </c>
      <c r="U30" s="1560" t="e">
        <f t="shared" si="13"/>
        <v>#N/A</v>
      </c>
      <c r="V30" s="1559" t="s">
        <v>8</v>
      </c>
      <c r="W30" s="1560" t="e">
        <f t="shared" si="14"/>
        <v>#N/A</v>
      </c>
      <c r="X30" s="1553"/>
      <c r="Y30" s="3411"/>
      <c r="Z30" s="1561" t="str">
        <f t="shared" si="15"/>
        <v>建筑面积</v>
      </c>
      <c r="AA30" s="1562" t="e">
        <f t="shared" si="3"/>
        <v>#N/A</v>
      </c>
      <c r="AB30" s="1562" t="e">
        <f t="shared" si="4"/>
        <v>#N/A</v>
      </c>
      <c r="AC30" s="1562" t="e">
        <f t="shared" si="5"/>
        <v>#N/A</v>
      </c>
    </row>
    <row r="31" spans="1:29" s="1215"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11"/>
      <c r="Q31" s="1146" t="str">
        <f t="shared" si="11"/>
        <v>是否封闭</v>
      </c>
      <c r="R31" s="1554" t="s">
        <v>8</v>
      </c>
      <c r="S31" s="1555">
        <f t="shared" si="12"/>
        <v>100</v>
      </c>
      <c r="T31" s="1554" t="s">
        <v>8</v>
      </c>
      <c r="U31" s="1555">
        <f t="shared" si="13"/>
        <v>100</v>
      </c>
      <c r="V31" s="1554" t="s">
        <v>8</v>
      </c>
      <c r="W31" s="1555">
        <f t="shared" si="14"/>
        <v>100</v>
      </c>
      <c r="X31" s="1556"/>
      <c r="Y31" s="3411"/>
      <c r="Z31" s="1145" t="str">
        <f t="shared" si="15"/>
        <v>是否封闭</v>
      </c>
      <c r="AA31" s="1557">
        <f t="shared" si="3"/>
        <v>1</v>
      </c>
      <c r="AB31" s="1557">
        <f t="shared" si="4"/>
        <v>1</v>
      </c>
      <c r="AC31" s="1557">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11" t="s">
        <v>550</v>
      </c>
      <c r="Q32" s="1558">
        <f t="shared" si="11"/>
        <v>111</v>
      </c>
      <c r="R32" s="1559" t="s">
        <v>8</v>
      </c>
      <c r="S32" s="1560">
        <f t="shared" si="12"/>
        <v>100</v>
      </c>
      <c r="T32" s="1559" t="s">
        <v>8</v>
      </c>
      <c r="U32" s="1560">
        <f t="shared" si="13"/>
        <v>100</v>
      </c>
      <c r="V32" s="1559" t="s">
        <v>8</v>
      </c>
      <c r="W32" s="1560">
        <f t="shared" si="14"/>
        <v>100</v>
      </c>
      <c r="X32" s="1553"/>
      <c r="Y32" s="3411" t="s">
        <v>550</v>
      </c>
      <c r="Z32" s="1561">
        <f t="shared" si="15"/>
        <v>111</v>
      </c>
      <c r="AA32" s="1562">
        <f t="shared" si="3"/>
        <v>1</v>
      </c>
      <c r="AB32" s="1562">
        <f t="shared" si="4"/>
        <v>1</v>
      </c>
      <c r="AC32" s="1562">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11"/>
      <c r="Q33" s="1558">
        <f t="shared" si="11"/>
        <v>111</v>
      </c>
      <c r="R33" s="1559" t="s">
        <v>8</v>
      </c>
      <c r="S33" s="1560">
        <f t="shared" si="12"/>
        <v>100</v>
      </c>
      <c r="T33" s="1559" t="s">
        <v>8</v>
      </c>
      <c r="U33" s="1560">
        <f t="shared" si="13"/>
        <v>100</v>
      </c>
      <c r="V33" s="1559" t="s">
        <v>8</v>
      </c>
      <c r="W33" s="1560">
        <f t="shared" si="14"/>
        <v>100</v>
      </c>
      <c r="X33" s="1553"/>
      <c r="Y33" s="3411"/>
      <c r="Z33" s="1561">
        <f t="shared" si="15"/>
        <v>111</v>
      </c>
      <c r="AA33" s="1562">
        <f t="shared" si="3"/>
        <v>1</v>
      </c>
      <c r="AB33" s="1562">
        <f t="shared" si="4"/>
        <v>1</v>
      </c>
      <c r="AC33" s="1562">
        <f t="shared" si="5"/>
        <v>1</v>
      </c>
    </row>
    <row r="34" spans="1:29" ht="15.6"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11"/>
      <c r="Q34" s="1558">
        <f t="shared" si="11"/>
        <v>111</v>
      </c>
      <c r="R34" s="1559" t="s">
        <v>8</v>
      </c>
      <c r="S34" s="1560">
        <f t="shared" si="12"/>
        <v>100</v>
      </c>
      <c r="T34" s="1559" t="s">
        <v>8</v>
      </c>
      <c r="U34" s="1560">
        <f t="shared" si="13"/>
        <v>100</v>
      </c>
      <c r="V34" s="1559" t="s">
        <v>8</v>
      </c>
      <c r="W34" s="1560">
        <f t="shared" si="14"/>
        <v>100</v>
      </c>
      <c r="X34" s="1553"/>
      <c r="Y34" s="3411"/>
      <c r="Z34" s="1561">
        <f t="shared" si="15"/>
        <v>111</v>
      </c>
      <c r="AA34" s="1562">
        <f t="shared" si="3"/>
        <v>1</v>
      </c>
      <c r="AB34" s="1562">
        <f t="shared" si="4"/>
        <v>1</v>
      </c>
      <c r="AC34" s="1562">
        <f t="shared" si="5"/>
        <v>1</v>
      </c>
    </row>
    <row r="35" spans="1:29" ht="14.4">
      <c r="A35" s="607" t="s">
        <v>736</v>
      </c>
      <c r="B35" s="887"/>
      <c r="C35" s="2591" t="s">
        <v>1</v>
      </c>
      <c r="D35" s="2592"/>
      <c r="E35" s="2593"/>
      <c r="F35" s="2594"/>
      <c r="G35" s="2595"/>
      <c r="H35" s="2596"/>
      <c r="I35" s="2593"/>
      <c r="J35" s="2596"/>
      <c r="K35" s="1596"/>
      <c r="L35" s="2129"/>
      <c r="M35" s="2130"/>
      <c r="N35" s="2119"/>
      <c r="O35" s="2130"/>
      <c r="P35" s="3374" t="str">
        <f>A35</f>
        <v>成交单价（元/平方米）</v>
      </c>
      <c r="Q35" s="3374"/>
      <c r="R35" s="3491">
        <f>E35</f>
        <v>0</v>
      </c>
      <c r="S35" s="3491"/>
      <c r="T35" s="3491">
        <f>G35</f>
        <v>0</v>
      </c>
      <c r="U35" s="3491"/>
      <c r="V35" s="3491">
        <f>I35</f>
        <v>0</v>
      </c>
      <c r="W35" s="3491"/>
      <c r="X35" s="1545"/>
      <c r="Y35" s="1567"/>
      <c r="Z35" s="1545"/>
      <c r="AA35" s="1545"/>
      <c r="AB35" s="1545"/>
      <c r="AC35" s="1545"/>
    </row>
    <row r="36" spans="1:29" ht="15" thickBot="1">
      <c r="A36" s="615" t="s">
        <v>2754</v>
      </c>
      <c r="B36" s="888"/>
      <c r="C36" s="2597" t="e">
        <f>R37</f>
        <v>#DIV/0!</v>
      </c>
      <c r="D36" s="2598"/>
      <c r="E36" s="2599" t="e">
        <f>R36</f>
        <v>#DIV/0!</v>
      </c>
      <c r="F36" s="2599"/>
      <c r="G36" s="2597" t="e">
        <f>T36</f>
        <v>#DIV/0!</v>
      </c>
      <c r="H36" s="2598"/>
      <c r="I36" s="2599" t="e">
        <f>V36</f>
        <v>#DIV/0!</v>
      </c>
      <c r="J36" s="2598"/>
      <c r="K36" s="1597"/>
      <c r="L36" s="2129"/>
      <c r="M36" s="2130"/>
      <c r="N36" s="2119"/>
      <c r="O36" s="2130"/>
      <c r="P36" s="3374" t="str">
        <f>A36</f>
        <v>比较价格（元/平方米）</v>
      </c>
      <c r="Q36" s="3374"/>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45"/>
      <c r="Y36" s="1545"/>
      <c r="Z36" s="1545"/>
      <c r="AA36" s="1545"/>
      <c r="AB36" s="1545"/>
      <c r="AC36" s="1545"/>
    </row>
    <row r="37" spans="1:29" ht="15" thickBot="1">
      <c r="A37" s="621" t="s">
        <v>2931</v>
      </c>
      <c r="B37" s="622"/>
      <c r="C37" s="2600" t="e">
        <f>R37</f>
        <v>#DIV/0!</v>
      </c>
      <c r="D37" s="2600"/>
      <c r="E37" s="2600"/>
      <c r="F37" s="2600"/>
      <c r="G37" s="2600"/>
      <c r="H37" s="2600"/>
      <c r="I37" s="2600"/>
      <c r="J37" s="2600"/>
      <c r="K37" s="1598"/>
      <c r="L37" s="2129"/>
      <c r="M37" s="2130"/>
      <c r="N37" s="2130"/>
      <c r="O37" s="2130"/>
      <c r="P37" s="3371" t="str">
        <f>A37</f>
        <v>估价对象XX用房的比较价格（楼面单价，元/平方米）</v>
      </c>
      <c r="Q37" s="3372"/>
      <c r="R37" s="3490" t="e">
        <f>IF(F1="售价",ROUND(AVERAGE(R36:V36),0),ROUND(AVERAGE(R36:V36),1))</f>
        <v>#DIV/0!</v>
      </c>
      <c r="S37" s="3490"/>
      <c r="T37" s="3490"/>
      <c r="U37" s="3490"/>
      <c r="V37" s="3490"/>
      <c r="W37" s="3490"/>
      <c r="X37" s="1545"/>
      <c r="Y37" s="1545"/>
      <c r="Z37" s="1545"/>
      <c r="AA37" s="1545"/>
      <c r="AB37" s="1545"/>
      <c r="AC37" s="1545"/>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0"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0"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2.2" thickBot="1">
      <c r="A45" s="1570" t="s">
        <v>574</v>
      </c>
      <c r="B45" s="1545"/>
      <c r="C45" s="1569"/>
      <c r="D45" s="1569"/>
      <c r="E45" s="1569"/>
      <c r="F45" s="1571"/>
      <c r="G45" s="1571"/>
      <c r="H45" s="1569"/>
      <c r="I45" s="1569"/>
      <c r="J45" s="1569"/>
      <c r="K45" s="1572"/>
      <c r="L45" s="1568"/>
      <c r="M45" s="1569"/>
      <c r="N45" s="1569"/>
      <c r="O45" s="1569"/>
      <c r="P45" s="2142"/>
      <c r="Q45" s="2143"/>
      <c r="R45" s="2130"/>
      <c r="S45" s="2130"/>
      <c r="T45" s="2130"/>
      <c r="U45" s="2130"/>
      <c r="V45" s="2130"/>
      <c r="W45" s="2130"/>
      <c r="X45" s="2130"/>
      <c r="Y45" s="2130"/>
      <c r="Z45" s="2130"/>
      <c r="AA45" s="2130"/>
      <c r="AB45" s="2130"/>
      <c r="AC45" s="2130"/>
    </row>
    <row r="46" spans="1:29" s="1342" customFormat="1" ht="14.4">
      <c r="A46" s="645" t="s">
        <v>529</v>
      </c>
      <c r="B46" s="646"/>
      <c r="C46" s="2757" t="str">
        <f>YEAR(C7)&amp;"-"&amp;MONTH(C7)</f>
        <v>2020-6</v>
      </c>
      <c r="D46" s="2759">
        <f>EDATE(C46,-1)</f>
        <v>43952</v>
      </c>
      <c r="E46" s="2759">
        <f t="shared" ref="E46:O46" si="16">EDATE(D46,-1)</f>
        <v>43922</v>
      </c>
      <c r="F46" s="2759">
        <f t="shared" si="16"/>
        <v>43891</v>
      </c>
      <c r="G46" s="2759">
        <f t="shared" si="16"/>
        <v>43862</v>
      </c>
      <c r="H46" s="2759">
        <f t="shared" si="16"/>
        <v>43831</v>
      </c>
      <c r="I46" s="2759">
        <f t="shared" si="16"/>
        <v>43800</v>
      </c>
      <c r="J46" s="2759">
        <f t="shared" si="16"/>
        <v>43770</v>
      </c>
      <c r="K46" s="2759">
        <f t="shared" si="16"/>
        <v>43739</v>
      </c>
      <c r="L46" s="2759">
        <f t="shared" si="16"/>
        <v>43709</v>
      </c>
      <c r="M46" s="2759">
        <f t="shared" si="16"/>
        <v>43678</v>
      </c>
      <c r="N46" s="2759">
        <f t="shared" si="16"/>
        <v>43647</v>
      </c>
      <c r="O46" s="2759">
        <f t="shared" si="16"/>
        <v>43617</v>
      </c>
      <c r="P46" s="2145"/>
      <c r="Q46" s="2146"/>
      <c r="R46" s="2146"/>
      <c r="S46" s="2146"/>
      <c r="T46" s="2146"/>
      <c r="U46" s="2146"/>
      <c r="V46" s="2146"/>
      <c r="W46" s="2146"/>
      <c r="X46" s="2146"/>
      <c r="Y46" s="2146"/>
      <c r="Z46" s="2146"/>
      <c r="AA46" s="2146"/>
      <c r="AB46" s="2146"/>
      <c r="AC46" s="2146"/>
    </row>
    <row r="47" spans="1:29" s="1215" customFormat="1">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5" customFormat="1" ht="1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5" customFormat="1" ht="14.4">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5" customFormat="1" ht="14.4"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ht="14.4">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4.4"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4.4"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4.4"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4" customFormat="1" ht="14.4"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4" customFormat="1" ht="14.4"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4" customFormat="1" ht="14.4"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4" customFormat="1" ht="14.4"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 thickTop="1">
      <c r="A63" s="669"/>
      <c r="B63" s="1881" t="s">
        <v>2552</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 thickTop="1">
      <c r="A65" s="669"/>
      <c r="B65" s="2561" t="s">
        <v>2553</v>
      </c>
      <c r="C65" s="2562" t="s">
        <v>2554</v>
      </c>
      <c r="D65" s="2562" t="s">
        <v>2555</v>
      </c>
      <c r="E65" s="2562" t="s">
        <v>2556</v>
      </c>
      <c r="F65" s="2562" t="s">
        <v>2557</v>
      </c>
      <c r="G65" s="2562" t="s">
        <v>2558</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4.4"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4.4"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5" customFormat="1" ht="14.4"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5" customFormat="1" ht="14.4"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5" customFormat="1" ht="14.4"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5" customFormat="1" ht="14.4"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4" customFormat="1" ht="14.4"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4" customFormat="1" ht="14.4"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4"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4.4"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4"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4" customFormat="1" ht="14.4"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4.4"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4.4"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4.4"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4.4"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4.4"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4.4"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4.4"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3" customWidth="1"/>
    <col min="2" max="2" width="9" style="1763"/>
    <col min="3" max="4" width="9.6640625" style="1763" customWidth="1"/>
    <col min="5" max="16384" width="9" style="1763"/>
  </cols>
  <sheetData>
    <row r="1" spans="1:4" ht="22.2">
      <c r="A1" s="1762" t="s">
        <v>1902</v>
      </c>
    </row>
    <row r="2" spans="1:4">
      <c r="A2" s="1764"/>
    </row>
    <row r="3" spans="1:4" ht="17.399999999999999">
      <c r="A3" s="1782" t="str">
        <f>项目基本情况!B5&amp;"："</f>
        <v>：</v>
      </c>
    </row>
    <row r="4" spans="1:4" ht="34.799999999999997">
      <c r="A4" s="1776" t="str">
        <f>"受贵公司委托，我公司对"&amp;项目基本情况!K2&amp;项目基本情况!B9&amp;"进行了预评估。"</f>
        <v>受贵公司委托，我公司对太原市尖草坪区大东流村出让国有建设用地使用权抵押价格进行了预评估。</v>
      </c>
    </row>
    <row r="5" spans="1:4" ht="17.399999999999999">
      <c r="A5" s="1779" t="s">
        <v>1903</v>
      </c>
    </row>
    <row r="6" spans="1:4" ht="69.599999999999994">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太原市尖草坪区大东流村出让国有建设用地使用权。根据《国有土地使用证》[]，估价对象（分摊）出让国有建设用地使用权面积为13713.98平方米。根据《建设工程规划许可证》[]、《出让合同》[]，估价对象规划建筑面积为110119平方米。</v>
      </c>
    </row>
    <row r="7" spans="1:4" ht="87">
      <c r="A7" s="2828" t="s">
        <v>2742</v>
      </c>
    </row>
    <row r="8" spans="1:4" ht="17.399999999999999">
      <c r="A8" s="1779" t="s">
        <v>1904</v>
      </c>
    </row>
    <row r="9" spans="1:4" ht="69.599999999999994">
      <c r="A9" s="1781" t="str">
        <f>IF(项目基本情况!B8="抵押",IF(项目基本情况!B5=项目基本情况!B6,定义!C51,定义!B51),定义!D51)</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82" t="s">
        <v>2022</v>
      </c>
    </row>
    <row r="11" spans="1:4" ht="17.399999999999999">
      <c r="A11" s="1765" t="str">
        <f>TEXT(项目基本情况!D3,"yyyy年m月d日;;")&amp;IF(项目基本情况!B3=项目基本情况!D3,"（评估专业人员勘察现场之日）","")</f>
        <v>2020年6月24日</v>
      </c>
    </row>
    <row r="12" spans="1:4" ht="17.399999999999999">
      <c r="A12" s="1782" t="s">
        <v>2021</v>
      </c>
    </row>
    <row r="13" spans="1:4" ht="17.399999999999999">
      <c r="A13" s="1776" t="s">
        <v>2067</v>
      </c>
    </row>
    <row r="14" spans="1:4" ht="17.399999999999999">
      <c r="A14" s="1776" t="str">
        <f>"根据"&amp;项目基本情况!F12&amp;"，本次评估估价对象证载（地类）用途为"&amp;项目基本情况!B12&amp;"。"</f>
        <v>根据《国有土地使用证》[]，本次评估估价对象证载（地类）用途为。</v>
      </c>
      <c r="C14" s="1766"/>
      <c r="D14" s="1767"/>
    </row>
    <row r="15" spans="1:4" ht="17.399999999999999">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6"/>
      <c r="D15" s="1767"/>
    </row>
    <row r="16" spans="1:4" ht="17.399999999999999">
      <c r="A16" s="1776" t="s">
        <v>2068</v>
      </c>
    </row>
    <row r="17" spans="1:1" ht="52.2">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2.2">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6" t="s">
        <v>2069</v>
      </c>
    </row>
    <row r="20" spans="1:1" ht="52.2">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根据《国有土地使用证》[]，估价对象（分摊）出让国有建设用地使用权面积为13713.98平方米。根据《建设工程规划许可证》[]、《出让合同》[]，估价对象规划建筑面积为110119平方米。</v>
      </c>
    </row>
    <row r="21" spans="1:1" ht="87">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6" t="s">
        <v>2070</v>
      </c>
    </row>
    <row r="23" spans="1:1" ht="17.399999999999999">
      <c r="A23" s="2830" t="s">
        <v>2743</v>
      </c>
    </row>
    <row r="24" spans="1:1" ht="17.399999999999999">
      <c r="A24" s="1776" t="s">
        <v>2071</v>
      </c>
    </row>
    <row r="25" spans="1:1" ht="87">
      <c r="A25" s="1776" t="str">
        <f>定义!C53</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row>
    <row r="26" spans="1:1" ht="52.2">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2.2">
      <c r="A28" s="17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7.399999999999999">
      <c r="A29" s="1782" t="s">
        <v>2023</v>
      </c>
    </row>
    <row r="30" spans="1:1" ht="69.599999999999994">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7.399999999999999">
      <c r="A32" s="1784"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5" sqref="B25"/>
    </sheetView>
  </sheetViews>
  <sheetFormatPr defaultColWidth="9" defaultRowHeight="13.2"/>
  <cols>
    <col min="1" max="1" width="11.44140625" style="1245" customWidth="1"/>
    <col min="2" max="2" width="9.2187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01"/>
    <col min="19" max="19" width="9" style="1245"/>
    <col min="20" max="35" width="9" style="257"/>
    <col min="36" max="16384" width="9" style="1245"/>
  </cols>
  <sheetData>
    <row r="1" spans="1:45" s="257" customFormat="1" ht="14.25" customHeight="1" thickBot="1">
      <c r="A1" s="365"/>
      <c r="B1" s="2219" t="s">
        <v>2298</v>
      </c>
      <c r="C1" s="3500" t="s">
        <v>2299</v>
      </c>
      <c r="D1" s="3501"/>
      <c r="E1" s="3501"/>
      <c r="F1" s="3501"/>
      <c r="G1" s="3501"/>
      <c r="H1" s="3501"/>
      <c r="I1" s="3501"/>
      <c r="J1" s="3501"/>
      <c r="K1" s="3501"/>
      <c r="L1" s="3501"/>
      <c r="M1" s="3501"/>
      <c r="N1" s="3501"/>
      <c r="O1" s="3501"/>
      <c r="P1" s="3501"/>
      <c r="Q1" s="3501"/>
      <c r="R1" s="3501"/>
      <c r="S1" s="3502"/>
      <c r="T1" s="2219" t="s">
        <v>2300</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c r="A2" s="2220"/>
      <c r="B2" s="3188" t="s">
        <v>2301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21" t="str">
        <f>S3&amp;"(含)"&amp;"-"</f>
        <v>(含)-</v>
      </c>
      <c r="T2" s="951"/>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2"/>
      <c r="C3" s="953"/>
      <c r="D3" s="954"/>
      <c r="E3" s="954"/>
      <c r="F3" s="954"/>
      <c r="G3" s="954"/>
      <c r="H3" s="954"/>
      <c r="I3" s="954"/>
      <c r="J3" s="955"/>
      <c r="K3" s="955"/>
      <c r="L3" s="956"/>
      <c r="M3" s="2224"/>
      <c r="N3" s="2225"/>
      <c r="O3" s="954"/>
      <c r="P3" s="954"/>
      <c r="Q3" s="954"/>
      <c r="R3" s="954"/>
      <c r="S3" s="2226"/>
      <c r="T3" s="957"/>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8" thickBot="1">
      <c r="A4" s="2228"/>
      <c r="B4" s="2229"/>
      <c r="C4" s="2230"/>
      <c r="D4" s="2231"/>
      <c r="E4" s="2231"/>
      <c r="F4" s="2231"/>
      <c r="G4" s="2231"/>
      <c r="H4" s="2231"/>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5" t="s">
        <v>2924</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8"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37" t="s">
        <v>2923</v>
      </c>
      <c r="C7" s="1946"/>
      <c r="D7" s="1947"/>
      <c r="E7" s="1947"/>
      <c r="F7" s="1947"/>
      <c r="G7" s="1947"/>
      <c r="H7" s="1947"/>
      <c r="I7" s="1947"/>
      <c r="J7" s="1947"/>
      <c r="K7" s="1947"/>
      <c r="L7" s="1947"/>
      <c r="M7" s="2244"/>
      <c r="N7" s="2245"/>
      <c r="O7" s="2246"/>
      <c r="P7" s="2247"/>
      <c r="Q7" s="2248"/>
      <c r="R7" s="2249"/>
      <c r="S7" s="2250"/>
      <c r="T7" s="958"/>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8"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37" t="s">
        <v>2922</v>
      </c>
      <c r="C9" s="1946"/>
      <c r="D9" s="1947"/>
      <c r="E9" s="1947"/>
      <c r="F9" s="1947"/>
      <c r="G9" s="1947"/>
      <c r="H9" s="1947"/>
      <c r="I9" s="1947"/>
      <c r="J9" s="1947"/>
      <c r="K9" s="1947"/>
      <c r="L9" s="1948"/>
      <c r="M9" s="2244"/>
      <c r="N9" s="2245"/>
      <c r="O9" s="2246"/>
      <c r="P9" s="2247"/>
      <c r="Q9" s="2248"/>
      <c r="R9" s="2249"/>
      <c r="S9" s="2250"/>
      <c r="T9" s="958"/>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8" thickBot="1">
      <c r="A10" s="2236"/>
      <c r="B10" s="3036"/>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5" t="s">
        <v>2935</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8"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5" t="s">
        <v>2921</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8"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5" t="s">
        <v>2920</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8"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2302</v>
      </c>
      <c r="B17" s="2263" t="s">
        <v>2303</v>
      </c>
      <c r="C17" s="2264"/>
      <c r="D17" s="2265"/>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8" thickBot="1">
      <c r="A18" s="2274"/>
      <c r="B18" s="2275"/>
      <c r="C18" s="2276"/>
      <c r="D18" s="2277"/>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6">
      <c r="A20" s="959" t="s">
        <v>828</v>
      </c>
      <c r="B20" s="775">
        <f>S22</f>
        <v>0</v>
      </c>
      <c r="C20" s="1975"/>
      <c r="D20" s="1975"/>
      <c r="E20" s="1975"/>
      <c r="F20" s="1975"/>
      <c r="G20" s="1975"/>
      <c r="H20" s="1975"/>
      <c r="I20" s="1975"/>
      <c r="J20" s="1975"/>
      <c r="K20" s="1975"/>
      <c r="L20" s="1975"/>
      <c r="M20" s="1975"/>
      <c r="N20" s="1975"/>
      <c r="O20" s="1975"/>
      <c r="P20" s="1975"/>
      <c r="Q20" s="1975"/>
      <c r="R20" s="2210"/>
      <c r="S20" s="2013"/>
    </row>
    <row r="21" spans="1:45" ht="15.6">
      <c r="A21" s="959" t="str">
        <f>IF(B23="土地面积","地面单价","楼面单价")</f>
        <v>楼面单价</v>
      </c>
      <c r="B21" s="775" t="e">
        <f>R22</f>
        <v>#DIV/0!</v>
      </c>
      <c r="C21" s="1975"/>
      <c r="D21" s="1975"/>
      <c r="E21" s="1975"/>
      <c r="F21" s="1975"/>
      <c r="G21" s="1975"/>
      <c r="H21" s="1975"/>
      <c r="I21" s="1975"/>
      <c r="J21" s="1975"/>
      <c r="K21" s="1975"/>
      <c r="L21" s="1975"/>
      <c r="M21" s="1975"/>
      <c r="N21" s="1975"/>
      <c r="O21" s="1975"/>
      <c r="P21" s="1975"/>
      <c r="Q21" s="1975"/>
      <c r="R21" s="2210"/>
      <c r="S21" s="2013"/>
    </row>
    <row r="22" spans="1:45">
      <c r="A22" s="799" t="s">
        <v>829</v>
      </c>
      <c r="B22" s="53">
        <f>SUM(B24:B10000)</f>
        <v>0</v>
      </c>
      <c r="C22" s="3497" t="s">
        <v>20</v>
      </c>
      <c r="D22" s="3498"/>
      <c r="E22" s="3498"/>
      <c r="F22" s="3498"/>
      <c r="G22" s="3498"/>
      <c r="H22" s="3498"/>
      <c r="I22" s="3498"/>
      <c r="J22" s="3498"/>
      <c r="K22" s="3498"/>
      <c r="L22" s="3498"/>
      <c r="M22" s="3498"/>
      <c r="N22" s="3498"/>
      <c r="O22" s="3498"/>
      <c r="P22" s="3498"/>
      <c r="Q22" s="3499"/>
      <c r="R22" s="490" t="e">
        <f>ROUND(S22*10000/B22,0)</f>
        <v>#DIV/0!</v>
      </c>
      <c r="S22" s="53">
        <f>SUM(S24:S10000)</f>
        <v>0</v>
      </c>
    </row>
    <row r="23" spans="1:45" s="1599" customFormat="1" ht="24">
      <c r="A23" s="17" t="s">
        <v>830</v>
      </c>
      <c r="B23" s="3189" t="s">
        <v>2943</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600" customFormat="1">
      <c r="A24" s="960" t="s">
        <v>834</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58"/>
      <c r="U24" s="1958"/>
      <c r="V24" s="1958"/>
      <c r="W24" s="1958"/>
      <c r="X24" s="1958"/>
      <c r="Y24" s="1958"/>
      <c r="Z24" s="1958"/>
      <c r="AA24" s="1958"/>
      <c r="AB24" s="1958"/>
      <c r="AC24" s="1958"/>
      <c r="AD24" s="1958"/>
      <c r="AE24" s="1958"/>
      <c r="AF24" s="1958"/>
      <c r="AG24" s="1958"/>
      <c r="AH24" s="1958"/>
      <c r="AI24" s="1958"/>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896" customWidth="1"/>
    <col min="2" max="2" width="13.21875" style="2902" customWidth="1"/>
    <col min="3" max="3" width="15.6640625" style="2902" customWidth="1"/>
    <col min="4" max="4" width="9.33203125" style="2902" bestFit="1" customWidth="1"/>
    <col min="5" max="5" width="13.44140625" style="2902" customWidth="1"/>
    <col min="6" max="6" width="9" style="2902"/>
    <col min="7" max="7" width="9.33203125" style="2902" bestFit="1" customWidth="1"/>
    <col min="8" max="9" width="9" style="2902"/>
    <col min="10" max="10" width="9.33203125" style="2902" bestFit="1" customWidth="1"/>
    <col min="11" max="11" width="4" style="2896" customWidth="1"/>
    <col min="12" max="12" width="5.109375" style="2902" customWidth="1"/>
    <col min="13" max="13" width="13.77734375" style="2902" customWidth="1"/>
    <col min="14" max="256" width="9" style="2902"/>
    <col min="257" max="257" width="4.88671875" style="2894" customWidth="1"/>
    <col min="258" max="258" width="13.21875" style="2894" customWidth="1"/>
    <col min="259" max="259" width="15.6640625" style="2894" customWidth="1"/>
    <col min="260" max="260" width="9.33203125" style="2894" bestFit="1" customWidth="1"/>
    <col min="261" max="261" width="13.44140625" style="2894" customWidth="1"/>
    <col min="262" max="262" width="9" style="2894"/>
    <col min="263" max="263" width="9.33203125" style="2894" bestFit="1" customWidth="1"/>
    <col min="264" max="265" width="9" style="2894"/>
    <col min="266" max="266" width="9.33203125" style="2894" bestFit="1" customWidth="1"/>
    <col min="267" max="267" width="4" style="2894" customWidth="1"/>
    <col min="268" max="268" width="5.109375" style="2894" customWidth="1"/>
    <col min="269" max="269" width="13.77734375" style="2894" customWidth="1"/>
    <col min="270" max="512" width="9" style="2894"/>
    <col min="513" max="513" width="4.88671875" style="2894" customWidth="1"/>
    <col min="514" max="514" width="13.21875" style="2894" customWidth="1"/>
    <col min="515" max="515" width="15.6640625" style="2894" customWidth="1"/>
    <col min="516" max="516" width="9.33203125" style="2894" bestFit="1" customWidth="1"/>
    <col min="517" max="517" width="13.44140625" style="2894" customWidth="1"/>
    <col min="518" max="518" width="9" style="2894"/>
    <col min="519" max="519" width="9.33203125" style="2894" bestFit="1" customWidth="1"/>
    <col min="520" max="521" width="9" style="2894"/>
    <col min="522" max="522" width="9.33203125" style="2894" bestFit="1" customWidth="1"/>
    <col min="523" max="523" width="4" style="2894" customWidth="1"/>
    <col min="524" max="524" width="5.109375" style="2894" customWidth="1"/>
    <col min="525" max="525" width="13.77734375" style="2894" customWidth="1"/>
    <col min="526" max="768" width="9" style="2894"/>
    <col min="769" max="769" width="4.88671875" style="2894" customWidth="1"/>
    <col min="770" max="770" width="13.21875" style="2894" customWidth="1"/>
    <col min="771" max="771" width="15.6640625" style="2894" customWidth="1"/>
    <col min="772" max="772" width="9.33203125" style="2894" bestFit="1" customWidth="1"/>
    <col min="773" max="773" width="13.44140625" style="2894" customWidth="1"/>
    <col min="774" max="774" width="9" style="2894"/>
    <col min="775" max="775" width="9.33203125" style="2894" bestFit="1" customWidth="1"/>
    <col min="776" max="777" width="9" style="2894"/>
    <col min="778" max="778" width="9.33203125" style="2894" bestFit="1" customWidth="1"/>
    <col min="779" max="779" width="4" style="2894" customWidth="1"/>
    <col min="780" max="780" width="5.109375" style="2894" customWidth="1"/>
    <col min="781" max="781" width="13.77734375" style="2894" customWidth="1"/>
    <col min="782" max="1024" width="9" style="2894"/>
    <col min="1025" max="1025" width="4.88671875" style="2894" customWidth="1"/>
    <col min="1026" max="1026" width="13.21875" style="2894" customWidth="1"/>
    <col min="1027" max="1027" width="15.6640625" style="2894" customWidth="1"/>
    <col min="1028" max="1028" width="9.33203125" style="2894" bestFit="1" customWidth="1"/>
    <col min="1029" max="1029" width="13.44140625" style="2894" customWidth="1"/>
    <col min="1030" max="1030" width="9" style="2894"/>
    <col min="1031" max="1031" width="9.33203125" style="2894" bestFit="1" customWidth="1"/>
    <col min="1032" max="1033" width="9" style="2894"/>
    <col min="1034" max="1034" width="9.33203125" style="2894" bestFit="1" customWidth="1"/>
    <col min="1035" max="1035" width="4" style="2894" customWidth="1"/>
    <col min="1036" max="1036" width="5.109375" style="2894" customWidth="1"/>
    <col min="1037" max="1037" width="13.77734375" style="2894" customWidth="1"/>
    <col min="1038" max="1280" width="9" style="2894"/>
    <col min="1281" max="1281" width="4.88671875" style="2894" customWidth="1"/>
    <col min="1282" max="1282" width="13.21875" style="2894" customWidth="1"/>
    <col min="1283" max="1283" width="15.6640625" style="2894" customWidth="1"/>
    <col min="1284" max="1284" width="9.33203125" style="2894" bestFit="1" customWidth="1"/>
    <col min="1285" max="1285" width="13.44140625" style="2894" customWidth="1"/>
    <col min="1286" max="1286" width="9" style="2894"/>
    <col min="1287" max="1287" width="9.33203125" style="2894" bestFit="1" customWidth="1"/>
    <col min="1288" max="1289" width="9" style="2894"/>
    <col min="1290" max="1290" width="9.33203125" style="2894" bestFit="1" customWidth="1"/>
    <col min="1291" max="1291" width="4" style="2894" customWidth="1"/>
    <col min="1292" max="1292" width="5.109375" style="2894" customWidth="1"/>
    <col min="1293" max="1293" width="13.77734375" style="2894" customWidth="1"/>
    <col min="1294" max="1536" width="9" style="2894"/>
    <col min="1537" max="1537" width="4.88671875" style="2894" customWidth="1"/>
    <col min="1538" max="1538" width="13.21875" style="2894" customWidth="1"/>
    <col min="1539" max="1539" width="15.6640625" style="2894" customWidth="1"/>
    <col min="1540" max="1540" width="9.33203125" style="2894" bestFit="1" customWidth="1"/>
    <col min="1541" max="1541" width="13.44140625" style="2894" customWidth="1"/>
    <col min="1542" max="1542" width="9" style="2894"/>
    <col min="1543" max="1543" width="9.33203125" style="2894" bestFit="1" customWidth="1"/>
    <col min="1544" max="1545" width="9" style="2894"/>
    <col min="1546" max="1546" width="9.33203125" style="2894" bestFit="1" customWidth="1"/>
    <col min="1547" max="1547" width="4" style="2894" customWidth="1"/>
    <col min="1548" max="1548" width="5.109375" style="2894" customWidth="1"/>
    <col min="1549" max="1549" width="13.77734375" style="2894" customWidth="1"/>
    <col min="1550" max="1792" width="9" style="2894"/>
    <col min="1793" max="1793" width="4.88671875" style="2894" customWidth="1"/>
    <col min="1794" max="1794" width="13.21875" style="2894" customWidth="1"/>
    <col min="1795" max="1795" width="15.6640625" style="2894" customWidth="1"/>
    <col min="1796" max="1796" width="9.33203125" style="2894" bestFit="1" customWidth="1"/>
    <col min="1797" max="1797" width="13.44140625" style="2894" customWidth="1"/>
    <col min="1798" max="1798" width="9" style="2894"/>
    <col min="1799" max="1799" width="9.33203125" style="2894" bestFit="1" customWidth="1"/>
    <col min="1800" max="1801" width="9" style="2894"/>
    <col min="1802" max="1802" width="9.33203125" style="2894" bestFit="1" customWidth="1"/>
    <col min="1803" max="1803" width="4" style="2894" customWidth="1"/>
    <col min="1804" max="1804" width="5.109375" style="2894" customWidth="1"/>
    <col min="1805" max="1805" width="13.77734375" style="2894" customWidth="1"/>
    <col min="1806" max="2048" width="9" style="2894"/>
    <col min="2049" max="2049" width="4.88671875" style="2894" customWidth="1"/>
    <col min="2050" max="2050" width="13.21875" style="2894" customWidth="1"/>
    <col min="2051" max="2051" width="15.6640625" style="2894" customWidth="1"/>
    <col min="2052" max="2052" width="9.33203125" style="2894" bestFit="1" customWidth="1"/>
    <col min="2053" max="2053" width="13.44140625" style="2894" customWidth="1"/>
    <col min="2054" max="2054" width="9" style="2894"/>
    <col min="2055" max="2055" width="9.33203125" style="2894" bestFit="1" customWidth="1"/>
    <col min="2056" max="2057" width="9" style="2894"/>
    <col min="2058" max="2058" width="9.33203125" style="2894" bestFit="1" customWidth="1"/>
    <col min="2059" max="2059" width="4" style="2894" customWidth="1"/>
    <col min="2060" max="2060" width="5.109375" style="2894" customWidth="1"/>
    <col min="2061" max="2061" width="13.77734375" style="2894" customWidth="1"/>
    <col min="2062" max="2304" width="9" style="2894"/>
    <col min="2305" max="2305" width="4.88671875" style="2894" customWidth="1"/>
    <col min="2306" max="2306" width="13.21875" style="2894" customWidth="1"/>
    <col min="2307" max="2307" width="15.6640625" style="2894" customWidth="1"/>
    <col min="2308" max="2308" width="9.33203125" style="2894" bestFit="1" customWidth="1"/>
    <col min="2309" max="2309" width="13.44140625" style="2894" customWidth="1"/>
    <col min="2310" max="2310" width="9" style="2894"/>
    <col min="2311" max="2311" width="9.33203125" style="2894" bestFit="1" customWidth="1"/>
    <col min="2312" max="2313" width="9" style="2894"/>
    <col min="2314" max="2314" width="9.33203125" style="2894" bestFit="1" customWidth="1"/>
    <col min="2315" max="2315" width="4" style="2894" customWidth="1"/>
    <col min="2316" max="2316" width="5.109375" style="2894" customWidth="1"/>
    <col min="2317" max="2317" width="13.77734375" style="2894" customWidth="1"/>
    <col min="2318" max="2560" width="9" style="2894"/>
    <col min="2561" max="2561" width="4.88671875" style="2894" customWidth="1"/>
    <col min="2562" max="2562" width="13.21875" style="2894" customWidth="1"/>
    <col min="2563" max="2563" width="15.6640625" style="2894" customWidth="1"/>
    <col min="2564" max="2564" width="9.33203125" style="2894" bestFit="1" customWidth="1"/>
    <col min="2565" max="2565" width="13.44140625" style="2894" customWidth="1"/>
    <col min="2566" max="2566" width="9" style="2894"/>
    <col min="2567" max="2567" width="9.33203125" style="2894" bestFit="1" customWidth="1"/>
    <col min="2568" max="2569" width="9" style="2894"/>
    <col min="2570" max="2570" width="9.33203125" style="2894" bestFit="1" customWidth="1"/>
    <col min="2571" max="2571" width="4" style="2894" customWidth="1"/>
    <col min="2572" max="2572" width="5.109375" style="2894" customWidth="1"/>
    <col min="2573" max="2573" width="13.77734375" style="2894" customWidth="1"/>
    <col min="2574" max="2816" width="9" style="2894"/>
    <col min="2817" max="2817" width="4.88671875" style="2894" customWidth="1"/>
    <col min="2818" max="2818" width="13.21875" style="2894" customWidth="1"/>
    <col min="2819" max="2819" width="15.6640625" style="2894" customWidth="1"/>
    <col min="2820" max="2820" width="9.33203125" style="2894" bestFit="1" customWidth="1"/>
    <col min="2821" max="2821" width="13.44140625" style="2894" customWidth="1"/>
    <col min="2822" max="2822" width="9" style="2894"/>
    <col min="2823" max="2823" width="9.33203125" style="2894" bestFit="1" customWidth="1"/>
    <col min="2824" max="2825" width="9" style="2894"/>
    <col min="2826" max="2826" width="9.33203125" style="2894" bestFit="1" customWidth="1"/>
    <col min="2827" max="2827" width="4" style="2894" customWidth="1"/>
    <col min="2828" max="2828" width="5.109375" style="2894" customWidth="1"/>
    <col min="2829" max="2829" width="13.77734375" style="2894" customWidth="1"/>
    <col min="2830" max="3072" width="9" style="2894"/>
    <col min="3073" max="3073" width="4.88671875" style="2894" customWidth="1"/>
    <col min="3074" max="3074" width="13.21875" style="2894" customWidth="1"/>
    <col min="3075" max="3075" width="15.6640625" style="2894" customWidth="1"/>
    <col min="3076" max="3076" width="9.33203125" style="2894" bestFit="1" customWidth="1"/>
    <col min="3077" max="3077" width="13.44140625" style="2894" customWidth="1"/>
    <col min="3078" max="3078" width="9" style="2894"/>
    <col min="3079" max="3079" width="9.33203125" style="2894" bestFit="1" customWidth="1"/>
    <col min="3080" max="3081" width="9" style="2894"/>
    <col min="3082" max="3082" width="9.33203125" style="2894" bestFit="1" customWidth="1"/>
    <col min="3083" max="3083" width="4" style="2894" customWidth="1"/>
    <col min="3084" max="3084" width="5.109375" style="2894" customWidth="1"/>
    <col min="3085" max="3085" width="13.77734375" style="2894" customWidth="1"/>
    <col min="3086" max="3328" width="9" style="2894"/>
    <col min="3329" max="3329" width="4.88671875" style="2894" customWidth="1"/>
    <col min="3330" max="3330" width="13.21875" style="2894" customWidth="1"/>
    <col min="3331" max="3331" width="15.6640625" style="2894" customWidth="1"/>
    <col min="3332" max="3332" width="9.33203125" style="2894" bestFit="1" customWidth="1"/>
    <col min="3333" max="3333" width="13.44140625" style="2894" customWidth="1"/>
    <col min="3334" max="3334" width="9" style="2894"/>
    <col min="3335" max="3335" width="9.33203125" style="2894" bestFit="1" customWidth="1"/>
    <col min="3336" max="3337" width="9" style="2894"/>
    <col min="3338" max="3338" width="9.33203125" style="2894" bestFit="1" customWidth="1"/>
    <col min="3339" max="3339" width="4" style="2894" customWidth="1"/>
    <col min="3340" max="3340" width="5.109375" style="2894" customWidth="1"/>
    <col min="3341" max="3341" width="13.77734375" style="2894" customWidth="1"/>
    <col min="3342" max="3584" width="9" style="2894"/>
    <col min="3585" max="3585" width="4.88671875" style="2894" customWidth="1"/>
    <col min="3586" max="3586" width="13.21875" style="2894" customWidth="1"/>
    <col min="3587" max="3587" width="15.6640625" style="2894" customWidth="1"/>
    <col min="3588" max="3588" width="9.33203125" style="2894" bestFit="1" customWidth="1"/>
    <col min="3589" max="3589" width="13.44140625" style="2894" customWidth="1"/>
    <col min="3590" max="3590" width="9" style="2894"/>
    <col min="3591" max="3591" width="9.33203125" style="2894" bestFit="1" customWidth="1"/>
    <col min="3592" max="3593" width="9" style="2894"/>
    <col min="3594" max="3594" width="9.33203125" style="2894" bestFit="1" customWidth="1"/>
    <col min="3595" max="3595" width="4" style="2894" customWidth="1"/>
    <col min="3596" max="3596" width="5.109375" style="2894" customWidth="1"/>
    <col min="3597" max="3597" width="13.77734375" style="2894" customWidth="1"/>
    <col min="3598" max="3840" width="9" style="2894"/>
    <col min="3841" max="3841" width="4.88671875" style="2894" customWidth="1"/>
    <col min="3842" max="3842" width="13.21875" style="2894" customWidth="1"/>
    <col min="3843" max="3843" width="15.6640625" style="2894" customWidth="1"/>
    <col min="3844" max="3844" width="9.33203125" style="2894" bestFit="1" customWidth="1"/>
    <col min="3845" max="3845" width="13.44140625" style="2894" customWidth="1"/>
    <col min="3846" max="3846" width="9" style="2894"/>
    <col min="3847" max="3847" width="9.33203125" style="2894" bestFit="1" customWidth="1"/>
    <col min="3848" max="3849" width="9" style="2894"/>
    <col min="3850" max="3850" width="9.33203125" style="2894" bestFit="1" customWidth="1"/>
    <col min="3851" max="3851" width="4" style="2894" customWidth="1"/>
    <col min="3852" max="3852" width="5.109375" style="2894" customWidth="1"/>
    <col min="3853" max="3853" width="13.77734375" style="2894" customWidth="1"/>
    <col min="3854" max="4096" width="9" style="2894"/>
    <col min="4097" max="4097" width="4.88671875" style="2894" customWidth="1"/>
    <col min="4098" max="4098" width="13.21875" style="2894" customWidth="1"/>
    <col min="4099" max="4099" width="15.6640625" style="2894" customWidth="1"/>
    <col min="4100" max="4100" width="9.33203125" style="2894" bestFit="1" customWidth="1"/>
    <col min="4101" max="4101" width="13.44140625" style="2894" customWidth="1"/>
    <col min="4102" max="4102" width="9" style="2894"/>
    <col min="4103" max="4103" width="9.33203125" style="2894" bestFit="1" customWidth="1"/>
    <col min="4104" max="4105" width="9" style="2894"/>
    <col min="4106" max="4106" width="9.33203125" style="2894" bestFit="1" customWidth="1"/>
    <col min="4107" max="4107" width="4" style="2894" customWidth="1"/>
    <col min="4108" max="4108" width="5.109375" style="2894" customWidth="1"/>
    <col min="4109" max="4109" width="13.77734375" style="2894" customWidth="1"/>
    <col min="4110" max="4352" width="9" style="2894"/>
    <col min="4353" max="4353" width="4.88671875" style="2894" customWidth="1"/>
    <col min="4354" max="4354" width="13.21875" style="2894" customWidth="1"/>
    <col min="4355" max="4355" width="15.6640625" style="2894" customWidth="1"/>
    <col min="4356" max="4356" width="9.33203125" style="2894" bestFit="1" customWidth="1"/>
    <col min="4357" max="4357" width="13.44140625" style="2894" customWidth="1"/>
    <col min="4358" max="4358" width="9" style="2894"/>
    <col min="4359" max="4359" width="9.33203125" style="2894" bestFit="1" customWidth="1"/>
    <col min="4360" max="4361" width="9" style="2894"/>
    <col min="4362" max="4362" width="9.33203125" style="2894" bestFit="1" customWidth="1"/>
    <col min="4363" max="4363" width="4" style="2894" customWidth="1"/>
    <col min="4364" max="4364" width="5.109375" style="2894" customWidth="1"/>
    <col min="4365" max="4365" width="13.77734375" style="2894" customWidth="1"/>
    <col min="4366" max="4608" width="9" style="2894"/>
    <col min="4609" max="4609" width="4.88671875" style="2894" customWidth="1"/>
    <col min="4610" max="4610" width="13.21875" style="2894" customWidth="1"/>
    <col min="4611" max="4611" width="15.6640625" style="2894" customWidth="1"/>
    <col min="4612" max="4612" width="9.33203125" style="2894" bestFit="1" customWidth="1"/>
    <col min="4613" max="4613" width="13.44140625" style="2894" customWidth="1"/>
    <col min="4614" max="4614" width="9" style="2894"/>
    <col min="4615" max="4615" width="9.33203125" style="2894" bestFit="1" customWidth="1"/>
    <col min="4616" max="4617" width="9" style="2894"/>
    <col min="4618" max="4618" width="9.33203125" style="2894" bestFit="1" customWidth="1"/>
    <col min="4619" max="4619" width="4" style="2894" customWidth="1"/>
    <col min="4620" max="4620" width="5.109375" style="2894" customWidth="1"/>
    <col min="4621" max="4621" width="13.77734375" style="2894" customWidth="1"/>
    <col min="4622" max="4864" width="9" style="2894"/>
    <col min="4865" max="4865" width="4.88671875" style="2894" customWidth="1"/>
    <col min="4866" max="4866" width="13.21875" style="2894" customWidth="1"/>
    <col min="4867" max="4867" width="15.6640625" style="2894" customWidth="1"/>
    <col min="4868" max="4868" width="9.33203125" style="2894" bestFit="1" customWidth="1"/>
    <col min="4869" max="4869" width="13.44140625" style="2894" customWidth="1"/>
    <col min="4870" max="4870" width="9" style="2894"/>
    <col min="4871" max="4871" width="9.33203125" style="2894" bestFit="1" customWidth="1"/>
    <col min="4872" max="4873" width="9" style="2894"/>
    <col min="4874" max="4874" width="9.33203125" style="2894" bestFit="1" customWidth="1"/>
    <col min="4875" max="4875" width="4" style="2894" customWidth="1"/>
    <col min="4876" max="4876" width="5.109375" style="2894" customWidth="1"/>
    <col min="4877" max="4877" width="13.77734375" style="2894" customWidth="1"/>
    <col min="4878" max="5120" width="9" style="2894"/>
    <col min="5121" max="5121" width="4.88671875" style="2894" customWidth="1"/>
    <col min="5122" max="5122" width="13.21875" style="2894" customWidth="1"/>
    <col min="5123" max="5123" width="15.6640625" style="2894" customWidth="1"/>
    <col min="5124" max="5124" width="9.33203125" style="2894" bestFit="1" customWidth="1"/>
    <col min="5125" max="5125" width="13.44140625" style="2894" customWidth="1"/>
    <col min="5126" max="5126" width="9" style="2894"/>
    <col min="5127" max="5127" width="9.33203125" style="2894" bestFit="1" customWidth="1"/>
    <col min="5128" max="5129" width="9" style="2894"/>
    <col min="5130" max="5130" width="9.33203125" style="2894" bestFit="1" customWidth="1"/>
    <col min="5131" max="5131" width="4" style="2894" customWidth="1"/>
    <col min="5132" max="5132" width="5.109375" style="2894" customWidth="1"/>
    <col min="5133" max="5133" width="13.77734375" style="2894" customWidth="1"/>
    <col min="5134" max="5376" width="9" style="2894"/>
    <col min="5377" max="5377" width="4.88671875" style="2894" customWidth="1"/>
    <col min="5378" max="5378" width="13.21875" style="2894" customWidth="1"/>
    <col min="5379" max="5379" width="15.6640625" style="2894" customWidth="1"/>
    <col min="5380" max="5380" width="9.33203125" style="2894" bestFit="1" customWidth="1"/>
    <col min="5381" max="5381" width="13.44140625" style="2894" customWidth="1"/>
    <col min="5382" max="5382" width="9" style="2894"/>
    <col min="5383" max="5383" width="9.33203125" style="2894" bestFit="1" customWidth="1"/>
    <col min="5384" max="5385" width="9" style="2894"/>
    <col min="5386" max="5386" width="9.33203125" style="2894" bestFit="1" customWidth="1"/>
    <col min="5387" max="5387" width="4" style="2894" customWidth="1"/>
    <col min="5388" max="5388" width="5.109375" style="2894" customWidth="1"/>
    <col min="5389" max="5389" width="13.77734375" style="2894" customWidth="1"/>
    <col min="5390" max="5632" width="9" style="2894"/>
    <col min="5633" max="5633" width="4.88671875" style="2894" customWidth="1"/>
    <col min="5634" max="5634" width="13.21875" style="2894" customWidth="1"/>
    <col min="5635" max="5635" width="15.6640625" style="2894" customWidth="1"/>
    <col min="5636" max="5636" width="9.33203125" style="2894" bestFit="1" customWidth="1"/>
    <col min="5637" max="5637" width="13.44140625" style="2894" customWidth="1"/>
    <col min="5638" max="5638" width="9" style="2894"/>
    <col min="5639" max="5639" width="9.33203125" style="2894" bestFit="1" customWidth="1"/>
    <col min="5640" max="5641" width="9" style="2894"/>
    <col min="5642" max="5642" width="9.33203125" style="2894" bestFit="1" customWidth="1"/>
    <col min="5643" max="5643" width="4" style="2894" customWidth="1"/>
    <col min="5644" max="5644" width="5.109375" style="2894" customWidth="1"/>
    <col min="5645" max="5645" width="13.77734375" style="2894" customWidth="1"/>
    <col min="5646" max="5888" width="9" style="2894"/>
    <col min="5889" max="5889" width="4.88671875" style="2894" customWidth="1"/>
    <col min="5890" max="5890" width="13.21875" style="2894" customWidth="1"/>
    <col min="5891" max="5891" width="15.6640625" style="2894" customWidth="1"/>
    <col min="5892" max="5892" width="9.33203125" style="2894" bestFit="1" customWidth="1"/>
    <col min="5893" max="5893" width="13.44140625" style="2894" customWidth="1"/>
    <col min="5894" max="5894" width="9" style="2894"/>
    <col min="5895" max="5895" width="9.33203125" style="2894" bestFit="1" customWidth="1"/>
    <col min="5896" max="5897" width="9" style="2894"/>
    <col min="5898" max="5898" width="9.33203125" style="2894" bestFit="1" customWidth="1"/>
    <col min="5899" max="5899" width="4" style="2894" customWidth="1"/>
    <col min="5900" max="5900" width="5.109375" style="2894" customWidth="1"/>
    <col min="5901" max="5901" width="13.77734375" style="2894" customWidth="1"/>
    <col min="5902" max="6144" width="9" style="2894"/>
    <col min="6145" max="6145" width="4.88671875" style="2894" customWidth="1"/>
    <col min="6146" max="6146" width="13.21875" style="2894" customWidth="1"/>
    <col min="6147" max="6147" width="15.6640625" style="2894" customWidth="1"/>
    <col min="6148" max="6148" width="9.33203125" style="2894" bestFit="1" customWidth="1"/>
    <col min="6149" max="6149" width="13.44140625" style="2894" customWidth="1"/>
    <col min="6150" max="6150" width="9" style="2894"/>
    <col min="6151" max="6151" width="9.33203125" style="2894" bestFit="1" customWidth="1"/>
    <col min="6152" max="6153" width="9" style="2894"/>
    <col min="6154" max="6154" width="9.33203125" style="2894" bestFit="1" customWidth="1"/>
    <col min="6155" max="6155" width="4" style="2894" customWidth="1"/>
    <col min="6156" max="6156" width="5.109375" style="2894" customWidth="1"/>
    <col min="6157" max="6157" width="13.77734375" style="2894" customWidth="1"/>
    <col min="6158" max="6400" width="9" style="2894"/>
    <col min="6401" max="6401" width="4.88671875" style="2894" customWidth="1"/>
    <col min="6402" max="6402" width="13.21875" style="2894" customWidth="1"/>
    <col min="6403" max="6403" width="15.6640625" style="2894" customWidth="1"/>
    <col min="6404" max="6404" width="9.33203125" style="2894" bestFit="1" customWidth="1"/>
    <col min="6405" max="6405" width="13.44140625" style="2894" customWidth="1"/>
    <col min="6406" max="6406" width="9" style="2894"/>
    <col min="6407" max="6407" width="9.33203125" style="2894" bestFit="1" customWidth="1"/>
    <col min="6408" max="6409" width="9" style="2894"/>
    <col min="6410" max="6410" width="9.33203125" style="2894" bestFit="1" customWidth="1"/>
    <col min="6411" max="6411" width="4" style="2894" customWidth="1"/>
    <col min="6412" max="6412" width="5.109375" style="2894" customWidth="1"/>
    <col min="6413" max="6413" width="13.77734375" style="2894" customWidth="1"/>
    <col min="6414" max="6656" width="9" style="2894"/>
    <col min="6657" max="6657" width="4.88671875" style="2894" customWidth="1"/>
    <col min="6658" max="6658" width="13.21875" style="2894" customWidth="1"/>
    <col min="6659" max="6659" width="15.6640625" style="2894" customWidth="1"/>
    <col min="6660" max="6660" width="9.33203125" style="2894" bestFit="1" customWidth="1"/>
    <col min="6661" max="6661" width="13.44140625" style="2894" customWidth="1"/>
    <col min="6662" max="6662" width="9" style="2894"/>
    <col min="6663" max="6663" width="9.33203125" style="2894" bestFit="1" customWidth="1"/>
    <col min="6664" max="6665" width="9" style="2894"/>
    <col min="6666" max="6666" width="9.33203125" style="2894" bestFit="1" customWidth="1"/>
    <col min="6667" max="6667" width="4" style="2894" customWidth="1"/>
    <col min="6668" max="6668" width="5.109375" style="2894" customWidth="1"/>
    <col min="6669" max="6669" width="13.77734375" style="2894" customWidth="1"/>
    <col min="6670" max="6912" width="9" style="2894"/>
    <col min="6913" max="6913" width="4.88671875" style="2894" customWidth="1"/>
    <col min="6914" max="6914" width="13.21875" style="2894" customWidth="1"/>
    <col min="6915" max="6915" width="15.6640625" style="2894" customWidth="1"/>
    <col min="6916" max="6916" width="9.33203125" style="2894" bestFit="1" customWidth="1"/>
    <col min="6917" max="6917" width="13.44140625" style="2894" customWidth="1"/>
    <col min="6918" max="6918" width="9" style="2894"/>
    <col min="6919" max="6919" width="9.33203125" style="2894" bestFit="1" customWidth="1"/>
    <col min="6920" max="6921" width="9" style="2894"/>
    <col min="6922" max="6922" width="9.33203125" style="2894" bestFit="1" customWidth="1"/>
    <col min="6923" max="6923" width="4" style="2894" customWidth="1"/>
    <col min="6924" max="6924" width="5.109375" style="2894" customWidth="1"/>
    <col min="6925" max="6925" width="13.77734375" style="2894" customWidth="1"/>
    <col min="6926" max="7168" width="9" style="2894"/>
    <col min="7169" max="7169" width="4.88671875" style="2894" customWidth="1"/>
    <col min="7170" max="7170" width="13.21875" style="2894" customWidth="1"/>
    <col min="7171" max="7171" width="15.6640625" style="2894" customWidth="1"/>
    <col min="7172" max="7172" width="9.33203125" style="2894" bestFit="1" customWidth="1"/>
    <col min="7173" max="7173" width="13.44140625" style="2894" customWidth="1"/>
    <col min="7174" max="7174" width="9" style="2894"/>
    <col min="7175" max="7175" width="9.33203125" style="2894" bestFit="1" customWidth="1"/>
    <col min="7176" max="7177" width="9" style="2894"/>
    <col min="7178" max="7178" width="9.33203125" style="2894" bestFit="1" customWidth="1"/>
    <col min="7179" max="7179" width="4" style="2894" customWidth="1"/>
    <col min="7180" max="7180" width="5.109375" style="2894" customWidth="1"/>
    <col min="7181" max="7181" width="13.77734375" style="2894" customWidth="1"/>
    <col min="7182" max="7424" width="9" style="2894"/>
    <col min="7425" max="7425" width="4.88671875" style="2894" customWidth="1"/>
    <col min="7426" max="7426" width="13.21875" style="2894" customWidth="1"/>
    <col min="7427" max="7427" width="15.6640625" style="2894" customWidth="1"/>
    <col min="7428" max="7428" width="9.33203125" style="2894" bestFit="1" customWidth="1"/>
    <col min="7429" max="7429" width="13.44140625" style="2894" customWidth="1"/>
    <col min="7430" max="7430" width="9" style="2894"/>
    <col min="7431" max="7431" width="9.33203125" style="2894" bestFit="1" customWidth="1"/>
    <col min="7432" max="7433" width="9" style="2894"/>
    <col min="7434" max="7434" width="9.33203125" style="2894" bestFit="1" customWidth="1"/>
    <col min="7435" max="7435" width="4" style="2894" customWidth="1"/>
    <col min="7436" max="7436" width="5.109375" style="2894" customWidth="1"/>
    <col min="7437" max="7437" width="13.77734375" style="2894" customWidth="1"/>
    <col min="7438" max="7680" width="9" style="2894"/>
    <col min="7681" max="7681" width="4.88671875" style="2894" customWidth="1"/>
    <col min="7682" max="7682" width="13.21875" style="2894" customWidth="1"/>
    <col min="7683" max="7683" width="15.6640625" style="2894" customWidth="1"/>
    <col min="7684" max="7684" width="9.33203125" style="2894" bestFit="1" customWidth="1"/>
    <col min="7685" max="7685" width="13.44140625" style="2894" customWidth="1"/>
    <col min="7686" max="7686" width="9" style="2894"/>
    <col min="7687" max="7687" width="9.33203125" style="2894" bestFit="1" customWidth="1"/>
    <col min="7688" max="7689" width="9" style="2894"/>
    <col min="7690" max="7690" width="9.33203125" style="2894" bestFit="1" customWidth="1"/>
    <col min="7691" max="7691" width="4" style="2894" customWidth="1"/>
    <col min="7692" max="7692" width="5.109375" style="2894" customWidth="1"/>
    <col min="7693" max="7693" width="13.77734375" style="2894" customWidth="1"/>
    <col min="7694" max="7936" width="9" style="2894"/>
    <col min="7937" max="7937" width="4.88671875" style="2894" customWidth="1"/>
    <col min="7938" max="7938" width="13.21875" style="2894" customWidth="1"/>
    <col min="7939" max="7939" width="15.6640625" style="2894" customWidth="1"/>
    <col min="7940" max="7940" width="9.33203125" style="2894" bestFit="1" customWidth="1"/>
    <col min="7941" max="7941" width="13.44140625" style="2894" customWidth="1"/>
    <col min="7942" max="7942" width="9" style="2894"/>
    <col min="7943" max="7943" width="9.33203125" style="2894" bestFit="1" customWidth="1"/>
    <col min="7944" max="7945" width="9" style="2894"/>
    <col min="7946" max="7946" width="9.33203125" style="2894" bestFit="1" customWidth="1"/>
    <col min="7947" max="7947" width="4" style="2894" customWidth="1"/>
    <col min="7948" max="7948" width="5.109375" style="2894" customWidth="1"/>
    <col min="7949" max="7949" width="13.77734375" style="2894" customWidth="1"/>
    <col min="7950" max="8192" width="9" style="2894"/>
    <col min="8193" max="8193" width="4.88671875" style="2894" customWidth="1"/>
    <col min="8194" max="8194" width="13.21875" style="2894" customWidth="1"/>
    <col min="8195" max="8195" width="15.6640625" style="2894" customWidth="1"/>
    <col min="8196" max="8196" width="9.33203125" style="2894" bestFit="1" customWidth="1"/>
    <col min="8197" max="8197" width="13.44140625" style="2894" customWidth="1"/>
    <col min="8198" max="8198" width="9" style="2894"/>
    <col min="8199" max="8199" width="9.33203125" style="2894" bestFit="1" customWidth="1"/>
    <col min="8200" max="8201" width="9" style="2894"/>
    <col min="8202" max="8202" width="9.33203125" style="2894" bestFit="1" customWidth="1"/>
    <col min="8203" max="8203" width="4" style="2894" customWidth="1"/>
    <col min="8204" max="8204" width="5.109375" style="2894" customWidth="1"/>
    <col min="8205" max="8205" width="13.77734375" style="2894" customWidth="1"/>
    <col min="8206" max="8448" width="9" style="2894"/>
    <col min="8449" max="8449" width="4.88671875" style="2894" customWidth="1"/>
    <col min="8450" max="8450" width="13.21875" style="2894" customWidth="1"/>
    <col min="8451" max="8451" width="15.6640625" style="2894" customWidth="1"/>
    <col min="8452" max="8452" width="9.33203125" style="2894" bestFit="1" customWidth="1"/>
    <col min="8453" max="8453" width="13.44140625" style="2894" customWidth="1"/>
    <col min="8454" max="8454" width="9" style="2894"/>
    <col min="8455" max="8455" width="9.33203125" style="2894" bestFit="1" customWidth="1"/>
    <col min="8456" max="8457" width="9" style="2894"/>
    <col min="8458" max="8458" width="9.33203125" style="2894" bestFit="1" customWidth="1"/>
    <col min="8459" max="8459" width="4" style="2894" customWidth="1"/>
    <col min="8460" max="8460" width="5.109375" style="2894" customWidth="1"/>
    <col min="8461" max="8461" width="13.77734375" style="2894" customWidth="1"/>
    <col min="8462" max="8704" width="9" style="2894"/>
    <col min="8705" max="8705" width="4.88671875" style="2894" customWidth="1"/>
    <col min="8706" max="8706" width="13.21875" style="2894" customWidth="1"/>
    <col min="8707" max="8707" width="15.6640625" style="2894" customWidth="1"/>
    <col min="8708" max="8708" width="9.33203125" style="2894" bestFit="1" customWidth="1"/>
    <col min="8709" max="8709" width="13.44140625" style="2894" customWidth="1"/>
    <col min="8710" max="8710" width="9" style="2894"/>
    <col min="8711" max="8711" width="9.33203125" style="2894" bestFit="1" customWidth="1"/>
    <col min="8712" max="8713" width="9" style="2894"/>
    <col min="8714" max="8714" width="9.33203125" style="2894" bestFit="1" customWidth="1"/>
    <col min="8715" max="8715" width="4" style="2894" customWidth="1"/>
    <col min="8716" max="8716" width="5.109375" style="2894" customWidth="1"/>
    <col min="8717" max="8717" width="13.77734375" style="2894" customWidth="1"/>
    <col min="8718" max="8960" width="9" style="2894"/>
    <col min="8961" max="8961" width="4.88671875" style="2894" customWidth="1"/>
    <col min="8962" max="8962" width="13.21875" style="2894" customWidth="1"/>
    <col min="8963" max="8963" width="15.6640625" style="2894" customWidth="1"/>
    <col min="8964" max="8964" width="9.33203125" style="2894" bestFit="1" customWidth="1"/>
    <col min="8965" max="8965" width="13.44140625" style="2894" customWidth="1"/>
    <col min="8966" max="8966" width="9" style="2894"/>
    <col min="8967" max="8967" width="9.33203125" style="2894" bestFit="1" customWidth="1"/>
    <col min="8968" max="8969" width="9" style="2894"/>
    <col min="8970" max="8970" width="9.33203125" style="2894" bestFit="1" customWidth="1"/>
    <col min="8971" max="8971" width="4" style="2894" customWidth="1"/>
    <col min="8972" max="8972" width="5.109375" style="2894" customWidth="1"/>
    <col min="8973" max="8973" width="13.77734375" style="2894" customWidth="1"/>
    <col min="8974" max="9216" width="9" style="2894"/>
    <col min="9217" max="9217" width="4.88671875" style="2894" customWidth="1"/>
    <col min="9218" max="9218" width="13.21875" style="2894" customWidth="1"/>
    <col min="9219" max="9219" width="15.6640625" style="2894" customWidth="1"/>
    <col min="9220" max="9220" width="9.33203125" style="2894" bestFit="1" customWidth="1"/>
    <col min="9221" max="9221" width="13.44140625" style="2894" customWidth="1"/>
    <col min="9222" max="9222" width="9" style="2894"/>
    <col min="9223" max="9223" width="9.33203125" style="2894" bestFit="1" customWidth="1"/>
    <col min="9224" max="9225" width="9" style="2894"/>
    <col min="9226" max="9226" width="9.33203125" style="2894" bestFit="1" customWidth="1"/>
    <col min="9227" max="9227" width="4" style="2894" customWidth="1"/>
    <col min="9228" max="9228" width="5.109375" style="2894" customWidth="1"/>
    <col min="9229" max="9229" width="13.77734375" style="2894" customWidth="1"/>
    <col min="9230" max="9472" width="9" style="2894"/>
    <col min="9473" max="9473" width="4.88671875" style="2894" customWidth="1"/>
    <col min="9474" max="9474" width="13.21875" style="2894" customWidth="1"/>
    <col min="9475" max="9475" width="15.6640625" style="2894" customWidth="1"/>
    <col min="9476" max="9476" width="9.33203125" style="2894" bestFit="1" customWidth="1"/>
    <col min="9477" max="9477" width="13.44140625" style="2894" customWidth="1"/>
    <col min="9478" max="9478" width="9" style="2894"/>
    <col min="9479" max="9479" width="9.33203125" style="2894" bestFit="1" customWidth="1"/>
    <col min="9480" max="9481" width="9" style="2894"/>
    <col min="9482" max="9482" width="9.33203125" style="2894" bestFit="1" customWidth="1"/>
    <col min="9483" max="9483" width="4" style="2894" customWidth="1"/>
    <col min="9484" max="9484" width="5.109375" style="2894" customWidth="1"/>
    <col min="9485" max="9485" width="13.77734375" style="2894" customWidth="1"/>
    <col min="9486" max="9728" width="9" style="2894"/>
    <col min="9729" max="9729" width="4.88671875" style="2894" customWidth="1"/>
    <col min="9730" max="9730" width="13.21875" style="2894" customWidth="1"/>
    <col min="9731" max="9731" width="15.6640625" style="2894" customWidth="1"/>
    <col min="9732" max="9732" width="9.33203125" style="2894" bestFit="1" customWidth="1"/>
    <col min="9733" max="9733" width="13.44140625" style="2894" customWidth="1"/>
    <col min="9734" max="9734" width="9" style="2894"/>
    <col min="9735" max="9735" width="9.33203125" style="2894" bestFit="1" customWidth="1"/>
    <col min="9736" max="9737" width="9" style="2894"/>
    <col min="9738" max="9738" width="9.33203125" style="2894" bestFit="1" customWidth="1"/>
    <col min="9739" max="9739" width="4" style="2894" customWidth="1"/>
    <col min="9740" max="9740" width="5.109375" style="2894" customWidth="1"/>
    <col min="9741" max="9741" width="13.77734375" style="2894" customWidth="1"/>
    <col min="9742" max="9984" width="9" style="2894"/>
    <col min="9985" max="9985" width="4.88671875" style="2894" customWidth="1"/>
    <col min="9986" max="9986" width="13.21875" style="2894" customWidth="1"/>
    <col min="9987" max="9987" width="15.6640625" style="2894" customWidth="1"/>
    <col min="9988" max="9988" width="9.33203125" style="2894" bestFit="1" customWidth="1"/>
    <col min="9989" max="9989" width="13.44140625" style="2894" customWidth="1"/>
    <col min="9990" max="9990" width="9" style="2894"/>
    <col min="9991" max="9991" width="9.33203125" style="2894" bestFit="1" customWidth="1"/>
    <col min="9992" max="9993" width="9" style="2894"/>
    <col min="9994" max="9994" width="9.33203125" style="2894" bestFit="1" customWidth="1"/>
    <col min="9995" max="9995" width="4" style="2894" customWidth="1"/>
    <col min="9996" max="9996" width="5.109375" style="2894" customWidth="1"/>
    <col min="9997" max="9997" width="13.77734375" style="2894" customWidth="1"/>
    <col min="9998" max="10240" width="9" style="2894"/>
    <col min="10241" max="10241" width="4.88671875" style="2894" customWidth="1"/>
    <col min="10242" max="10242" width="13.21875" style="2894" customWidth="1"/>
    <col min="10243" max="10243" width="15.6640625" style="2894" customWidth="1"/>
    <col min="10244" max="10244" width="9.33203125" style="2894" bestFit="1" customWidth="1"/>
    <col min="10245" max="10245" width="13.44140625" style="2894" customWidth="1"/>
    <col min="10246" max="10246" width="9" style="2894"/>
    <col min="10247" max="10247" width="9.33203125" style="2894" bestFit="1" customWidth="1"/>
    <col min="10248" max="10249" width="9" style="2894"/>
    <col min="10250" max="10250" width="9.33203125" style="2894" bestFit="1" customWidth="1"/>
    <col min="10251" max="10251" width="4" style="2894" customWidth="1"/>
    <col min="10252" max="10252" width="5.109375" style="2894" customWidth="1"/>
    <col min="10253" max="10253" width="13.77734375" style="2894" customWidth="1"/>
    <col min="10254" max="10496" width="9" style="2894"/>
    <col min="10497" max="10497" width="4.88671875" style="2894" customWidth="1"/>
    <col min="10498" max="10498" width="13.21875" style="2894" customWidth="1"/>
    <col min="10499" max="10499" width="15.6640625" style="2894" customWidth="1"/>
    <col min="10500" max="10500" width="9.33203125" style="2894" bestFit="1" customWidth="1"/>
    <col min="10501" max="10501" width="13.44140625" style="2894" customWidth="1"/>
    <col min="10502" max="10502" width="9" style="2894"/>
    <col min="10503" max="10503" width="9.33203125" style="2894" bestFit="1" customWidth="1"/>
    <col min="10504" max="10505" width="9" style="2894"/>
    <col min="10506" max="10506" width="9.33203125" style="2894" bestFit="1" customWidth="1"/>
    <col min="10507" max="10507" width="4" style="2894" customWidth="1"/>
    <col min="10508" max="10508" width="5.109375" style="2894" customWidth="1"/>
    <col min="10509" max="10509" width="13.77734375" style="2894" customWidth="1"/>
    <col min="10510" max="10752" width="9" style="2894"/>
    <col min="10753" max="10753" width="4.88671875" style="2894" customWidth="1"/>
    <col min="10754" max="10754" width="13.21875" style="2894" customWidth="1"/>
    <col min="10755" max="10755" width="15.6640625" style="2894" customWidth="1"/>
    <col min="10756" max="10756" width="9.33203125" style="2894" bestFit="1" customWidth="1"/>
    <col min="10757" max="10757" width="13.44140625" style="2894" customWidth="1"/>
    <col min="10758" max="10758" width="9" style="2894"/>
    <col min="10759" max="10759" width="9.33203125" style="2894" bestFit="1" customWidth="1"/>
    <col min="10760" max="10761" width="9" style="2894"/>
    <col min="10762" max="10762" width="9.33203125" style="2894" bestFit="1" customWidth="1"/>
    <col min="10763" max="10763" width="4" style="2894" customWidth="1"/>
    <col min="10764" max="10764" width="5.109375" style="2894" customWidth="1"/>
    <col min="10765" max="10765" width="13.77734375" style="2894" customWidth="1"/>
    <col min="10766" max="11008" width="9" style="2894"/>
    <col min="11009" max="11009" width="4.88671875" style="2894" customWidth="1"/>
    <col min="11010" max="11010" width="13.21875" style="2894" customWidth="1"/>
    <col min="11011" max="11011" width="15.6640625" style="2894" customWidth="1"/>
    <col min="11012" max="11012" width="9.33203125" style="2894" bestFit="1" customWidth="1"/>
    <col min="11013" max="11013" width="13.44140625" style="2894" customWidth="1"/>
    <col min="11014" max="11014" width="9" style="2894"/>
    <col min="11015" max="11015" width="9.33203125" style="2894" bestFit="1" customWidth="1"/>
    <col min="11016" max="11017" width="9" style="2894"/>
    <col min="11018" max="11018" width="9.33203125" style="2894" bestFit="1" customWidth="1"/>
    <col min="11019" max="11019" width="4" style="2894" customWidth="1"/>
    <col min="11020" max="11020" width="5.109375" style="2894" customWidth="1"/>
    <col min="11021" max="11021" width="13.77734375" style="2894" customWidth="1"/>
    <col min="11022" max="11264" width="9" style="2894"/>
    <col min="11265" max="11265" width="4.88671875" style="2894" customWidth="1"/>
    <col min="11266" max="11266" width="13.21875" style="2894" customWidth="1"/>
    <col min="11267" max="11267" width="15.6640625" style="2894" customWidth="1"/>
    <col min="11268" max="11268" width="9.33203125" style="2894" bestFit="1" customWidth="1"/>
    <col min="11269" max="11269" width="13.44140625" style="2894" customWidth="1"/>
    <col min="11270" max="11270" width="9" style="2894"/>
    <col min="11271" max="11271" width="9.33203125" style="2894" bestFit="1" customWidth="1"/>
    <col min="11272" max="11273" width="9" style="2894"/>
    <col min="11274" max="11274" width="9.33203125" style="2894" bestFit="1" customWidth="1"/>
    <col min="11275" max="11275" width="4" style="2894" customWidth="1"/>
    <col min="11276" max="11276" width="5.109375" style="2894" customWidth="1"/>
    <col min="11277" max="11277" width="13.77734375" style="2894" customWidth="1"/>
    <col min="11278" max="11520" width="9" style="2894"/>
    <col min="11521" max="11521" width="4.88671875" style="2894" customWidth="1"/>
    <col min="11522" max="11522" width="13.21875" style="2894" customWidth="1"/>
    <col min="11523" max="11523" width="15.6640625" style="2894" customWidth="1"/>
    <col min="11524" max="11524" width="9.33203125" style="2894" bestFit="1" customWidth="1"/>
    <col min="11525" max="11525" width="13.44140625" style="2894" customWidth="1"/>
    <col min="11526" max="11526" width="9" style="2894"/>
    <col min="11527" max="11527" width="9.33203125" style="2894" bestFit="1" customWidth="1"/>
    <col min="11528" max="11529" width="9" style="2894"/>
    <col min="11530" max="11530" width="9.33203125" style="2894" bestFit="1" customWidth="1"/>
    <col min="11531" max="11531" width="4" style="2894" customWidth="1"/>
    <col min="11532" max="11532" width="5.109375" style="2894" customWidth="1"/>
    <col min="11533" max="11533" width="13.77734375" style="2894" customWidth="1"/>
    <col min="11534" max="11776" width="9" style="2894"/>
    <col min="11777" max="11777" width="4.88671875" style="2894" customWidth="1"/>
    <col min="11778" max="11778" width="13.21875" style="2894" customWidth="1"/>
    <col min="11779" max="11779" width="15.6640625" style="2894" customWidth="1"/>
    <col min="11780" max="11780" width="9.33203125" style="2894" bestFit="1" customWidth="1"/>
    <col min="11781" max="11781" width="13.44140625" style="2894" customWidth="1"/>
    <col min="11782" max="11782" width="9" style="2894"/>
    <col min="11783" max="11783" width="9.33203125" style="2894" bestFit="1" customWidth="1"/>
    <col min="11784" max="11785" width="9" style="2894"/>
    <col min="11786" max="11786" width="9.33203125" style="2894" bestFit="1" customWidth="1"/>
    <col min="11787" max="11787" width="4" style="2894" customWidth="1"/>
    <col min="11788" max="11788" width="5.109375" style="2894" customWidth="1"/>
    <col min="11789" max="11789" width="13.77734375" style="2894" customWidth="1"/>
    <col min="11790" max="12032" width="9" style="2894"/>
    <col min="12033" max="12033" width="4.88671875" style="2894" customWidth="1"/>
    <col min="12034" max="12034" width="13.21875" style="2894" customWidth="1"/>
    <col min="12035" max="12035" width="15.6640625" style="2894" customWidth="1"/>
    <col min="12036" max="12036" width="9.33203125" style="2894" bestFit="1" customWidth="1"/>
    <col min="12037" max="12037" width="13.44140625" style="2894" customWidth="1"/>
    <col min="12038" max="12038" width="9" style="2894"/>
    <col min="12039" max="12039" width="9.33203125" style="2894" bestFit="1" customWidth="1"/>
    <col min="12040" max="12041" width="9" style="2894"/>
    <col min="12042" max="12042" width="9.33203125" style="2894" bestFit="1" customWidth="1"/>
    <col min="12043" max="12043" width="4" style="2894" customWidth="1"/>
    <col min="12044" max="12044" width="5.109375" style="2894" customWidth="1"/>
    <col min="12045" max="12045" width="13.77734375" style="2894" customWidth="1"/>
    <col min="12046" max="12288" width="9" style="2894"/>
    <col min="12289" max="12289" width="4.88671875" style="2894" customWidth="1"/>
    <col min="12290" max="12290" width="13.21875" style="2894" customWidth="1"/>
    <col min="12291" max="12291" width="15.6640625" style="2894" customWidth="1"/>
    <col min="12292" max="12292" width="9.33203125" style="2894" bestFit="1" customWidth="1"/>
    <col min="12293" max="12293" width="13.44140625" style="2894" customWidth="1"/>
    <col min="12294" max="12294" width="9" style="2894"/>
    <col min="12295" max="12295" width="9.33203125" style="2894" bestFit="1" customWidth="1"/>
    <col min="12296" max="12297" width="9" style="2894"/>
    <col min="12298" max="12298" width="9.33203125" style="2894" bestFit="1" customWidth="1"/>
    <col min="12299" max="12299" width="4" style="2894" customWidth="1"/>
    <col min="12300" max="12300" width="5.109375" style="2894" customWidth="1"/>
    <col min="12301" max="12301" width="13.77734375" style="2894" customWidth="1"/>
    <col min="12302" max="12544" width="9" style="2894"/>
    <col min="12545" max="12545" width="4.88671875" style="2894" customWidth="1"/>
    <col min="12546" max="12546" width="13.21875" style="2894" customWidth="1"/>
    <col min="12547" max="12547" width="15.6640625" style="2894" customWidth="1"/>
    <col min="12548" max="12548" width="9.33203125" style="2894" bestFit="1" customWidth="1"/>
    <col min="12549" max="12549" width="13.44140625" style="2894" customWidth="1"/>
    <col min="12550" max="12550" width="9" style="2894"/>
    <col min="12551" max="12551" width="9.33203125" style="2894" bestFit="1" customWidth="1"/>
    <col min="12552" max="12553" width="9" style="2894"/>
    <col min="12554" max="12554" width="9.33203125" style="2894" bestFit="1" customWidth="1"/>
    <col min="12555" max="12555" width="4" style="2894" customWidth="1"/>
    <col min="12556" max="12556" width="5.109375" style="2894" customWidth="1"/>
    <col min="12557" max="12557" width="13.77734375" style="2894" customWidth="1"/>
    <col min="12558" max="12800" width="9" style="2894"/>
    <col min="12801" max="12801" width="4.88671875" style="2894" customWidth="1"/>
    <col min="12802" max="12802" width="13.21875" style="2894" customWidth="1"/>
    <col min="12803" max="12803" width="15.6640625" style="2894" customWidth="1"/>
    <col min="12804" max="12804" width="9.33203125" style="2894" bestFit="1" customWidth="1"/>
    <col min="12805" max="12805" width="13.44140625" style="2894" customWidth="1"/>
    <col min="12806" max="12806" width="9" style="2894"/>
    <col min="12807" max="12807" width="9.33203125" style="2894" bestFit="1" customWidth="1"/>
    <col min="12808" max="12809" width="9" style="2894"/>
    <col min="12810" max="12810" width="9.33203125" style="2894" bestFit="1" customWidth="1"/>
    <col min="12811" max="12811" width="4" style="2894" customWidth="1"/>
    <col min="12812" max="12812" width="5.109375" style="2894" customWidth="1"/>
    <col min="12813" max="12813" width="13.77734375" style="2894" customWidth="1"/>
    <col min="12814" max="13056" width="9" style="2894"/>
    <col min="13057" max="13057" width="4.88671875" style="2894" customWidth="1"/>
    <col min="13058" max="13058" width="13.21875" style="2894" customWidth="1"/>
    <col min="13059" max="13059" width="15.6640625" style="2894" customWidth="1"/>
    <col min="13060" max="13060" width="9.33203125" style="2894" bestFit="1" customWidth="1"/>
    <col min="13061" max="13061" width="13.44140625" style="2894" customWidth="1"/>
    <col min="13062" max="13062" width="9" style="2894"/>
    <col min="13063" max="13063" width="9.33203125" style="2894" bestFit="1" customWidth="1"/>
    <col min="13064" max="13065" width="9" style="2894"/>
    <col min="13066" max="13066" width="9.33203125" style="2894" bestFit="1" customWidth="1"/>
    <col min="13067" max="13067" width="4" style="2894" customWidth="1"/>
    <col min="13068" max="13068" width="5.109375" style="2894" customWidth="1"/>
    <col min="13069" max="13069" width="13.77734375" style="2894" customWidth="1"/>
    <col min="13070" max="13312" width="9" style="2894"/>
    <col min="13313" max="13313" width="4.88671875" style="2894" customWidth="1"/>
    <col min="13314" max="13314" width="13.21875" style="2894" customWidth="1"/>
    <col min="13315" max="13315" width="15.6640625" style="2894" customWidth="1"/>
    <col min="13316" max="13316" width="9.33203125" style="2894" bestFit="1" customWidth="1"/>
    <col min="13317" max="13317" width="13.44140625" style="2894" customWidth="1"/>
    <col min="13318" max="13318" width="9" style="2894"/>
    <col min="13319" max="13319" width="9.33203125" style="2894" bestFit="1" customWidth="1"/>
    <col min="13320" max="13321" width="9" style="2894"/>
    <col min="13322" max="13322" width="9.33203125" style="2894" bestFit="1" customWidth="1"/>
    <col min="13323" max="13323" width="4" style="2894" customWidth="1"/>
    <col min="13324" max="13324" width="5.109375" style="2894" customWidth="1"/>
    <col min="13325" max="13325" width="13.77734375" style="2894" customWidth="1"/>
    <col min="13326" max="13568" width="9" style="2894"/>
    <col min="13569" max="13569" width="4.88671875" style="2894" customWidth="1"/>
    <col min="13570" max="13570" width="13.21875" style="2894" customWidth="1"/>
    <col min="13571" max="13571" width="15.6640625" style="2894" customWidth="1"/>
    <col min="13572" max="13572" width="9.33203125" style="2894" bestFit="1" customWidth="1"/>
    <col min="13573" max="13573" width="13.44140625" style="2894" customWidth="1"/>
    <col min="13574" max="13574" width="9" style="2894"/>
    <col min="13575" max="13575" width="9.33203125" style="2894" bestFit="1" customWidth="1"/>
    <col min="13576" max="13577" width="9" style="2894"/>
    <col min="13578" max="13578" width="9.33203125" style="2894" bestFit="1" customWidth="1"/>
    <col min="13579" max="13579" width="4" style="2894" customWidth="1"/>
    <col min="13580" max="13580" width="5.109375" style="2894" customWidth="1"/>
    <col min="13581" max="13581" width="13.77734375" style="2894" customWidth="1"/>
    <col min="13582" max="13824" width="9" style="2894"/>
    <col min="13825" max="13825" width="4.88671875" style="2894" customWidth="1"/>
    <col min="13826" max="13826" width="13.21875" style="2894" customWidth="1"/>
    <col min="13827" max="13827" width="15.6640625" style="2894" customWidth="1"/>
    <col min="13828" max="13828" width="9.33203125" style="2894" bestFit="1" customWidth="1"/>
    <col min="13829" max="13829" width="13.44140625" style="2894" customWidth="1"/>
    <col min="13830" max="13830" width="9" style="2894"/>
    <col min="13831" max="13831" width="9.33203125" style="2894" bestFit="1" customWidth="1"/>
    <col min="13832" max="13833" width="9" style="2894"/>
    <col min="13834" max="13834" width="9.33203125" style="2894" bestFit="1" customWidth="1"/>
    <col min="13835" max="13835" width="4" style="2894" customWidth="1"/>
    <col min="13836" max="13836" width="5.109375" style="2894" customWidth="1"/>
    <col min="13837" max="13837" width="13.77734375" style="2894" customWidth="1"/>
    <col min="13838" max="14080" width="9" style="2894"/>
    <col min="14081" max="14081" width="4.88671875" style="2894" customWidth="1"/>
    <col min="14082" max="14082" width="13.21875" style="2894" customWidth="1"/>
    <col min="14083" max="14083" width="15.6640625" style="2894" customWidth="1"/>
    <col min="14084" max="14084" width="9.33203125" style="2894" bestFit="1" customWidth="1"/>
    <col min="14085" max="14085" width="13.44140625" style="2894" customWidth="1"/>
    <col min="14086" max="14086" width="9" style="2894"/>
    <col min="14087" max="14087" width="9.33203125" style="2894" bestFit="1" customWidth="1"/>
    <col min="14088" max="14089" width="9" style="2894"/>
    <col min="14090" max="14090" width="9.33203125" style="2894" bestFit="1" customWidth="1"/>
    <col min="14091" max="14091" width="4" style="2894" customWidth="1"/>
    <col min="14092" max="14092" width="5.109375" style="2894" customWidth="1"/>
    <col min="14093" max="14093" width="13.77734375" style="2894" customWidth="1"/>
    <col min="14094" max="14336" width="9" style="2894"/>
    <col min="14337" max="14337" width="4.88671875" style="2894" customWidth="1"/>
    <col min="14338" max="14338" width="13.21875" style="2894" customWidth="1"/>
    <col min="14339" max="14339" width="15.6640625" style="2894" customWidth="1"/>
    <col min="14340" max="14340" width="9.33203125" style="2894" bestFit="1" customWidth="1"/>
    <col min="14341" max="14341" width="13.44140625" style="2894" customWidth="1"/>
    <col min="14342" max="14342" width="9" style="2894"/>
    <col min="14343" max="14343" width="9.33203125" style="2894" bestFit="1" customWidth="1"/>
    <col min="14344" max="14345" width="9" style="2894"/>
    <col min="14346" max="14346" width="9.33203125" style="2894" bestFit="1" customWidth="1"/>
    <col min="14347" max="14347" width="4" style="2894" customWidth="1"/>
    <col min="14348" max="14348" width="5.109375" style="2894" customWidth="1"/>
    <col min="14349" max="14349" width="13.77734375" style="2894" customWidth="1"/>
    <col min="14350" max="14592" width="9" style="2894"/>
    <col min="14593" max="14593" width="4.88671875" style="2894" customWidth="1"/>
    <col min="14594" max="14594" width="13.21875" style="2894" customWidth="1"/>
    <col min="14595" max="14595" width="15.6640625" style="2894" customWidth="1"/>
    <col min="14596" max="14596" width="9.33203125" style="2894" bestFit="1" customWidth="1"/>
    <col min="14597" max="14597" width="13.44140625" style="2894" customWidth="1"/>
    <col min="14598" max="14598" width="9" style="2894"/>
    <col min="14599" max="14599" width="9.33203125" style="2894" bestFit="1" customWidth="1"/>
    <col min="14600" max="14601" width="9" style="2894"/>
    <col min="14602" max="14602" width="9.33203125" style="2894" bestFit="1" customWidth="1"/>
    <col min="14603" max="14603" width="4" style="2894" customWidth="1"/>
    <col min="14604" max="14604" width="5.109375" style="2894" customWidth="1"/>
    <col min="14605" max="14605" width="13.77734375" style="2894" customWidth="1"/>
    <col min="14606" max="14848" width="9" style="2894"/>
    <col min="14849" max="14849" width="4.88671875" style="2894" customWidth="1"/>
    <col min="14850" max="14850" width="13.21875" style="2894" customWidth="1"/>
    <col min="14851" max="14851" width="15.6640625" style="2894" customWidth="1"/>
    <col min="14852" max="14852" width="9.33203125" style="2894" bestFit="1" customWidth="1"/>
    <col min="14853" max="14853" width="13.44140625" style="2894" customWidth="1"/>
    <col min="14854" max="14854" width="9" style="2894"/>
    <col min="14855" max="14855" width="9.33203125" style="2894" bestFit="1" customWidth="1"/>
    <col min="14856" max="14857" width="9" style="2894"/>
    <col min="14858" max="14858" width="9.33203125" style="2894" bestFit="1" customWidth="1"/>
    <col min="14859" max="14859" width="4" style="2894" customWidth="1"/>
    <col min="14860" max="14860" width="5.109375" style="2894" customWidth="1"/>
    <col min="14861" max="14861" width="13.77734375" style="2894" customWidth="1"/>
    <col min="14862" max="15104" width="9" style="2894"/>
    <col min="15105" max="15105" width="4.88671875" style="2894" customWidth="1"/>
    <col min="15106" max="15106" width="13.21875" style="2894" customWidth="1"/>
    <col min="15107" max="15107" width="15.6640625" style="2894" customWidth="1"/>
    <col min="15108" max="15108" width="9.33203125" style="2894" bestFit="1" customWidth="1"/>
    <col min="15109" max="15109" width="13.44140625" style="2894" customWidth="1"/>
    <col min="15110" max="15110" width="9" style="2894"/>
    <col min="15111" max="15111" width="9.33203125" style="2894" bestFit="1" customWidth="1"/>
    <col min="15112" max="15113" width="9" style="2894"/>
    <col min="15114" max="15114" width="9.33203125" style="2894" bestFit="1" customWidth="1"/>
    <col min="15115" max="15115" width="4" style="2894" customWidth="1"/>
    <col min="15116" max="15116" width="5.109375" style="2894" customWidth="1"/>
    <col min="15117" max="15117" width="13.77734375" style="2894" customWidth="1"/>
    <col min="15118" max="15360" width="9" style="2894"/>
    <col min="15361" max="15361" width="4.88671875" style="2894" customWidth="1"/>
    <col min="15362" max="15362" width="13.21875" style="2894" customWidth="1"/>
    <col min="15363" max="15363" width="15.6640625" style="2894" customWidth="1"/>
    <col min="15364" max="15364" width="9.33203125" style="2894" bestFit="1" customWidth="1"/>
    <col min="15365" max="15365" width="13.44140625" style="2894" customWidth="1"/>
    <col min="15366" max="15366" width="9" style="2894"/>
    <col min="15367" max="15367" width="9.33203125" style="2894" bestFit="1" customWidth="1"/>
    <col min="15368" max="15369" width="9" style="2894"/>
    <col min="15370" max="15370" width="9.33203125" style="2894" bestFit="1" customWidth="1"/>
    <col min="15371" max="15371" width="4" style="2894" customWidth="1"/>
    <col min="15372" max="15372" width="5.109375" style="2894" customWidth="1"/>
    <col min="15373" max="15373" width="13.77734375" style="2894" customWidth="1"/>
    <col min="15374" max="15616" width="9" style="2894"/>
    <col min="15617" max="15617" width="4.88671875" style="2894" customWidth="1"/>
    <col min="15618" max="15618" width="13.21875" style="2894" customWidth="1"/>
    <col min="15619" max="15619" width="15.6640625" style="2894" customWidth="1"/>
    <col min="15620" max="15620" width="9.33203125" style="2894" bestFit="1" customWidth="1"/>
    <col min="15621" max="15621" width="13.44140625" style="2894" customWidth="1"/>
    <col min="15622" max="15622" width="9" style="2894"/>
    <col min="15623" max="15623" width="9.33203125" style="2894" bestFit="1" customWidth="1"/>
    <col min="15624" max="15625" width="9" style="2894"/>
    <col min="15626" max="15626" width="9.33203125" style="2894" bestFit="1" customWidth="1"/>
    <col min="15627" max="15627" width="4" style="2894" customWidth="1"/>
    <col min="15628" max="15628" width="5.109375" style="2894" customWidth="1"/>
    <col min="15629" max="15629" width="13.77734375" style="2894" customWidth="1"/>
    <col min="15630" max="15872" width="9" style="2894"/>
    <col min="15873" max="15873" width="4.88671875" style="2894" customWidth="1"/>
    <col min="15874" max="15874" width="13.21875" style="2894" customWidth="1"/>
    <col min="15875" max="15875" width="15.6640625" style="2894" customWidth="1"/>
    <col min="15876" max="15876" width="9.33203125" style="2894" bestFit="1" customWidth="1"/>
    <col min="15877" max="15877" width="13.44140625" style="2894" customWidth="1"/>
    <col min="15878" max="15878" width="9" style="2894"/>
    <col min="15879" max="15879" width="9.33203125" style="2894" bestFit="1" customWidth="1"/>
    <col min="15880" max="15881" width="9" style="2894"/>
    <col min="15882" max="15882" width="9.33203125" style="2894" bestFit="1" customWidth="1"/>
    <col min="15883" max="15883" width="4" style="2894" customWidth="1"/>
    <col min="15884" max="15884" width="5.109375" style="2894" customWidth="1"/>
    <col min="15885" max="15885" width="13.77734375" style="2894" customWidth="1"/>
    <col min="15886" max="16128" width="9" style="2894"/>
    <col min="16129" max="16129" width="4.88671875" style="2894" customWidth="1"/>
    <col min="16130" max="16130" width="13.21875" style="2894" customWidth="1"/>
    <col min="16131" max="16131" width="15.6640625" style="2894" customWidth="1"/>
    <col min="16132" max="16132" width="9.33203125" style="2894" bestFit="1" customWidth="1"/>
    <col min="16133" max="16133" width="13.44140625" style="2894" customWidth="1"/>
    <col min="16134" max="16134" width="9" style="2894"/>
    <col min="16135" max="16135" width="9.33203125" style="2894" bestFit="1" customWidth="1"/>
    <col min="16136" max="16137" width="9" style="2894"/>
    <col min="16138" max="16138" width="9.33203125" style="2894" bestFit="1" customWidth="1"/>
    <col min="16139" max="16139" width="4" style="2894" customWidth="1"/>
    <col min="16140" max="16140" width="5.109375" style="2894" customWidth="1"/>
    <col min="16141" max="16141" width="13.77734375" style="2894" customWidth="1"/>
    <col min="16142" max="16384" width="9" style="2894"/>
  </cols>
  <sheetData>
    <row r="1" spans="1:257" s="2954" customFormat="1" ht="15" thickBot="1">
      <c r="A1" s="2953"/>
      <c r="B1" s="2955" t="s">
        <v>2782</v>
      </c>
      <c r="C1" s="2959">
        <f>项目基本情况!D3</f>
        <v>44006</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6" thickTop="1" thickBot="1">
      <c r="A2" s="2895"/>
      <c r="B2" s="2956" t="s">
        <v>2813</v>
      </c>
      <c r="C2" s="2960">
        <f>'数据-取费表'!B22</f>
        <v>1.5</v>
      </c>
      <c r="D2" s="2955" t="s">
        <v>2783</v>
      </c>
      <c r="E2" s="2958">
        <f ca="1">INDIRECT("I"&amp;$I$1)/100</f>
        <v>4.7500000000000001E-2</v>
      </c>
      <c r="G2" s="2895"/>
      <c r="H2" s="2895"/>
      <c r="I2" s="2895" t="s">
        <v>2784</v>
      </c>
      <c r="K2" s="2895"/>
      <c r="L2" s="2895"/>
      <c r="M2" s="2895"/>
      <c r="N2" s="2895" t="s">
        <v>2785</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2815</v>
      </c>
      <c r="C3" s="2957">
        <f>'数据-取费表'!B19</f>
        <v>0</v>
      </c>
      <c r="D3" s="2955" t="s">
        <v>2783</v>
      </c>
      <c r="E3" s="2958">
        <f ca="1">INDIRECT("J"&amp;$J$1)/100</f>
        <v>0</v>
      </c>
      <c r="G3" s="2897" t="s">
        <v>2786</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2814</v>
      </c>
      <c r="C4" s="2958">
        <f ca="1">N4/100</f>
        <v>1.4999999999999999E-2</v>
      </c>
      <c r="G4" s="2903" t="s">
        <v>2787</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2788</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2789</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5" thickBot="1">
      <c r="A7" s="2896"/>
      <c r="G7" s="2908" t="s">
        <v>2790</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399999999999999">
      <c r="A9" s="2916"/>
      <c r="B9" s="2917" t="s">
        <v>2791</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2">
      <c r="A10" s="2922"/>
      <c r="B10" s="2923" t="s">
        <v>2792</v>
      </c>
      <c r="C10" s="2922"/>
      <c r="D10" s="2922"/>
      <c r="E10" s="2922"/>
      <c r="F10" s="2922"/>
      <c r="G10" s="2922"/>
      <c r="H10" s="2922"/>
      <c r="I10" s="2896"/>
      <c r="J10" s="2896"/>
      <c r="K10" s="2922"/>
      <c r="L10" s="2923" t="s">
        <v>2793</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2794</v>
      </c>
      <c r="C11" s="2927" t="s">
        <v>2795</v>
      </c>
      <c r="D11" s="2928" t="s">
        <v>2796</v>
      </c>
      <c r="E11" s="2929"/>
      <c r="F11" s="2928" t="s">
        <v>2797</v>
      </c>
      <c r="G11" s="2930"/>
      <c r="H11" s="2929"/>
      <c r="I11" s="2928" t="s">
        <v>2798</v>
      </c>
      <c r="J11" s="2929"/>
      <c r="K11" s="2925"/>
      <c r="L11" s="2926" t="s">
        <v>2794</v>
      </c>
      <c r="M11" s="2927" t="s">
        <v>2795</v>
      </c>
      <c r="N11" s="2926" t="s">
        <v>2799</v>
      </c>
      <c r="O11" s="2928" t="s">
        <v>2800</v>
      </c>
      <c r="P11" s="2930"/>
      <c r="Q11" s="2930"/>
      <c r="R11" s="2930"/>
      <c r="S11" s="2930"/>
      <c r="T11" s="2929"/>
      <c r="U11" s="2928" t="s">
        <v>2801</v>
      </c>
      <c r="V11" s="2930"/>
      <c r="W11" s="2929"/>
      <c r="X11" s="2926" t="s">
        <v>2802</v>
      </c>
      <c r="Y11" s="2926" t="s">
        <v>2803</v>
      </c>
      <c r="Z11" s="2926" t="s">
        <v>2804</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2805</v>
      </c>
      <c r="E12" s="2935" t="s">
        <v>2806</v>
      </c>
      <c r="F12" s="2935" t="s">
        <v>2807</v>
      </c>
      <c r="G12" s="2935" t="s">
        <v>2808</v>
      </c>
      <c r="H12" s="2935" t="s">
        <v>2790</v>
      </c>
      <c r="I12" s="2936" t="s">
        <v>2809</v>
      </c>
      <c r="J12" s="2936" t="s">
        <v>2809</v>
      </c>
      <c r="K12" s="2932"/>
      <c r="L12" s="2933"/>
      <c r="M12" s="2934"/>
      <c r="N12" s="2933"/>
      <c r="O12" s="2936" t="s">
        <v>2810</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31.2">
      <c r="A13" s="2938"/>
      <c r="B13" s="2939" t="s">
        <v>2811</v>
      </c>
      <c r="C13" s="2940">
        <v>42301</v>
      </c>
      <c r="D13" s="2941">
        <v>4.3499999999999996</v>
      </c>
      <c r="E13" s="2941">
        <v>4.3499999999999996</v>
      </c>
      <c r="F13" s="2941">
        <v>4.75</v>
      </c>
      <c r="G13" s="2941">
        <v>4.75</v>
      </c>
      <c r="H13" s="2941">
        <v>4.9000000000000004</v>
      </c>
      <c r="I13" s="2941">
        <v>2.75</v>
      </c>
      <c r="J13" s="2941">
        <v>3.25</v>
      </c>
      <c r="K13" s="2938"/>
      <c r="L13" s="2939" t="s">
        <v>2811</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6.8">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2812</v>
      </c>
      <c r="Y42" s="2945" t="s">
        <v>2812</v>
      </c>
      <c r="Z42" s="2945" t="s">
        <v>2812</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2812</v>
      </c>
      <c r="Y43" s="2945" t="s">
        <v>2812</v>
      </c>
      <c r="Z43" s="2945" t="s">
        <v>2812</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2812</v>
      </c>
      <c r="Y44" s="2945" t="s">
        <v>2812</v>
      </c>
      <c r="Z44" s="2945" t="s">
        <v>2812</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2812</v>
      </c>
      <c r="Y45" s="2945" t="s">
        <v>2812</v>
      </c>
      <c r="Z45" s="2945" t="s">
        <v>2812</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2812</v>
      </c>
      <c r="Y46" s="2945" t="s">
        <v>2812</v>
      </c>
      <c r="Z46" s="2945" t="s">
        <v>2812</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2812</v>
      </c>
      <c r="Y47" s="2945" t="s">
        <v>2812</v>
      </c>
      <c r="Z47" s="2945" t="s">
        <v>2812</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2812</v>
      </c>
      <c r="Y48" s="2945" t="s">
        <v>2812</v>
      </c>
      <c r="Z48" s="2945" t="s">
        <v>2812</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2812</v>
      </c>
      <c r="Y49" s="2945" t="s">
        <v>2812</v>
      </c>
      <c r="Z49" s="2945" t="s">
        <v>2812</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2812</v>
      </c>
      <c r="Y50" s="2945" t="s">
        <v>2812</v>
      </c>
      <c r="Z50" s="2945" t="s">
        <v>2812</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2812</v>
      </c>
      <c r="V51" s="2945" t="s">
        <v>2812</v>
      </c>
      <c r="W51" s="2945" t="s">
        <v>2812</v>
      </c>
      <c r="X51" s="2945" t="s">
        <v>2812</v>
      </c>
      <c r="Y51" s="2945" t="s">
        <v>2812</v>
      </c>
      <c r="Z51" s="2945" t="s">
        <v>2812</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2812</v>
      </c>
      <c r="J55" s="2945" t="s">
        <v>2812</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
  <sheetViews>
    <sheetView workbookViewId="0">
      <selection activeCell="H19" sqref="H19"/>
    </sheetView>
  </sheetViews>
  <sheetFormatPr defaultRowHeight="14.4"/>
  <cols>
    <col min="1" max="1" width="20.109375" style="2894" customWidth="1"/>
    <col min="2" max="2" width="6.21875" style="2894" customWidth="1"/>
    <col min="3" max="3" width="11.77734375" style="2894" customWidth="1"/>
    <col min="4" max="4" width="10.77734375" style="2894" customWidth="1"/>
    <col min="5" max="5" width="13.88671875" style="2894" customWidth="1"/>
    <col min="6" max="6" width="8.77734375" style="2894" customWidth="1"/>
    <col min="7" max="7" width="7.88671875" style="2894" hidden="1" customWidth="1"/>
    <col min="8" max="8" width="12.88671875" style="2894" customWidth="1"/>
    <col min="9" max="9" width="9" style="2894" hidden="1" customWidth="1"/>
    <col min="10" max="10" width="9" style="2894" customWidth="1"/>
    <col min="11" max="11" width="10.6640625" style="2894" hidden="1" customWidth="1"/>
    <col min="12" max="12" width="7.6640625" style="2894" customWidth="1"/>
    <col min="13" max="13" width="10.21875" style="2894" customWidth="1"/>
    <col min="14" max="14" width="6.21875" style="2894" customWidth="1"/>
    <col min="15" max="15" width="13" style="2894" customWidth="1"/>
    <col min="16" max="16" width="7.88671875" style="2894" customWidth="1"/>
    <col min="17" max="256" width="9" style="2894"/>
    <col min="257" max="257" width="20.109375" style="2894" customWidth="1"/>
    <col min="258" max="258" width="6.21875" style="2894" customWidth="1"/>
    <col min="259" max="259" width="11.77734375" style="2894" customWidth="1"/>
    <col min="260" max="260" width="7.6640625" style="2894" customWidth="1"/>
    <col min="261" max="261" width="13.88671875" style="2894" customWidth="1"/>
    <col min="262" max="262" width="8.77734375" style="2894" customWidth="1"/>
    <col min="263" max="263" width="0" style="2894" hidden="1" customWidth="1"/>
    <col min="264" max="264" width="12.88671875" style="2894" customWidth="1"/>
    <col min="265" max="265" width="0" style="2894" hidden="1" customWidth="1"/>
    <col min="266" max="266" width="9" style="2894" customWidth="1"/>
    <col min="267" max="267" width="0" style="2894" hidden="1" customWidth="1"/>
    <col min="268" max="268" width="7.6640625" style="2894" customWidth="1"/>
    <col min="269" max="269" width="10.21875" style="2894" customWidth="1"/>
    <col min="270" max="270" width="6.21875" style="2894" customWidth="1"/>
    <col min="271" max="271" width="13" style="2894" customWidth="1"/>
    <col min="272" max="272" width="7.88671875" style="2894" customWidth="1"/>
    <col min="273" max="512" width="9" style="2894"/>
    <col min="513" max="513" width="20.109375" style="2894" customWidth="1"/>
    <col min="514" max="514" width="6.21875" style="2894" customWidth="1"/>
    <col min="515" max="515" width="11.77734375" style="2894" customWidth="1"/>
    <col min="516" max="516" width="7.6640625" style="2894" customWidth="1"/>
    <col min="517" max="517" width="13.88671875" style="2894" customWidth="1"/>
    <col min="518" max="518" width="8.77734375" style="2894" customWidth="1"/>
    <col min="519" max="519" width="0" style="2894" hidden="1" customWidth="1"/>
    <col min="520" max="520" width="12.88671875" style="2894" customWidth="1"/>
    <col min="521" max="521" width="0" style="2894" hidden="1" customWidth="1"/>
    <col min="522" max="522" width="9" style="2894" customWidth="1"/>
    <col min="523" max="523" width="0" style="2894" hidden="1" customWidth="1"/>
    <col min="524" max="524" width="7.6640625" style="2894" customWidth="1"/>
    <col min="525" max="525" width="10.21875" style="2894" customWidth="1"/>
    <col min="526" max="526" width="6.21875" style="2894" customWidth="1"/>
    <col min="527" max="527" width="13" style="2894" customWidth="1"/>
    <col min="528" max="528" width="7.88671875" style="2894" customWidth="1"/>
    <col min="529" max="768" width="9" style="2894"/>
    <col min="769" max="769" width="20.109375" style="2894" customWidth="1"/>
    <col min="770" max="770" width="6.21875" style="2894" customWidth="1"/>
    <col min="771" max="771" width="11.77734375" style="2894" customWidth="1"/>
    <col min="772" max="772" width="7.6640625" style="2894" customWidth="1"/>
    <col min="773" max="773" width="13.88671875" style="2894" customWidth="1"/>
    <col min="774" max="774" width="8.77734375" style="2894" customWidth="1"/>
    <col min="775" max="775" width="0" style="2894" hidden="1" customWidth="1"/>
    <col min="776" max="776" width="12.88671875" style="2894" customWidth="1"/>
    <col min="777" max="777" width="0" style="2894" hidden="1" customWidth="1"/>
    <col min="778" max="778" width="9" style="2894" customWidth="1"/>
    <col min="779" max="779" width="0" style="2894" hidden="1" customWidth="1"/>
    <col min="780" max="780" width="7.6640625" style="2894" customWidth="1"/>
    <col min="781" max="781" width="10.21875" style="2894" customWidth="1"/>
    <col min="782" max="782" width="6.21875" style="2894" customWidth="1"/>
    <col min="783" max="783" width="13" style="2894" customWidth="1"/>
    <col min="784" max="784" width="7.88671875" style="2894" customWidth="1"/>
    <col min="785" max="1024" width="9" style="2894"/>
    <col min="1025" max="1025" width="20.109375" style="2894" customWidth="1"/>
    <col min="1026" max="1026" width="6.21875" style="2894" customWidth="1"/>
    <col min="1027" max="1027" width="11.77734375" style="2894" customWidth="1"/>
    <col min="1028" max="1028" width="7.6640625" style="2894" customWidth="1"/>
    <col min="1029" max="1029" width="13.88671875" style="2894" customWidth="1"/>
    <col min="1030" max="1030" width="8.77734375" style="2894" customWidth="1"/>
    <col min="1031" max="1031" width="0" style="2894" hidden="1" customWidth="1"/>
    <col min="1032" max="1032" width="12.88671875" style="2894" customWidth="1"/>
    <col min="1033" max="1033" width="0" style="2894" hidden="1" customWidth="1"/>
    <col min="1034" max="1034" width="9" style="2894" customWidth="1"/>
    <col min="1035" max="1035" width="0" style="2894" hidden="1" customWidth="1"/>
    <col min="1036" max="1036" width="7.6640625" style="2894" customWidth="1"/>
    <col min="1037" max="1037" width="10.21875" style="2894" customWidth="1"/>
    <col min="1038" max="1038" width="6.21875" style="2894" customWidth="1"/>
    <col min="1039" max="1039" width="13" style="2894" customWidth="1"/>
    <col min="1040" max="1040" width="7.88671875" style="2894" customWidth="1"/>
    <col min="1041" max="1280" width="9" style="2894"/>
    <col min="1281" max="1281" width="20.109375" style="2894" customWidth="1"/>
    <col min="1282" max="1282" width="6.21875" style="2894" customWidth="1"/>
    <col min="1283" max="1283" width="11.77734375" style="2894" customWidth="1"/>
    <col min="1284" max="1284" width="7.6640625" style="2894" customWidth="1"/>
    <col min="1285" max="1285" width="13.88671875" style="2894" customWidth="1"/>
    <col min="1286" max="1286" width="8.77734375" style="2894" customWidth="1"/>
    <col min="1287" max="1287" width="0" style="2894" hidden="1" customWidth="1"/>
    <col min="1288" max="1288" width="12.88671875" style="2894" customWidth="1"/>
    <col min="1289" max="1289" width="0" style="2894" hidden="1" customWidth="1"/>
    <col min="1290" max="1290" width="9" style="2894" customWidth="1"/>
    <col min="1291" max="1291" width="0" style="2894" hidden="1" customWidth="1"/>
    <col min="1292" max="1292" width="7.6640625" style="2894" customWidth="1"/>
    <col min="1293" max="1293" width="10.21875" style="2894" customWidth="1"/>
    <col min="1294" max="1294" width="6.21875" style="2894" customWidth="1"/>
    <col min="1295" max="1295" width="13" style="2894" customWidth="1"/>
    <col min="1296" max="1296" width="7.88671875" style="2894" customWidth="1"/>
    <col min="1297" max="1536" width="9" style="2894"/>
    <col min="1537" max="1537" width="20.109375" style="2894" customWidth="1"/>
    <col min="1538" max="1538" width="6.21875" style="2894" customWidth="1"/>
    <col min="1539" max="1539" width="11.77734375" style="2894" customWidth="1"/>
    <col min="1540" max="1540" width="7.6640625" style="2894" customWidth="1"/>
    <col min="1541" max="1541" width="13.88671875" style="2894" customWidth="1"/>
    <col min="1542" max="1542" width="8.77734375" style="2894" customWidth="1"/>
    <col min="1543" max="1543" width="0" style="2894" hidden="1" customWidth="1"/>
    <col min="1544" max="1544" width="12.88671875" style="2894" customWidth="1"/>
    <col min="1545" max="1545" width="0" style="2894" hidden="1" customWidth="1"/>
    <col min="1546" max="1546" width="9" style="2894" customWidth="1"/>
    <col min="1547" max="1547" width="0" style="2894" hidden="1" customWidth="1"/>
    <col min="1548" max="1548" width="7.6640625" style="2894" customWidth="1"/>
    <col min="1549" max="1549" width="10.21875" style="2894" customWidth="1"/>
    <col min="1550" max="1550" width="6.21875" style="2894" customWidth="1"/>
    <col min="1551" max="1551" width="13" style="2894" customWidth="1"/>
    <col min="1552" max="1552" width="7.88671875" style="2894" customWidth="1"/>
    <col min="1553" max="1792" width="9" style="2894"/>
    <col min="1793" max="1793" width="20.109375" style="2894" customWidth="1"/>
    <col min="1794" max="1794" width="6.21875" style="2894" customWidth="1"/>
    <col min="1795" max="1795" width="11.77734375" style="2894" customWidth="1"/>
    <col min="1796" max="1796" width="7.6640625" style="2894" customWidth="1"/>
    <col min="1797" max="1797" width="13.88671875" style="2894" customWidth="1"/>
    <col min="1798" max="1798" width="8.77734375" style="2894" customWidth="1"/>
    <col min="1799" max="1799" width="0" style="2894" hidden="1" customWidth="1"/>
    <col min="1800" max="1800" width="12.88671875" style="2894" customWidth="1"/>
    <col min="1801" max="1801" width="0" style="2894" hidden="1" customWidth="1"/>
    <col min="1802" max="1802" width="9" style="2894" customWidth="1"/>
    <col min="1803" max="1803" width="0" style="2894" hidden="1" customWidth="1"/>
    <col min="1804" max="1804" width="7.6640625" style="2894" customWidth="1"/>
    <col min="1805" max="1805" width="10.21875" style="2894" customWidth="1"/>
    <col min="1806" max="1806" width="6.21875" style="2894" customWidth="1"/>
    <col min="1807" max="1807" width="13" style="2894" customWidth="1"/>
    <col min="1808" max="1808" width="7.88671875" style="2894" customWidth="1"/>
    <col min="1809" max="2048" width="9" style="2894"/>
    <col min="2049" max="2049" width="20.109375" style="2894" customWidth="1"/>
    <col min="2050" max="2050" width="6.21875" style="2894" customWidth="1"/>
    <col min="2051" max="2051" width="11.77734375" style="2894" customWidth="1"/>
    <col min="2052" max="2052" width="7.6640625" style="2894" customWidth="1"/>
    <col min="2053" max="2053" width="13.88671875" style="2894" customWidth="1"/>
    <col min="2054" max="2054" width="8.77734375" style="2894" customWidth="1"/>
    <col min="2055" max="2055" width="0" style="2894" hidden="1" customWidth="1"/>
    <col min="2056" max="2056" width="12.88671875" style="2894" customWidth="1"/>
    <col min="2057" max="2057" width="0" style="2894" hidden="1" customWidth="1"/>
    <col min="2058" max="2058" width="9" style="2894" customWidth="1"/>
    <col min="2059" max="2059" width="0" style="2894" hidden="1" customWidth="1"/>
    <col min="2060" max="2060" width="7.6640625" style="2894" customWidth="1"/>
    <col min="2061" max="2061" width="10.21875" style="2894" customWidth="1"/>
    <col min="2062" max="2062" width="6.21875" style="2894" customWidth="1"/>
    <col min="2063" max="2063" width="13" style="2894" customWidth="1"/>
    <col min="2064" max="2064" width="7.88671875" style="2894" customWidth="1"/>
    <col min="2065" max="2304" width="9" style="2894"/>
    <col min="2305" max="2305" width="20.109375" style="2894" customWidth="1"/>
    <col min="2306" max="2306" width="6.21875" style="2894" customWidth="1"/>
    <col min="2307" max="2307" width="11.77734375" style="2894" customWidth="1"/>
    <col min="2308" max="2308" width="7.6640625" style="2894" customWidth="1"/>
    <col min="2309" max="2309" width="13.88671875" style="2894" customWidth="1"/>
    <col min="2310" max="2310" width="8.77734375" style="2894" customWidth="1"/>
    <col min="2311" max="2311" width="0" style="2894" hidden="1" customWidth="1"/>
    <col min="2312" max="2312" width="12.88671875" style="2894" customWidth="1"/>
    <col min="2313" max="2313" width="0" style="2894" hidden="1" customWidth="1"/>
    <col min="2314" max="2314" width="9" style="2894" customWidth="1"/>
    <col min="2315" max="2315" width="0" style="2894" hidden="1" customWidth="1"/>
    <col min="2316" max="2316" width="7.6640625" style="2894" customWidth="1"/>
    <col min="2317" max="2317" width="10.21875" style="2894" customWidth="1"/>
    <col min="2318" max="2318" width="6.21875" style="2894" customWidth="1"/>
    <col min="2319" max="2319" width="13" style="2894" customWidth="1"/>
    <col min="2320" max="2320" width="7.88671875" style="2894" customWidth="1"/>
    <col min="2321" max="2560" width="9" style="2894"/>
    <col min="2561" max="2561" width="20.109375" style="2894" customWidth="1"/>
    <col min="2562" max="2562" width="6.21875" style="2894" customWidth="1"/>
    <col min="2563" max="2563" width="11.77734375" style="2894" customWidth="1"/>
    <col min="2564" max="2564" width="7.6640625" style="2894" customWidth="1"/>
    <col min="2565" max="2565" width="13.88671875" style="2894" customWidth="1"/>
    <col min="2566" max="2566" width="8.77734375" style="2894" customWidth="1"/>
    <col min="2567" max="2567" width="0" style="2894" hidden="1" customWidth="1"/>
    <col min="2568" max="2568" width="12.88671875" style="2894" customWidth="1"/>
    <col min="2569" max="2569" width="0" style="2894" hidden="1" customWidth="1"/>
    <col min="2570" max="2570" width="9" style="2894" customWidth="1"/>
    <col min="2571" max="2571" width="0" style="2894" hidden="1" customWidth="1"/>
    <col min="2572" max="2572" width="7.6640625" style="2894" customWidth="1"/>
    <col min="2573" max="2573" width="10.21875" style="2894" customWidth="1"/>
    <col min="2574" max="2574" width="6.21875" style="2894" customWidth="1"/>
    <col min="2575" max="2575" width="13" style="2894" customWidth="1"/>
    <col min="2576" max="2576" width="7.88671875" style="2894" customWidth="1"/>
    <col min="2577" max="2816" width="9" style="2894"/>
    <col min="2817" max="2817" width="20.109375" style="2894" customWidth="1"/>
    <col min="2818" max="2818" width="6.21875" style="2894" customWidth="1"/>
    <col min="2819" max="2819" width="11.77734375" style="2894" customWidth="1"/>
    <col min="2820" max="2820" width="7.6640625" style="2894" customWidth="1"/>
    <col min="2821" max="2821" width="13.88671875" style="2894" customWidth="1"/>
    <col min="2822" max="2822" width="8.77734375" style="2894" customWidth="1"/>
    <col min="2823" max="2823" width="0" style="2894" hidden="1" customWidth="1"/>
    <col min="2824" max="2824" width="12.88671875" style="2894" customWidth="1"/>
    <col min="2825" max="2825" width="0" style="2894" hidden="1" customWidth="1"/>
    <col min="2826" max="2826" width="9" style="2894" customWidth="1"/>
    <col min="2827" max="2827" width="0" style="2894" hidden="1" customWidth="1"/>
    <col min="2828" max="2828" width="7.6640625" style="2894" customWidth="1"/>
    <col min="2829" max="2829" width="10.21875" style="2894" customWidth="1"/>
    <col min="2830" max="2830" width="6.21875" style="2894" customWidth="1"/>
    <col min="2831" max="2831" width="13" style="2894" customWidth="1"/>
    <col min="2832" max="2832" width="7.88671875" style="2894" customWidth="1"/>
    <col min="2833" max="3072" width="9" style="2894"/>
    <col min="3073" max="3073" width="20.109375" style="2894" customWidth="1"/>
    <col min="3074" max="3074" width="6.21875" style="2894" customWidth="1"/>
    <col min="3075" max="3075" width="11.77734375" style="2894" customWidth="1"/>
    <col min="3076" max="3076" width="7.6640625" style="2894" customWidth="1"/>
    <col min="3077" max="3077" width="13.88671875" style="2894" customWidth="1"/>
    <col min="3078" max="3078" width="8.77734375" style="2894" customWidth="1"/>
    <col min="3079" max="3079" width="0" style="2894" hidden="1" customWidth="1"/>
    <col min="3080" max="3080" width="12.88671875" style="2894" customWidth="1"/>
    <col min="3081" max="3081" width="0" style="2894" hidden="1" customWidth="1"/>
    <col min="3082" max="3082" width="9" style="2894" customWidth="1"/>
    <col min="3083" max="3083" width="0" style="2894" hidden="1" customWidth="1"/>
    <col min="3084" max="3084" width="7.6640625" style="2894" customWidth="1"/>
    <col min="3085" max="3085" width="10.21875" style="2894" customWidth="1"/>
    <col min="3086" max="3086" width="6.21875" style="2894" customWidth="1"/>
    <col min="3087" max="3087" width="13" style="2894" customWidth="1"/>
    <col min="3088" max="3088" width="7.88671875" style="2894" customWidth="1"/>
    <col min="3089" max="3328" width="9" style="2894"/>
    <col min="3329" max="3329" width="20.109375" style="2894" customWidth="1"/>
    <col min="3330" max="3330" width="6.21875" style="2894" customWidth="1"/>
    <col min="3331" max="3331" width="11.77734375" style="2894" customWidth="1"/>
    <col min="3332" max="3332" width="7.6640625" style="2894" customWidth="1"/>
    <col min="3333" max="3333" width="13.88671875" style="2894" customWidth="1"/>
    <col min="3334" max="3334" width="8.77734375" style="2894" customWidth="1"/>
    <col min="3335" max="3335" width="0" style="2894" hidden="1" customWidth="1"/>
    <col min="3336" max="3336" width="12.88671875" style="2894" customWidth="1"/>
    <col min="3337" max="3337" width="0" style="2894" hidden="1" customWidth="1"/>
    <col min="3338" max="3338" width="9" style="2894" customWidth="1"/>
    <col min="3339" max="3339" width="0" style="2894" hidden="1" customWidth="1"/>
    <col min="3340" max="3340" width="7.6640625" style="2894" customWidth="1"/>
    <col min="3341" max="3341" width="10.21875" style="2894" customWidth="1"/>
    <col min="3342" max="3342" width="6.21875" style="2894" customWidth="1"/>
    <col min="3343" max="3343" width="13" style="2894" customWidth="1"/>
    <col min="3344" max="3344" width="7.88671875" style="2894" customWidth="1"/>
    <col min="3345" max="3584" width="9" style="2894"/>
    <col min="3585" max="3585" width="20.109375" style="2894" customWidth="1"/>
    <col min="3586" max="3586" width="6.21875" style="2894" customWidth="1"/>
    <col min="3587" max="3587" width="11.77734375" style="2894" customWidth="1"/>
    <col min="3588" max="3588" width="7.6640625" style="2894" customWidth="1"/>
    <col min="3589" max="3589" width="13.88671875" style="2894" customWidth="1"/>
    <col min="3590" max="3590" width="8.77734375" style="2894" customWidth="1"/>
    <col min="3591" max="3591" width="0" style="2894" hidden="1" customWidth="1"/>
    <col min="3592" max="3592" width="12.88671875" style="2894" customWidth="1"/>
    <col min="3593" max="3593" width="0" style="2894" hidden="1" customWidth="1"/>
    <col min="3594" max="3594" width="9" style="2894" customWidth="1"/>
    <col min="3595" max="3595" width="0" style="2894" hidden="1" customWidth="1"/>
    <col min="3596" max="3596" width="7.6640625" style="2894" customWidth="1"/>
    <col min="3597" max="3597" width="10.21875" style="2894" customWidth="1"/>
    <col min="3598" max="3598" width="6.21875" style="2894" customWidth="1"/>
    <col min="3599" max="3599" width="13" style="2894" customWidth="1"/>
    <col min="3600" max="3600" width="7.88671875" style="2894" customWidth="1"/>
    <col min="3601" max="3840" width="9" style="2894"/>
    <col min="3841" max="3841" width="20.109375" style="2894" customWidth="1"/>
    <col min="3842" max="3842" width="6.21875" style="2894" customWidth="1"/>
    <col min="3843" max="3843" width="11.77734375" style="2894" customWidth="1"/>
    <col min="3844" max="3844" width="7.6640625" style="2894" customWidth="1"/>
    <col min="3845" max="3845" width="13.88671875" style="2894" customWidth="1"/>
    <col min="3846" max="3846" width="8.77734375" style="2894" customWidth="1"/>
    <col min="3847" max="3847" width="0" style="2894" hidden="1" customWidth="1"/>
    <col min="3848" max="3848" width="12.88671875" style="2894" customWidth="1"/>
    <col min="3849" max="3849" width="0" style="2894" hidden="1" customWidth="1"/>
    <col min="3850" max="3850" width="9" style="2894" customWidth="1"/>
    <col min="3851" max="3851" width="0" style="2894" hidden="1" customWidth="1"/>
    <col min="3852" max="3852" width="7.6640625" style="2894" customWidth="1"/>
    <col min="3853" max="3853" width="10.21875" style="2894" customWidth="1"/>
    <col min="3854" max="3854" width="6.21875" style="2894" customWidth="1"/>
    <col min="3855" max="3855" width="13" style="2894" customWidth="1"/>
    <col min="3856" max="3856" width="7.88671875" style="2894" customWidth="1"/>
    <col min="3857" max="4096" width="9" style="2894"/>
    <col min="4097" max="4097" width="20.109375" style="2894" customWidth="1"/>
    <col min="4098" max="4098" width="6.21875" style="2894" customWidth="1"/>
    <col min="4099" max="4099" width="11.77734375" style="2894" customWidth="1"/>
    <col min="4100" max="4100" width="7.6640625" style="2894" customWidth="1"/>
    <col min="4101" max="4101" width="13.88671875" style="2894" customWidth="1"/>
    <col min="4102" max="4102" width="8.77734375" style="2894" customWidth="1"/>
    <col min="4103" max="4103" width="0" style="2894" hidden="1" customWidth="1"/>
    <col min="4104" max="4104" width="12.88671875" style="2894" customWidth="1"/>
    <col min="4105" max="4105" width="0" style="2894" hidden="1" customWidth="1"/>
    <col min="4106" max="4106" width="9" style="2894" customWidth="1"/>
    <col min="4107" max="4107" width="0" style="2894" hidden="1" customWidth="1"/>
    <col min="4108" max="4108" width="7.6640625" style="2894" customWidth="1"/>
    <col min="4109" max="4109" width="10.21875" style="2894" customWidth="1"/>
    <col min="4110" max="4110" width="6.21875" style="2894" customWidth="1"/>
    <col min="4111" max="4111" width="13" style="2894" customWidth="1"/>
    <col min="4112" max="4112" width="7.88671875" style="2894" customWidth="1"/>
    <col min="4113" max="4352" width="9" style="2894"/>
    <col min="4353" max="4353" width="20.109375" style="2894" customWidth="1"/>
    <col min="4354" max="4354" width="6.21875" style="2894" customWidth="1"/>
    <col min="4355" max="4355" width="11.77734375" style="2894" customWidth="1"/>
    <col min="4356" max="4356" width="7.6640625" style="2894" customWidth="1"/>
    <col min="4357" max="4357" width="13.88671875" style="2894" customWidth="1"/>
    <col min="4358" max="4358" width="8.77734375" style="2894" customWidth="1"/>
    <col min="4359" max="4359" width="0" style="2894" hidden="1" customWidth="1"/>
    <col min="4360" max="4360" width="12.88671875" style="2894" customWidth="1"/>
    <col min="4361" max="4361" width="0" style="2894" hidden="1" customWidth="1"/>
    <col min="4362" max="4362" width="9" style="2894" customWidth="1"/>
    <col min="4363" max="4363" width="0" style="2894" hidden="1" customWidth="1"/>
    <col min="4364" max="4364" width="7.6640625" style="2894" customWidth="1"/>
    <col min="4365" max="4365" width="10.21875" style="2894" customWidth="1"/>
    <col min="4366" max="4366" width="6.21875" style="2894" customWidth="1"/>
    <col min="4367" max="4367" width="13" style="2894" customWidth="1"/>
    <col min="4368" max="4368" width="7.88671875" style="2894" customWidth="1"/>
    <col min="4369" max="4608" width="9" style="2894"/>
    <col min="4609" max="4609" width="20.109375" style="2894" customWidth="1"/>
    <col min="4610" max="4610" width="6.21875" style="2894" customWidth="1"/>
    <col min="4611" max="4611" width="11.77734375" style="2894" customWidth="1"/>
    <col min="4612" max="4612" width="7.6640625" style="2894" customWidth="1"/>
    <col min="4613" max="4613" width="13.88671875" style="2894" customWidth="1"/>
    <col min="4614" max="4614" width="8.77734375" style="2894" customWidth="1"/>
    <col min="4615" max="4615" width="0" style="2894" hidden="1" customWidth="1"/>
    <col min="4616" max="4616" width="12.88671875" style="2894" customWidth="1"/>
    <col min="4617" max="4617" width="0" style="2894" hidden="1" customWidth="1"/>
    <col min="4618" max="4618" width="9" style="2894" customWidth="1"/>
    <col min="4619" max="4619" width="0" style="2894" hidden="1" customWidth="1"/>
    <col min="4620" max="4620" width="7.6640625" style="2894" customWidth="1"/>
    <col min="4621" max="4621" width="10.21875" style="2894" customWidth="1"/>
    <col min="4622" max="4622" width="6.21875" style="2894" customWidth="1"/>
    <col min="4623" max="4623" width="13" style="2894" customWidth="1"/>
    <col min="4624" max="4624" width="7.88671875" style="2894" customWidth="1"/>
    <col min="4625" max="4864" width="9" style="2894"/>
    <col min="4865" max="4865" width="20.109375" style="2894" customWidth="1"/>
    <col min="4866" max="4866" width="6.21875" style="2894" customWidth="1"/>
    <col min="4867" max="4867" width="11.77734375" style="2894" customWidth="1"/>
    <col min="4868" max="4868" width="7.6640625" style="2894" customWidth="1"/>
    <col min="4869" max="4869" width="13.88671875" style="2894" customWidth="1"/>
    <col min="4870" max="4870" width="8.77734375" style="2894" customWidth="1"/>
    <col min="4871" max="4871" width="0" style="2894" hidden="1" customWidth="1"/>
    <col min="4872" max="4872" width="12.88671875" style="2894" customWidth="1"/>
    <col min="4873" max="4873" width="0" style="2894" hidden="1" customWidth="1"/>
    <col min="4874" max="4874" width="9" style="2894" customWidth="1"/>
    <col min="4875" max="4875" width="0" style="2894" hidden="1" customWidth="1"/>
    <col min="4876" max="4876" width="7.6640625" style="2894" customWidth="1"/>
    <col min="4877" max="4877" width="10.21875" style="2894" customWidth="1"/>
    <col min="4878" max="4878" width="6.21875" style="2894" customWidth="1"/>
    <col min="4879" max="4879" width="13" style="2894" customWidth="1"/>
    <col min="4880" max="4880" width="7.88671875" style="2894" customWidth="1"/>
    <col min="4881" max="5120" width="9" style="2894"/>
    <col min="5121" max="5121" width="20.109375" style="2894" customWidth="1"/>
    <col min="5122" max="5122" width="6.21875" style="2894" customWidth="1"/>
    <col min="5123" max="5123" width="11.77734375" style="2894" customWidth="1"/>
    <col min="5124" max="5124" width="7.6640625" style="2894" customWidth="1"/>
    <col min="5125" max="5125" width="13.88671875" style="2894" customWidth="1"/>
    <col min="5126" max="5126" width="8.77734375" style="2894" customWidth="1"/>
    <col min="5127" max="5127" width="0" style="2894" hidden="1" customWidth="1"/>
    <col min="5128" max="5128" width="12.88671875" style="2894" customWidth="1"/>
    <col min="5129" max="5129" width="0" style="2894" hidden="1" customWidth="1"/>
    <col min="5130" max="5130" width="9" style="2894" customWidth="1"/>
    <col min="5131" max="5131" width="0" style="2894" hidden="1" customWidth="1"/>
    <col min="5132" max="5132" width="7.6640625" style="2894" customWidth="1"/>
    <col min="5133" max="5133" width="10.21875" style="2894" customWidth="1"/>
    <col min="5134" max="5134" width="6.21875" style="2894" customWidth="1"/>
    <col min="5135" max="5135" width="13" style="2894" customWidth="1"/>
    <col min="5136" max="5136" width="7.88671875" style="2894" customWidth="1"/>
    <col min="5137" max="5376" width="9" style="2894"/>
    <col min="5377" max="5377" width="20.109375" style="2894" customWidth="1"/>
    <col min="5378" max="5378" width="6.21875" style="2894" customWidth="1"/>
    <col min="5379" max="5379" width="11.77734375" style="2894" customWidth="1"/>
    <col min="5380" max="5380" width="7.6640625" style="2894" customWidth="1"/>
    <col min="5381" max="5381" width="13.88671875" style="2894" customWidth="1"/>
    <col min="5382" max="5382" width="8.77734375" style="2894" customWidth="1"/>
    <col min="5383" max="5383" width="0" style="2894" hidden="1" customWidth="1"/>
    <col min="5384" max="5384" width="12.88671875" style="2894" customWidth="1"/>
    <col min="5385" max="5385" width="0" style="2894" hidden="1" customWidth="1"/>
    <col min="5386" max="5386" width="9" style="2894" customWidth="1"/>
    <col min="5387" max="5387" width="0" style="2894" hidden="1" customWidth="1"/>
    <col min="5388" max="5388" width="7.6640625" style="2894" customWidth="1"/>
    <col min="5389" max="5389" width="10.21875" style="2894" customWidth="1"/>
    <col min="5390" max="5390" width="6.21875" style="2894" customWidth="1"/>
    <col min="5391" max="5391" width="13" style="2894" customWidth="1"/>
    <col min="5392" max="5392" width="7.88671875" style="2894" customWidth="1"/>
    <col min="5393" max="5632" width="9" style="2894"/>
    <col min="5633" max="5633" width="20.109375" style="2894" customWidth="1"/>
    <col min="5634" max="5634" width="6.21875" style="2894" customWidth="1"/>
    <col min="5635" max="5635" width="11.77734375" style="2894" customWidth="1"/>
    <col min="5636" max="5636" width="7.6640625" style="2894" customWidth="1"/>
    <col min="5637" max="5637" width="13.88671875" style="2894" customWidth="1"/>
    <col min="5638" max="5638" width="8.77734375" style="2894" customWidth="1"/>
    <col min="5639" max="5639" width="0" style="2894" hidden="1" customWidth="1"/>
    <col min="5640" max="5640" width="12.88671875" style="2894" customWidth="1"/>
    <col min="5641" max="5641" width="0" style="2894" hidden="1" customWidth="1"/>
    <col min="5642" max="5642" width="9" style="2894" customWidth="1"/>
    <col min="5643" max="5643" width="0" style="2894" hidden="1" customWidth="1"/>
    <col min="5644" max="5644" width="7.6640625" style="2894" customWidth="1"/>
    <col min="5645" max="5645" width="10.21875" style="2894" customWidth="1"/>
    <col min="5646" max="5646" width="6.21875" style="2894" customWidth="1"/>
    <col min="5647" max="5647" width="13" style="2894" customWidth="1"/>
    <col min="5648" max="5648" width="7.88671875" style="2894" customWidth="1"/>
    <col min="5649" max="5888" width="9" style="2894"/>
    <col min="5889" max="5889" width="20.109375" style="2894" customWidth="1"/>
    <col min="5890" max="5890" width="6.21875" style="2894" customWidth="1"/>
    <col min="5891" max="5891" width="11.77734375" style="2894" customWidth="1"/>
    <col min="5892" max="5892" width="7.6640625" style="2894" customWidth="1"/>
    <col min="5893" max="5893" width="13.88671875" style="2894" customWidth="1"/>
    <col min="5894" max="5894" width="8.77734375" style="2894" customWidth="1"/>
    <col min="5895" max="5895" width="0" style="2894" hidden="1" customWidth="1"/>
    <col min="5896" max="5896" width="12.88671875" style="2894" customWidth="1"/>
    <col min="5897" max="5897" width="0" style="2894" hidden="1" customWidth="1"/>
    <col min="5898" max="5898" width="9" style="2894" customWidth="1"/>
    <col min="5899" max="5899" width="0" style="2894" hidden="1" customWidth="1"/>
    <col min="5900" max="5900" width="7.6640625" style="2894" customWidth="1"/>
    <col min="5901" max="5901" width="10.21875" style="2894" customWidth="1"/>
    <col min="5902" max="5902" width="6.21875" style="2894" customWidth="1"/>
    <col min="5903" max="5903" width="13" style="2894" customWidth="1"/>
    <col min="5904" max="5904" width="7.88671875" style="2894" customWidth="1"/>
    <col min="5905" max="6144" width="9" style="2894"/>
    <col min="6145" max="6145" width="20.109375" style="2894" customWidth="1"/>
    <col min="6146" max="6146" width="6.21875" style="2894" customWidth="1"/>
    <col min="6147" max="6147" width="11.77734375" style="2894" customWidth="1"/>
    <col min="6148" max="6148" width="7.6640625" style="2894" customWidth="1"/>
    <col min="6149" max="6149" width="13.88671875" style="2894" customWidth="1"/>
    <col min="6150" max="6150" width="8.77734375" style="2894" customWidth="1"/>
    <col min="6151" max="6151" width="0" style="2894" hidden="1" customWidth="1"/>
    <col min="6152" max="6152" width="12.88671875" style="2894" customWidth="1"/>
    <col min="6153" max="6153" width="0" style="2894" hidden="1" customWidth="1"/>
    <col min="6154" max="6154" width="9" style="2894" customWidth="1"/>
    <col min="6155" max="6155" width="0" style="2894" hidden="1" customWidth="1"/>
    <col min="6156" max="6156" width="7.6640625" style="2894" customWidth="1"/>
    <col min="6157" max="6157" width="10.21875" style="2894" customWidth="1"/>
    <col min="6158" max="6158" width="6.21875" style="2894" customWidth="1"/>
    <col min="6159" max="6159" width="13" style="2894" customWidth="1"/>
    <col min="6160" max="6160" width="7.88671875" style="2894" customWidth="1"/>
    <col min="6161" max="6400" width="9" style="2894"/>
    <col min="6401" max="6401" width="20.109375" style="2894" customWidth="1"/>
    <col min="6402" max="6402" width="6.21875" style="2894" customWidth="1"/>
    <col min="6403" max="6403" width="11.77734375" style="2894" customWidth="1"/>
    <col min="6404" max="6404" width="7.6640625" style="2894" customWidth="1"/>
    <col min="6405" max="6405" width="13.88671875" style="2894" customWidth="1"/>
    <col min="6406" max="6406" width="8.77734375" style="2894" customWidth="1"/>
    <col min="6407" max="6407" width="0" style="2894" hidden="1" customWidth="1"/>
    <col min="6408" max="6408" width="12.88671875" style="2894" customWidth="1"/>
    <col min="6409" max="6409" width="0" style="2894" hidden="1" customWidth="1"/>
    <col min="6410" max="6410" width="9" style="2894" customWidth="1"/>
    <col min="6411" max="6411" width="0" style="2894" hidden="1" customWidth="1"/>
    <col min="6412" max="6412" width="7.6640625" style="2894" customWidth="1"/>
    <col min="6413" max="6413" width="10.21875" style="2894" customWidth="1"/>
    <col min="6414" max="6414" width="6.21875" style="2894" customWidth="1"/>
    <col min="6415" max="6415" width="13" style="2894" customWidth="1"/>
    <col min="6416" max="6416" width="7.88671875" style="2894" customWidth="1"/>
    <col min="6417" max="6656" width="9" style="2894"/>
    <col min="6657" max="6657" width="20.109375" style="2894" customWidth="1"/>
    <col min="6658" max="6658" width="6.21875" style="2894" customWidth="1"/>
    <col min="6659" max="6659" width="11.77734375" style="2894" customWidth="1"/>
    <col min="6660" max="6660" width="7.6640625" style="2894" customWidth="1"/>
    <col min="6661" max="6661" width="13.88671875" style="2894" customWidth="1"/>
    <col min="6662" max="6662" width="8.77734375" style="2894" customWidth="1"/>
    <col min="6663" max="6663" width="0" style="2894" hidden="1" customWidth="1"/>
    <col min="6664" max="6664" width="12.88671875" style="2894" customWidth="1"/>
    <col min="6665" max="6665" width="0" style="2894" hidden="1" customWidth="1"/>
    <col min="6666" max="6666" width="9" style="2894" customWidth="1"/>
    <col min="6667" max="6667" width="0" style="2894" hidden="1" customWidth="1"/>
    <col min="6668" max="6668" width="7.6640625" style="2894" customWidth="1"/>
    <col min="6669" max="6669" width="10.21875" style="2894" customWidth="1"/>
    <col min="6670" max="6670" width="6.21875" style="2894" customWidth="1"/>
    <col min="6671" max="6671" width="13" style="2894" customWidth="1"/>
    <col min="6672" max="6672" width="7.88671875" style="2894" customWidth="1"/>
    <col min="6673" max="6912" width="9" style="2894"/>
    <col min="6913" max="6913" width="20.109375" style="2894" customWidth="1"/>
    <col min="6914" max="6914" width="6.21875" style="2894" customWidth="1"/>
    <col min="6915" max="6915" width="11.77734375" style="2894" customWidth="1"/>
    <col min="6916" max="6916" width="7.6640625" style="2894" customWidth="1"/>
    <col min="6917" max="6917" width="13.88671875" style="2894" customWidth="1"/>
    <col min="6918" max="6918" width="8.77734375" style="2894" customWidth="1"/>
    <col min="6919" max="6919" width="0" style="2894" hidden="1" customWidth="1"/>
    <col min="6920" max="6920" width="12.88671875" style="2894" customWidth="1"/>
    <col min="6921" max="6921" width="0" style="2894" hidden="1" customWidth="1"/>
    <col min="6922" max="6922" width="9" style="2894" customWidth="1"/>
    <col min="6923" max="6923" width="0" style="2894" hidden="1" customWidth="1"/>
    <col min="6924" max="6924" width="7.6640625" style="2894" customWidth="1"/>
    <col min="6925" max="6925" width="10.21875" style="2894" customWidth="1"/>
    <col min="6926" max="6926" width="6.21875" style="2894" customWidth="1"/>
    <col min="6927" max="6927" width="13" style="2894" customWidth="1"/>
    <col min="6928" max="6928" width="7.88671875" style="2894" customWidth="1"/>
    <col min="6929" max="7168" width="9" style="2894"/>
    <col min="7169" max="7169" width="20.109375" style="2894" customWidth="1"/>
    <col min="7170" max="7170" width="6.21875" style="2894" customWidth="1"/>
    <col min="7171" max="7171" width="11.77734375" style="2894" customWidth="1"/>
    <col min="7172" max="7172" width="7.6640625" style="2894" customWidth="1"/>
    <col min="7173" max="7173" width="13.88671875" style="2894" customWidth="1"/>
    <col min="7174" max="7174" width="8.77734375" style="2894" customWidth="1"/>
    <col min="7175" max="7175" width="0" style="2894" hidden="1" customWidth="1"/>
    <col min="7176" max="7176" width="12.88671875" style="2894" customWidth="1"/>
    <col min="7177" max="7177" width="0" style="2894" hidden="1" customWidth="1"/>
    <col min="7178" max="7178" width="9" style="2894" customWidth="1"/>
    <col min="7179" max="7179" width="0" style="2894" hidden="1" customWidth="1"/>
    <col min="7180" max="7180" width="7.6640625" style="2894" customWidth="1"/>
    <col min="7181" max="7181" width="10.21875" style="2894" customWidth="1"/>
    <col min="7182" max="7182" width="6.21875" style="2894" customWidth="1"/>
    <col min="7183" max="7183" width="13" style="2894" customWidth="1"/>
    <col min="7184" max="7184" width="7.88671875" style="2894" customWidth="1"/>
    <col min="7185" max="7424" width="9" style="2894"/>
    <col min="7425" max="7425" width="20.109375" style="2894" customWidth="1"/>
    <col min="7426" max="7426" width="6.21875" style="2894" customWidth="1"/>
    <col min="7427" max="7427" width="11.77734375" style="2894" customWidth="1"/>
    <col min="7428" max="7428" width="7.6640625" style="2894" customWidth="1"/>
    <col min="7429" max="7429" width="13.88671875" style="2894" customWidth="1"/>
    <col min="7430" max="7430" width="8.77734375" style="2894" customWidth="1"/>
    <col min="7431" max="7431" width="0" style="2894" hidden="1" customWidth="1"/>
    <col min="7432" max="7432" width="12.88671875" style="2894" customWidth="1"/>
    <col min="7433" max="7433" width="0" style="2894" hidden="1" customWidth="1"/>
    <col min="7434" max="7434" width="9" style="2894" customWidth="1"/>
    <col min="7435" max="7435" width="0" style="2894" hidden="1" customWidth="1"/>
    <col min="7436" max="7436" width="7.6640625" style="2894" customWidth="1"/>
    <col min="7437" max="7437" width="10.21875" style="2894" customWidth="1"/>
    <col min="7438" max="7438" width="6.21875" style="2894" customWidth="1"/>
    <col min="7439" max="7439" width="13" style="2894" customWidth="1"/>
    <col min="7440" max="7440" width="7.88671875" style="2894" customWidth="1"/>
    <col min="7441" max="7680" width="9" style="2894"/>
    <col min="7681" max="7681" width="20.109375" style="2894" customWidth="1"/>
    <col min="7682" max="7682" width="6.21875" style="2894" customWidth="1"/>
    <col min="7683" max="7683" width="11.77734375" style="2894" customWidth="1"/>
    <col min="7684" max="7684" width="7.6640625" style="2894" customWidth="1"/>
    <col min="7685" max="7685" width="13.88671875" style="2894" customWidth="1"/>
    <col min="7686" max="7686" width="8.77734375" style="2894" customWidth="1"/>
    <col min="7687" max="7687" width="0" style="2894" hidden="1" customWidth="1"/>
    <col min="7688" max="7688" width="12.88671875" style="2894" customWidth="1"/>
    <col min="7689" max="7689" width="0" style="2894" hidden="1" customWidth="1"/>
    <col min="7690" max="7690" width="9" style="2894" customWidth="1"/>
    <col min="7691" max="7691" width="0" style="2894" hidden="1" customWidth="1"/>
    <col min="7692" max="7692" width="7.6640625" style="2894" customWidth="1"/>
    <col min="7693" max="7693" width="10.21875" style="2894" customWidth="1"/>
    <col min="7694" max="7694" width="6.21875" style="2894" customWidth="1"/>
    <col min="7695" max="7695" width="13" style="2894" customWidth="1"/>
    <col min="7696" max="7696" width="7.88671875" style="2894" customWidth="1"/>
    <col min="7697" max="7936" width="9" style="2894"/>
    <col min="7937" max="7937" width="20.109375" style="2894" customWidth="1"/>
    <col min="7938" max="7938" width="6.21875" style="2894" customWidth="1"/>
    <col min="7939" max="7939" width="11.77734375" style="2894" customWidth="1"/>
    <col min="7940" max="7940" width="7.6640625" style="2894" customWidth="1"/>
    <col min="7941" max="7941" width="13.88671875" style="2894" customWidth="1"/>
    <col min="7942" max="7942" width="8.77734375" style="2894" customWidth="1"/>
    <col min="7943" max="7943" width="0" style="2894" hidden="1" customWidth="1"/>
    <col min="7944" max="7944" width="12.88671875" style="2894" customWidth="1"/>
    <col min="7945" max="7945" width="0" style="2894" hidden="1" customWidth="1"/>
    <col min="7946" max="7946" width="9" style="2894" customWidth="1"/>
    <col min="7947" max="7947" width="0" style="2894" hidden="1" customWidth="1"/>
    <col min="7948" max="7948" width="7.6640625" style="2894" customWidth="1"/>
    <col min="7949" max="7949" width="10.21875" style="2894" customWidth="1"/>
    <col min="7950" max="7950" width="6.21875" style="2894" customWidth="1"/>
    <col min="7951" max="7951" width="13" style="2894" customWidth="1"/>
    <col min="7952" max="7952" width="7.88671875" style="2894" customWidth="1"/>
    <col min="7953" max="8192" width="9" style="2894"/>
    <col min="8193" max="8193" width="20.109375" style="2894" customWidth="1"/>
    <col min="8194" max="8194" width="6.21875" style="2894" customWidth="1"/>
    <col min="8195" max="8195" width="11.77734375" style="2894" customWidth="1"/>
    <col min="8196" max="8196" width="7.6640625" style="2894" customWidth="1"/>
    <col min="8197" max="8197" width="13.88671875" style="2894" customWidth="1"/>
    <col min="8198" max="8198" width="8.77734375" style="2894" customWidth="1"/>
    <col min="8199" max="8199" width="0" style="2894" hidden="1" customWidth="1"/>
    <col min="8200" max="8200" width="12.88671875" style="2894" customWidth="1"/>
    <col min="8201" max="8201" width="0" style="2894" hidden="1" customWidth="1"/>
    <col min="8202" max="8202" width="9" style="2894" customWidth="1"/>
    <col min="8203" max="8203" width="0" style="2894" hidden="1" customWidth="1"/>
    <col min="8204" max="8204" width="7.6640625" style="2894" customWidth="1"/>
    <col min="8205" max="8205" width="10.21875" style="2894" customWidth="1"/>
    <col min="8206" max="8206" width="6.21875" style="2894" customWidth="1"/>
    <col min="8207" max="8207" width="13" style="2894" customWidth="1"/>
    <col min="8208" max="8208" width="7.88671875" style="2894" customWidth="1"/>
    <col min="8209" max="8448" width="9" style="2894"/>
    <col min="8449" max="8449" width="20.109375" style="2894" customWidth="1"/>
    <col min="8450" max="8450" width="6.21875" style="2894" customWidth="1"/>
    <col min="8451" max="8451" width="11.77734375" style="2894" customWidth="1"/>
    <col min="8452" max="8452" width="7.6640625" style="2894" customWidth="1"/>
    <col min="8453" max="8453" width="13.88671875" style="2894" customWidth="1"/>
    <col min="8454" max="8454" width="8.77734375" style="2894" customWidth="1"/>
    <col min="8455" max="8455" width="0" style="2894" hidden="1" customWidth="1"/>
    <col min="8456" max="8456" width="12.88671875" style="2894" customWidth="1"/>
    <col min="8457" max="8457" width="0" style="2894" hidden="1" customWidth="1"/>
    <col min="8458" max="8458" width="9" style="2894" customWidth="1"/>
    <col min="8459" max="8459" width="0" style="2894" hidden="1" customWidth="1"/>
    <col min="8460" max="8460" width="7.6640625" style="2894" customWidth="1"/>
    <col min="8461" max="8461" width="10.21875" style="2894" customWidth="1"/>
    <col min="8462" max="8462" width="6.21875" style="2894" customWidth="1"/>
    <col min="8463" max="8463" width="13" style="2894" customWidth="1"/>
    <col min="8464" max="8464" width="7.88671875" style="2894" customWidth="1"/>
    <col min="8465" max="8704" width="9" style="2894"/>
    <col min="8705" max="8705" width="20.109375" style="2894" customWidth="1"/>
    <col min="8706" max="8706" width="6.21875" style="2894" customWidth="1"/>
    <col min="8707" max="8707" width="11.77734375" style="2894" customWidth="1"/>
    <col min="8708" max="8708" width="7.6640625" style="2894" customWidth="1"/>
    <col min="8709" max="8709" width="13.88671875" style="2894" customWidth="1"/>
    <col min="8710" max="8710" width="8.77734375" style="2894" customWidth="1"/>
    <col min="8711" max="8711" width="0" style="2894" hidden="1" customWidth="1"/>
    <col min="8712" max="8712" width="12.88671875" style="2894" customWidth="1"/>
    <col min="8713" max="8713" width="0" style="2894" hidden="1" customWidth="1"/>
    <col min="8714" max="8714" width="9" style="2894" customWidth="1"/>
    <col min="8715" max="8715" width="0" style="2894" hidden="1" customWidth="1"/>
    <col min="8716" max="8716" width="7.6640625" style="2894" customWidth="1"/>
    <col min="8717" max="8717" width="10.21875" style="2894" customWidth="1"/>
    <col min="8718" max="8718" width="6.21875" style="2894" customWidth="1"/>
    <col min="8719" max="8719" width="13" style="2894" customWidth="1"/>
    <col min="8720" max="8720" width="7.88671875" style="2894" customWidth="1"/>
    <col min="8721" max="8960" width="9" style="2894"/>
    <col min="8961" max="8961" width="20.109375" style="2894" customWidth="1"/>
    <col min="8962" max="8962" width="6.21875" style="2894" customWidth="1"/>
    <col min="8963" max="8963" width="11.77734375" style="2894" customWidth="1"/>
    <col min="8964" max="8964" width="7.6640625" style="2894" customWidth="1"/>
    <col min="8965" max="8965" width="13.88671875" style="2894" customWidth="1"/>
    <col min="8966" max="8966" width="8.77734375" style="2894" customWidth="1"/>
    <col min="8967" max="8967" width="0" style="2894" hidden="1" customWidth="1"/>
    <col min="8968" max="8968" width="12.88671875" style="2894" customWidth="1"/>
    <col min="8969" max="8969" width="0" style="2894" hidden="1" customWidth="1"/>
    <col min="8970" max="8970" width="9" style="2894" customWidth="1"/>
    <col min="8971" max="8971" width="0" style="2894" hidden="1" customWidth="1"/>
    <col min="8972" max="8972" width="7.6640625" style="2894" customWidth="1"/>
    <col min="8973" max="8973" width="10.21875" style="2894" customWidth="1"/>
    <col min="8974" max="8974" width="6.21875" style="2894" customWidth="1"/>
    <col min="8975" max="8975" width="13" style="2894" customWidth="1"/>
    <col min="8976" max="8976" width="7.88671875" style="2894" customWidth="1"/>
    <col min="8977" max="9216" width="9" style="2894"/>
    <col min="9217" max="9217" width="20.109375" style="2894" customWidth="1"/>
    <col min="9218" max="9218" width="6.21875" style="2894" customWidth="1"/>
    <col min="9219" max="9219" width="11.77734375" style="2894" customWidth="1"/>
    <col min="9220" max="9220" width="7.6640625" style="2894" customWidth="1"/>
    <col min="9221" max="9221" width="13.88671875" style="2894" customWidth="1"/>
    <col min="9222" max="9222" width="8.77734375" style="2894" customWidth="1"/>
    <col min="9223" max="9223" width="0" style="2894" hidden="1" customWidth="1"/>
    <col min="9224" max="9224" width="12.88671875" style="2894" customWidth="1"/>
    <col min="9225" max="9225" width="0" style="2894" hidden="1" customWidth="1"/>
    <col min="9226" max="9226" width="9" style="2894" customWidth="1"/>
    <col min="9227" max="9227" width="0" style="2894" hidden="1" customWidth="1"/>
    <col min="9228" max="9228" width="7.6640625" style="2894" customWidth="1"/>
    <col min="9229" max="9229" width="10.21875" style="2894" customWidth="1"/>
    <col min="9230" max="9230" width="6.21875" style="2894" customWidth="1"/>
    <col min="9231" max="9231" width="13" style="2894" customWidth="1"/>
    <col min="9232" max="9232" width="7.88671875" style="2894" customWidth="1"/>
    <col min="9233" max="9472" width="9" style="2894"/>
    <col min="9473" max="9473" width="20.109375" style="2894" customWidth="1"/>
    <col min="9474" max="9474" width="6.21875" style="2894" customWidth="1"/>
    <col min="9475" max="9475" width="11.77734375" style="2894" customWidth="1"/>
    <col min="9476" max="9476" width="7.6640625" style="2894" customWidth="1"/>
    <col min="9477" max="9477" width="13.88671875" style="2894" customWidth="1"/>
    <col min="9478" max="9478" width="8.77734375" style="2894" customWidth="1"/>
    <col min="9479" max="9479" width="0" style="2894" hidden="1" customWidth="1"/>
    <col min="9480" max="9480" width="12.88671875" style="2894" customWidth="1"/>
    <col min="9481" max="9481" width="0" style="2894" hidden="1" customWidth="1"/>
    <col min="9482" max="9482" width="9" style="2894" customWidth="1"/>
    <col min="9483" max="9483" width="0" style="2894" hidden="1" customWidth="1"/>
    <col min="9484" max="9484" width="7.6640625" style="2894" customWidth="1"/>
    <col min="9485" max="9485" width="10.21875" style="2894" customWidth="1"/>
    <col min="9486" max="9486" width="6.21875" style="2894" customWidth="1"/>
    <col min="9487" max="9487" width="13" style="2894" customWidth="1"/>
    <col min="9488" max="9488" width="7.88671875" style="2894" customWidth="1"/>
    <col min="9489" max="9728" width="9" style="2894"/>
    <col min="9729" max="9729" width="20.109375" style="2894" customWidth="1"/>
    <col min="9730" max="9730" width="6.21875" style="2894" customWidth="1"/>
    <col min="9731" max="9731" width="11.77734375" style="2894" customWidth="1"/>
    <col min="9732" max="9732" width="7.6640625" style="2894" customWidth="1"/>
    <col min="9733" max="9733" width="13.88671875" style="2894" customWidth="1"/>
    <col min="9734" max="9734" width="8.77734375" style="2894" customWidth="1"/>
    <col min="9735" max="9735" width="0" style="2894" hidden="1" customWidth="1"/>
    <col min="9736" max="9736" width="12.88671875" style="2894" customWidth="1"/>
    <col min="9737" max="9737" width="0" style="2894" hidden="1" customWidth="1"/>
    <col min="9738" max="9738" width="9" style="2894" customWidth="1"/>
    <col min="9739" max="9739" width="0" style="2894" hidden="1" customWidth="1"/>
    <col min="9740" max="9740" width="7.6640625" style="2894" customWidth="1"/>
    <col min="9741" max="9741" width="10.21875" style="2894" customWidth="1"/>
    <col min="9742" max="9742" width="6.21875" style="2894" customWidth="1"/>
    <col min="9743" max="9743" width="13" style="2894" customWidth="1"/>
    <col min="9744" max="9744" width="7.88671875" style="2894" customWidth="1"/>
    <col min="9745" max="9984" width="9" style="2894"/>
    <col min="9985" max="9985" width="20.109375" style="2894" customWidth="1"/>
    <col min="9986" max="9986" width="6.21875" style="2894" customWidth="1"/>
    <col min="9987" max="9987" width="11.77734375" style="2894" customWidth="1"/>
    <col min="9988" max="9988" width="7.6640625" style="2894" customWidth="1"/>
    <col min="9989" max="9989" width="13.88671875" style="2894" customWidth="1"/>
    <col min="9990" max="9990" width="8.77734375" style="2894" customWidth="1"/>
    <col min="9991" max="9991" width="0" style="2894" hidden="1" customWidth="1"/>
    <col min="9992" max="9992" width="12.88671875" style="2894" customWidth="1"/>
    <col min="9993" max="9993" width="0" style="2894" hidden="1" customWidth="1"/>
    <col min="9994" max="9994" width="9" style="2894" customWidth="1"/>
    <col min="9995" max="9995" width="0" style="2894" hidden="1" customWidth="1"/>
    <col min="9996" max="9996" width="7.6640625" style="2894" customWidth="1"/>
    <col min="9997" max="9997" width="10.21875" style="2894" customWidth="1"/>
    <col min="9998" max="9998" width="6.21875" style="2894" customWidth="1"/>
    <col min="9999" max="9999" width="13" style="2894" customWidth="1"/>
    <col min="10000" max="10000" width="7.88671875" style="2894" customWidth="1"/>
    <col min="10001" max="10240" width="9" style="2894"/>
    <col min="10241" max="10241" width="20.109375" style="2894" customWidth="1"/>
    <col min="10242" max="10242" width="6.21875" style="2894" customWidth="1"/>
    <col min="10243" max="10243" width="11.77734375" style="2894" customWidth="1"/>
    <col min="10244" max="10244" width="7.6640625" style="2894" customWidth="1"/>
    <col min="10245" max="10245" width="13.88671875" style="2894" customWidth="1"/>
    <col min="10246" max="10246" width="8.77734375" style="2894" customWidth="1"/>
    <col min="10247" max="10247" width="0" style="2894" hidden="1" customWidth="1"/>
    <col min="10248" max="10248" width="12.88671875" style="2894" customWidth="1"/>
    <col min="10249" max="10249" width="0" style="2894" hidden="1" customWidth="1"/>
    <col min="10250" max="10250" width="9" style="2894" customWidth="1"/>
    <col min="10251" max="10251" width="0" style="2894" hidden="1" customWidth="1"/>
    <col min="10252" max="10252" width="7.6640625" style="2894" customWidth="1"/>
    <col min="10253" max="10253" width="10.21875" style="2894" customWidth="1"/>
    <col min="10254" max="10254" width="6.21875" style="2894" customWidth="1"/>
    <col min="10255" max="10255" width="13" style="2894" customWidth="1"/>
    <col min="10256" max="10256" width="7.88671875" style="2894" customWidth="1"/>
    <col min="10257" max="10496" width="9" style="2894"/>
    <col min="10497" max="10497" width="20.109375" style="2894" customWidth="1"/>
    <col min="10498" max="10498" width="6.21875" style="2894" customWidth="1"/>
    <col min="10499" max="10499" width="11.77734375" style="2894" customWidth="1"/>
    <col min="10500" max="10500" width="7.6640625" style="2894" customWidth="1"/>
    <col min="10501" max="10501" width="13.88671875" style="2894" customWidth="1"/>
    <col min="10502" max="10502" width="8.77734375" style="2894" customWidth="1"/>
    <col min="10503" max="10503" width="0" style="2894" hidden="1" customWidth="1"/>
    <col min="10504" max="10504" width="12.88671875" style="2894" customWidth="1"/>
    <col min="10505" max="10505" width="0" style="2894" hidden="1" customWidth="1"/>
    <col min="10506" max="10506" width="9" style="2894" customWidth="1"/>
    <col min="10507" max="10507" width="0" style="2894" hidden="1" customWidth="1"/>
    <col min="10508" max="10508" width="7.6640625" style="2894" customWidth="1"/>
    <col min="10509" max="10509" width="10.21875" style="2894" customWidth="1"/>
    <col min="10510" max="10510" width="6.21875" style="2894" customWidth="1"/>
    <col min="10511" max="10511" width="13" style="2894" customWidth="1"/>
    <col min="10512" max="10512" width="7.88671875" style="2894" customWidth="1"/>
    <col min="10513" max="10752" width="9" style="2894"/>
    <col min="10753" max="10753" width="20.109375" style="2894" customWidth="1"/>
    <col min="10754" max="10754" width="6.21875" style="2894" customWidth="1"/>
    <col min="10755" max="10755" width="11.77734375" style="2894" customWidth="1"/>
    <col min="10756" max="10756" width="7.6640625" style="2894" customWidth="1"/>
    <col min="10757" max="10757" width="13.88671875" style="2894" customWidth="1"/>
    <col min="10758" max="10758" width="8.77734375" style="2894" customWidth="1"/>
    <col min="10759" max="10759" width="0" style="2894" hidden="1" customWidth="1"/>
    <col min="10760" max="10760" width="12.88671875" style="2894" customWidth="1"/>
    <col min="10761" max="10761" width="0" style="2894" hidden="1" customWidth="1"/>
    <col min="10762" max="10762" width="9" style="2894" customWidth="1"/>
    <col min="10763" max="10763" width="0" style="2894" hidden="1" customWidth="1"/>
    <col min="10764" max="10764" width="7.6640625" style="2894" customWidth="1"/>
    <col min="10765" max="10765" width="10.21875" style="2894" customWidth="1"/>
    <col min="10766" max="10766" width="6.21875" style="2894" customWidth="1"/>
    <col min="10767" max="10767" width="13" style="2894" customWidth="1"/>
    <col min="10768" max="10768" width="7.88671875" style="2894" customWidth="1"/>
    <col min="10769" max="11008" width="9" style="2894"/>
    <col min="11009" max="11009" width="20.109375" style="2894" customWidth="1"/>
    <col min="11010" max="11010" width="6.21875" style="2894" customWidth="1"/>
    <col min="11011" max="11011" width="11.77734375" style="2894" customWidth="1"/>
    <col min="11012" max="11012" width="7.6640625" style="2894" customWidth="1"/>
    <col min="11013" max="11013" width="13.88671875" style="2894" customWidth="1"/>
    <col min="11014" max="11014" width="8.77734375" style="2894" customWidth="1"/>
    <col min="11015" max="11015" width="0" style="2894" hidden="1" customWidth="1"/>
    <col min="11016" max="11016" width="12.88671875" style="2894" customWidth="1"/>
    <col min="11017" max="11017" width="0" style="2894" hidden="1" customWidth="1"/>
    <col min="11018" max="11018" width="9" style="2894" customWidth="1"/>
    <col min="11019" max="11019" width="0" style="2894" hidden="1" customWidth="1"/>
    <col min="11020" max="11020" width="7.6640625" style="2894" customWidth="1"/>
    <col min="11021" max="11021" width="10.21875" style="2894" customWidth="1"/>
    <col min="11022" max="11022" width="6.21875" style="2894" customWidth="1"/>
    <col min="11023" max="11023" width="13" style="2894" customWidth="1"/>
    <col min="11024" max="11024" width="7.88671875" style="2894" customWidth="1"/>
    <col min="11025" max="11264" width="9" style="2894"/>
    <col min="11265" max="11265" width="20.109375" style="2894" customWidth="1"/>
    <col min="11266" max="11266" width="6.21875" style="2894" customWidth="1"/>
    <col min="11267" max="11267" width="11.77734375" style="2894" customWidth="1"/>
    <col min="11268" max="11268" width="7.6640625" style="2894" customWidth="1"/>
    <col min="11269" max="11269" width="13.88671875" style="2894" customWidth="1"/>
    <col min="11270" max="11270" width="8.77734375" style="2894" customWidth="1"/>
    <col min="11271" max="11271" width="0" style="2894" hidden="1" customWidth="1"/>
    <col min="11272" max="11272" width="12.88671875" style="2894" customWidth="1"/>
    <col min="11273" max="11273" width="0" style="2894" hidden="1" customWidth="1"/>
    <col min="11274" max="11274" width="9" style="2894" customWidth="1"/>
    <col min="11275" max="11275" width="0" style="2894" hidden="1" customWidth="1"/>
    <col min="11276" max="11276" width="7.6640625" style="2894" customWidth="1"/>
    <col min="11277" max="11277" width="10.21875" style="2894" customWidth="1"/>
    <col min="11278" max="11278" width="6.21875" style="2894" customWidth="1"/>
    <col min="11279" max="11279" width="13" style="2894" customWidth="1"/>
    <col min="11280" max="11280" width="7.88671875" style="2894" customWidth="1"/>
    <col min="11281" max="11520" width="9" style="2894"/>
    <col min="11521" max="11521" width="20.109375" style="2894" customWidth="1"/>
    <col min="11522" max="11522" width="6.21875" style="2894" customWidth="1"/>
    <col min="11523" max="11523" width="11.77734375" style="2894" customWidth="1"/>
    <col min="11524" max="11524" width="7.6640625" style="2894" customWidth="1"/>
    <col min="11525" max="11525" width="13.88671875" style="2894" customWidth="1"/>
    <col min="11526" max="11526" width="8.77734375" style="2894" customWidth="1"/>
    <col min="11527" max="11527" width="0" style="2894" hidden="1" customWidth="1"/>
    <col min="11528" max="11528" width="12.88671875" style="2894" customWidth="1"/>
    <col min="11529" max="11529" width="0" style="2894" hidden="1" customWidth="1"/>
    <col min="11530" max="11530" width="9" style="2894" customWidth="1"/>
    <col min="11531" max="11531" width="0" style="2894" hidden="1" customWidth="1"/>
    <col min="11532" max="11532" width="7.6640625" style="2894" customWidth="1"/>
    <col min="11533" max="11533" width="10.21875" style="2894" customWidth="1"/>
    <col min="11534" max="11534" width="6.21875" style="2894" customWidth="1"/>
    <col min="11535" max="11535" width="13" style="2894" customWidth="1"/>
    <col min="11536" max="11536" width="7.88671875" style="2894" customWidth="1"/>
    <col min="11537" max="11776" width="9" style="2894"/>
    <col min="11777" max="11777" width="20.109375" style="2894" customWidth="1"/>
    <col min="11778" max="11778" width="6.21875" style="2894" customWidth="1"/>
    <col min="11779" max="11779" width="11.77734375" style="2894" customWidth="1"/>
    <col min="11780" max="11780" width="7.6640625" style="2894" customWidth="1"/>
    <col min="11781" max="11781" width="13.88671875" style="2894" customWidth="1"/>
    <col min="11782" max="11782" width="8.77734375" style="2894" customWidth="1"/>
    <col min="11783" max="11783" width="0" style="2894" hidden="1" customWidth="1"/>
    <col min="11784" max="11784" width="12.88671875" style="2894" customWidth="1"/>
    <col min="11785" max="11785" width="0" style="2894" hidden="1" customWidth="1"/>
    <col min="11786" max="11786" width="9" style="2894" customWidth="1"/>
    <col min="11787" max="11787" width="0" style="2894" hidden="1" customWidth="1"/>
    <col min="11788" max="11788" width="7.6640625" style="2894" customWidth="1"/>
    <col min="11789" max="11789" width="10.21875" style="2894" customWidth="1"/>
    <col min="11790" max="11790" width="6.21875" style="2894" customWidth="1"/>
    <col min="11791" max="11791" width="13" style="2894" customWidth="1"/>
    <col min="11792" max="11792" width="7.88671875" style="2894" customWidth="1"/>
    <col min="11793" max="12032" width="9" style="2894"/>
    <col min="12033" max="12033" width="20.109375" style="2894" customWidth="1"/>
    <col min="12034" max="12034" width="6.21875" style="2894" customWidth="1"/>
    <col min="12035" max="12035" width="11.77734375" style="2894" customWidth="1"/>
    <col min="12036" max="12036" width="7.6640625" style="2894" customWidth="1"/>
    <col min="12037" max="12037" width="13.88671875" style="2894" customWidth="1"/>
    <col min="12038" max="12038" width="8.77734375" style="2894" customWidth="1"/>
    <col min="12039" max="12039" width="0" style="2894" hidden="1" customWidth="1"/>
    <col min="12040" max="12040" width="12.88671875" style="2894" customWidth="1"/>
    <col min="12041" max="12041" width="0" style="2894" hidden="1" customWidth="1"/>
    <col min="12042" max="12042" width="9" style="2894" customWidth="1"/>
    <col min="12043" max="12043" width="0" style="2894" hidden="1" customWidth="1"/>
    <col min="12044" max="12044" width="7.6640625" style="2894" customWidth="1"/>
    <col min="12045" max="12045" width="10.21875" style="2894" customWidth="1"/>
    <col min="12046" max="12046" width="6.21875" style="2894" customWidth="1"/>
    <col min="12047" max="12047" width="13" style="2894" customWidth="1"/>
    <col min="12048" max="12048" width="7.88671875" style="2894" customWidth="1"/>
    <col min="12049" max="12288" width="9" style="2894"/>
    <col min="12289" max="12289" width="20.109375" style="2894" customWidth="1"/>
    <col min="12290" max="12290" width="6.21875" style="2894" customWidth="1"/>
    <col min="12291" max="12291" width="11.77734375" style="2894" customWidth="1"/>
    <col min="12292" max="12292" width="7.6640625" style="2894" customWidth="1"/>
    <col min="12293" max="12293" width="13.88671875" style="2894" customWidth="1"/>
    <col min="12294" max="12294" width="8.77734375" style="2894" customWidth="1"/>
    <col min="12295" max="12295" width="0" style="2894" hidden="1" customWidth="1"/>
    <col min="12296" max="12296" width="12.88671875" style="2894" customWidth="1"/>
    <col min="12297" max="12297" width="0" style="2894" hidden="1" customWidth="1"/>
    <col min="12298" max="12298" width="9" style="2894" customWidth="1"/>
    <col min="12299" max="12299" width="0" style="2894" hidden="1" customWidth="1"/>
    <col min="12300" max="12300" width="7.6640625" style="2894" customWidth="1"/>
    <col min="12301" max="12301" width="10.21875" style="2894" customWidth="1"/>
    <col min="12302" max="12302" width="6.21875" style="2894" customWidth="1"/>
    <col min="12303" max="12303" width="13" style="2894" customWidth="1"/>
    <col min="12304" max="12304" width="7.88671875" style="2894" customWidth="1"/>
    <col min="12305" max="12544" width="9" style="2894"/>
    <col min="12545" max="12545" width="20.109375" style="2894" customWidth="1"/>
    <col min="12546" max="12546" width="6.21875" style="2894" customWidth="1"/>
    <col min="12547" max="12547" width="11.77734375" style="2894" customWidth="1"/>
    <col min="12548" max="12548" width="7.6640625" style="2894" customWidth="1"/>
    <col min="12549" max="12549" width="13.88671875" style="2894" customWidth="1"/>
    <col min="12550" max="12550" width="8.77734375" style="2894" customWidth="1"/>
    <col min="12551" max="12551" width="0" style="2894" hidden="1" customWidth="1"/>
    <col min="12552" max="12552" width="12.88671875" style="2894" customWidth="1"/>
    <col min="12553" max="12553" width="0" style="2894" hidden="1" customWidth="1"/>
    <col min="12554" max="12554" width="9" style="2894" customWidth="1"/>
    <col min="12555" max="12555" width="0" style="2894" hidden="1" customWidth="1"/>
    <col min="12556" max="12556" width="7.6640625" style="2894" customWidth="1"/>
    <col min="12557" max="12557" width="10.21875" style="2894" customWidth="1"/>
    <col min="12558" max="12558" width="6.21875" style="2894" customWidth="1"/>
    <col min="12559" max="12559" width="13" style="2894" customWidth="1"/>
    <col min="12560" max="12560" width="7.88671875" style="2894" customWidth="1"/>
    <col min="12561" max="12800" width="9" style="2894"/>
    <col min="12801" max="12801" width="20.109375" style="2894" customWidth="1"/>
    <col min="12802" max="12802" width="6.21875" style="2894" customWidth="1"/>
    <col min="12803" max="12803" width="11.77734375" style="2894" customWidth="1"/>
    <col min="12804" max="12804" width="7.6640625" style="2894" customWidth="1"/>
    <col min="12805" max="12805" width="13.88671875" style="2894" customWidth="1"/>
    <col min="12806" max="12806" width="8.77734375" style="2894" customWidth="1"/>
    <col min="12807" max="12807" width="0" style="2894" hidden="1" customWidth="1"/>
    <col min="12808" max="12808" width="12.88671875" style="2894" customWidth="1"/>
    <col min="12809" max="12809" width="0" style="2894" hidden="1" customWidth="1"/>
    <col min="12810" max="12810" width="9" style="2894" customWidth="1"/>
    <col min="12811" max="12811" width="0" style="2894" hidden="1" customWidth="1"/>
    <col min="12812" max="12812" width="7.6640625" style="2894" customWidth="1"/>
    <col min="12813" max="12813" width="10.21875" style="2894" customWidth="1"/>
    <col min="12814" max="12814" width="6.21875" style="2894" customWidth="1"/>
    <col min="12815" max="12815" width="13" style="2894" customWidth="1"/>
    <col min="12816" max="12816" width="7.88671875" style="2894" customWidth="1"/>
    <col min="12817" max="13056" width="9" style="2894"/>
    <col min="13057" max="13057" width="20.109375" style="2894" customWidth="1"/>
    <col min="13058" max="13058" width="6.21875" style="2894" customWidth="1"/>
    <col min="13059" max="13059" width="11.77734375" style="2894" customWidth="1"/>
    <col min="13060" max="13060" width="7.6640625" style="2894" customWidth="1"/>
    <col min="13061" max="13061" width="13.88671875" style="2894" customWidth="1"/>
    <col min="13062" max="13062" width="8.77734375" style="2894" customWidth="1"/>
    <col min="13063" max="13063" width="0" style="2894" hidden="1" customWidth="1"/>
    <col min="13064" max="13064" width="12.88671875" style="2894" customWidth="1"/>
    <col min="13065" max="13065" width="0" style="2894" hidden="1" customWidth="1"/>
    <col min="13066" max="13066" width="9" style="2894" customWidth="1"/>
    <col min="13067" max="13067" width="0" style="2894" hidden="1" customWidth="1"/>
    <col min="13068" max="13068" width="7.6640625" style="2894" customWidth="1"/>
    <col min="13069" max="13069" width="10.21875" style="2894" customWidth="1"/>
    <col min="13070" max="13070" width="6.21875" style="2894" customWidth="1"/>
    <col min="13071" max="13071" width="13" style="2894" customWidth="1"/>
    <col min="13072" max="13072" width="7.88671875" style="2894" customWidth="1"/>
    <col min="13073" max="13312" width="9" style="2894"/>
    <col min="13313" max="13313" width="20.109375" style="2894" customWidth="1"/>
    <col min="13314" max="13314" width="6.21875" style="2894" customWidth="1"/>
    <col min="13315" max="13315" width="11.77734375" style="2894" customWidth="1"/>
    <col min="13316" max="13316" width="7.6640625" style="2894" customWidth="1"/>
    <col min="13317" max="13317" width="13.88671875" style="2894" customWidth="1"/>
    <col min="13318" max="13318" width="8.77734375" style="2894" customWidth="1"/>
    <col min="13319" max="13319" width="0" style="2894" hidden="1" customWidth="1"/>
    <col min="13320" max="13320" width="12.88671875" style="2894" customWidth="1"/>
    <col min="13321" max="13321" width="0" style="2894" hidden="1" customWidth="1"/>
    <col min="13322" max="13322" width="9" style="2894" customWidth="1"/>
    <col min="13323" max="13323" width="0" style="2894" hidden="1" customWidth="1"/>
    <col min="13324" max="13324" width="7.6640625" style="2894" customWidth="1"/>
    <col min="13325" max="13325" width="10.21875" style="2894" customWidth="1"/>
    <col min="13326" max="13326" width="6.21875" style="2894" customWidth="1"/>
    <col min="13327" max="13327" width="13" style="2894" customWidth="1"/>
    <col min="13328" max="13328" width="7.88671875" style="2894" customWidth="1"/>
    <col min="13329" max="13568" width="9" style="2894"/>
    <col min="13569" max="13569" width="20.109375" style="2894" customWidth="1"/>
    <col min="13570" max="13570" width="6.21875" style="2894" customWidth="1"/>
    <col min="13571" max="13571" width="11.77734375" style="2894" customWidth="1"/>
    <col min="13572" max="13572" width="7.6640625" style="2894" customWidth="1"/>
    <col min="13573" max="13573" width="13.88671875" style="2894" customWidth="1"/>
    <col min="13574" max="13574" width="8.77734375" style="2894" customWidth="1"/>
    <col min="13575" max="13575" width="0" style="2894" hidden="1" customWidth="1"/>
    <col min="13576" max="13576" width="12.88671875" style="2894" customWidth="1"/>
    <col min="13577" max="13577" width="0" style="2894" hidden="1" customWidth="1"/>
    <col min="13578" max="13578" width="9" style="2894" customWidth="1"/>
    <col min="13579" max="13579" width="0" style="2894" hidden="1" customWidth="1"/>
    <col min="13580" max="13580" width="7.6640625" style="2894" customWidth="1"/>
    <col min="13581" max="13581" width="10.21875" style="2894" customWidth="1"/>
    <col min="13582" max="13582" width="6.21875" style="2894" customWidth="1"/>
    <col min="13583" max="13583" width="13" style="2894" customWidth="1"/>
    <col min="13584" max="13584" width="7.88671875" style="2894" customWidth="1"/>
    <col min="13585" max="13824" width="9" style="2894"/>
    <col min="13825" max="13825" width="20.109375" style="2894" customWidth="1"/>
    <col min="13826" max="13826" width="6.21875" style="2894" customWidth="1"/>
    <col min="13827" max="13827" width="11.77734375" style="2894" customWidth="1"/>
    <col min="13828" max="13828" width="7.6640625" style="2894" customWidth="1"/>
    <col min="13829" max="13829" width="13.88671875" style="2894" customWidth="1"/>
    <col min="13830" max="13830" width="8.77734375" style="2894" customWidth="1"/>
    <col min="13831" max="13831" width="0" style="2894" hidden="1" customWidth="1"/>
    <col min="13832" max="13832" width="12.88671875" style="2894" customWidth="1"/>
    <col min="13833" max="13833" width="0" style="2894" hidden="1" customWidth="1"/>
    <col min="13834" max="13834" width="9" style="2894" customWidth="1"/>
    <col min="13835" max="13835" width="0" style="2894" hidden="1" customWidth="1"/>
    <col min="13836" max="13836" width="7.6640625" style="2894" customWidth="1"/>
    <col min="13837" max="13837" width="10.21875" style="2894" customWidth="1"/>
    <col min="13838" max="13838" width="6.21875" style="2894" customWidth="1"/>
    <col min="13839" max="13839" width="13" style="2894" customWidth="1"/>
    <col min="13840" max="13840" width="7.88671875" style="2894" customWidth="1"/>
    <col min="13841" max="14080" width="9" style="2894"/>
    <col min="14081" max="14081" width="20.109375" style="2894" customWidth="1"/>
    <col min="14082" max="14082" width="6.21875" style="2894" customWidth="1"/>
    <col min="14083" max="14083" width="11.77734375" style="2894" customWidth="1"/>
    <col min="14084" max="14084" width="7.6640625" style="2894" customWidth="1"/>
    <col min="14085" max="14085" width="13.88671875" style="2894" customWidth="1"/>
    <col min="14086" max="14086" width="8.77734375" style="2894" customWidth="1"/>
    <col min="14087" max="14087" width="0" style="2894" hidden="1" customWidth="1"/>
    <col min="14088" max="14088" width="12.88671875" style="2894" customWidth="1"/>
    <col min="14089" max="14089" width="0" style="2894" hidden="1" customWidth="1"/>
    <col min="14090" max="14090" width="9" style="2894" customWidth="1"/>
    <col min="14091" max="14091" width="0" style="2894" hidden="1" customWidth="1"/>
    <col min="14092" max="14092" width="7.6640625" style="2894" customWidth="1"/>
    <col min="14093" max="14093" width="10.21875" style="2894" customWidth="1"/>
    <col min="14094" max="14094" width="6.21875" style="2894" customWidth="1"/>
    <col min="14095" max="14095" width="13" style="2894" customWidth="1"/>
    <col min="14096" max="14096" width="7.88671875" style="2894" customWidth="1"/>
    <col min="14097" max="14336" width="9" style="2894"/>
    <col min="14337" max="14337" width="20.109375" style="2894" customWidth="1"/>
    <col min="14338" max="14338" width="6.21875" style="2894" customWidth="1"/>
    <col min="14339" max="14339" width="11.77734375" style="2894" customWidth="1"/>
    <col min="14340" max="14340" width="7.6640625" style="2894" customWidth="1"/>
    <col min="14341" max="14341" width="13.88671875" style="2894" customWidth="1"/>
    <col min="14342" max="14342" width="8.77734375" style="2894" customWidth="1"/>
    <col min="14343" max="14343" width="0" style="2894" hidden="1" customWidth="1"/>
    <col min="14344" max="14344" width="12.88671875" style="2894" customWidth="1"/>
    <col min="14345" max="14345" width="0" style="2894" hidden="1" customWidth="1"/>
    <col min="14346" max="14346" width="9" style="2894" customWidth="1"/>
    <col min="14347" max="14347" width="0" style="2894" hidden="1" customWidth="1"/>
    <col min="14348" max="14348" width="7.6640625" style="2894" customWidth="1"/>
    <col min="14349" max="14349" width="10.21875" style="2894" customWidth="1"/>
    <col min="14350" max="14350" width="6.21875" style="2894" customWidth="1"/>
    <col min="14351" max="14351" width="13" style="2894" customWidth="1"/>
    <col min="14352" max="14352" width="7.88671875" style="2894" customWidth="1"/>
    <col min="14353" max="14592" width="9" style="2894"/>
    <col min="14593" max="14593" width="20.109375" style="2894" customWidth="1"/>
    <col min="14594" max="14594" width="6.21875" style="2894" customWidth="1"/>
    <col min="14595" max="14595" width="11.77734375" style="2894" customWidth="1"/>
    <col min="14596" max="14596" width="7.6640625" style="2894" customWidth="1"/>
    <col min="14597" max="14597" width="13.88671875" style="2894" customWidth="1"/>
    <col min="14598" max="14598" width="8.77734375" style="2894" customWidth="1"/>
    <col min="14599" max="14599" width="0" style="2894" hidden="1" customWidth="1"/>
    <col min="14600" max="14600" width="12.88671875" style="2894" customWidth="1"/>
    <col min="14601" max="14601" width="0" style="2894" hidden="1" customWidth="1"/>
    <col min="14602" max="14602" width="9" style="2894" customWidth="1"/>
    <col min="14603" max="14603" width="0" style="2894" hidden="1" customWidth="1"/>
    <col min="14604" max="14604" width="7.6640625" style="2894" customWidth="1"/>
    <col min="14605" max="14605" width="10.21875" style="2894" customWidth="1"/>
    <col min="14606" max="14606" width="6.21875" style="2894" customWidth="1"/>
    <col min="14607" max="14607" width="13" style="2894" customWidth="1"/>
    <col min="14608" max="14608" width="7.88671875" style="2894" customWidth="1"/>
    <col min="14609" max="14848" width="9" style="2894"/>
    <col min="14849" max="14849" width="20.109375" style="2894" customWidth="1"/>
    <col min="14850" max="14850" width="6.21875" style="2894" customWidth="1"/>
    <col min="14851" max="14851" width="11.77734375" style="2894" customWidth="1"/>
    <col min="14852" max="14852" width="7.6640625" style="2894" customWidth="1"/>
    <col min="14853" max="14853" width="13.88671875" style="2894" customWidth="1"/>
    <col min="14854" max="14854" width="8.77734375" style="2894" customWidth="1"/>
    <col min="14855" max="14855" width="0" style="2894" hidden="1" customWidth="1"/>
    <col min="14856" max="14856" width="12.88671875" style="2894" customWidth="1"/>
    <col min="14857" max="14857" width="0" style="2894" hidden="1" customWidth="1"/>
    <col min="14858" max="14858" width="9" style="2894" customWidth="1"/>
    <col min="14859" max="14859" width="0" style="2894" hidden="1" customWidth="1"/>
    <col min="14860" max="14860" width="7.6640625" style="2894" customWidth="1"/>
    <col min="14861" max="14861" width="10.21875" style="2894" customWidth="1"/>
    <col min="14862" max="14862" width="6.21875" style="2894" customWidth="1"/>
    <col min="14863" max="14863" width="13" style="2894" customWidth="1"/>
    <col min="14864" max="14864" width="7.88671875" style="2894" customWidth="1"/>
    <col min="14865" max="15104" width="9" style="2894"/>
    <col min="15105" max="15105" width="20.109375" style="2894" customWidth="1"/>
    <col min="15106" max="15106" width="6.21875" style="2894" customWidth="1"/>
    <col min="15107" max="15107" width="11.77734375" style="2894" customWidth="1"/>
    <col min="15108" max="15108" width="7.6640625" style="2894" customWidth="1"/>
    <col min="15109" max="15109" width="13.88671875" style="2894" customWidth="1"/>
    <col min="15110" max="15110" width="8.77734375" style="2894" customWidth="1"/>
    <col min="15111" max="15111" width="0" style="2894" hidden="1" customWidth="1"/>
    <col min="15112" max="15112" width="12.88671875" style="2894" customWidth="1"/>
    <col min="15113" max="15113" width="0" style="2894" hidden="1" customWidth="1"/>
    <col min="15114" max="15114" width="9" style="2894" customWidth="1"/>
    <col min="15115" max="15115" width="0" style="2894" hidden="1" customWidth="1"/>
    <col min="15116" max="15116" width="7.6640625" style="2894" customWidth="1"/>
    <col min="15117" max="15117" width="10.21875" style="2894" customWidth="1"/>
    <col min="15118" max="15118" width="6.21875" style="2894" customWidth="1"/>
    <col min="15119" max="15119" width="13" style="2894" customWidth="1"/>
    <col min="15120" max="15120" width="7.88671875" style="2894" customWidth="1"/>
    <col min="15121" max="15360" width="9" style="2894"/>
    <col min="15361" max="15361" width="20.109375" style="2894" customWidth="1"/>
    <col min="15362" max="15362" width="6.21875" style="2894" customWidth="1"/>
    <col min="15363" max="15363" width="11.77734375" style="2894" customWidth="1"/>
    <col min="15364" max="15364" width="7.6640625" style="2894" customWidth="1"/>
    <col min="15365" max="15365" width="13.88671875" style="2894" customWidth="1"/>
    <col min="15366" max="15366" width="8.77734375" style="2894" customWidth="1"/>
    <col min="15367" max="15367" width="0" style="2894" hidden="1" customWidth="1"/>
    <col min="15368" max="15368" width="12.88671875" style="2894" customWidth="1"/>
    <col min="15369" max="15369" width="0" style="2894" hidden="1" customWidth="1"/>
    <col min="15370" max="15370" width="9" style="2894" customWidth="1"/>
    <col min="15371" max="15371" width="0" style="2894" hidden="1" customWidth="1"/>
    <col min="15372" max="15372" width="7.6640625" style="2894" customWidth="1"/>
    <col min="15373" max="15373" width="10.21875" style="2894" customWidth="1"/>
    <col min="15374" max="15374" width="6.21875" style="2894" customWidth="1"/>
    <col min="15375" max="15375" width="13" style="2894" customWidth="1"/>
    <col min="15376" max="15376" width="7.88671875" style="2894" customWidth="1"/>
    <col min="15377" max="15616" width="9" style="2894"/>
    <col min="15617" max="15617" width="20.109375" style="2894" customWidth="1"/>
    <col min="15618" max="15618" width="6.21875" style="2894" customWidth="1"/>
    <col min="15619" max="15619" width="11.77734375" style="2894" customWidth="1"/>
    <col min="15620" max="15620" width="7.6640625" style="2894" customWidth="1"/>
    <col min="15621" max="15621" width="13.88671875" style="2894" customWidth="1"/>
    <col min="15622" max="15622" width="8.77734375" style="2894" customWidth="1"/>
    <col min="15623" max="15623" width="0" style="2894" hidden="1" customWidth="1"/>
    <col min="15624" max="15624" width="12.88671875" style="2894" customWidth="1"/>
    <col min="15625" max="15625" width="0" style="2894" hidden="1" customWidth="1"/>
    <col min="15626" max="15626" width="9" style="2894" customWidth="1"/>
    <col min="15627" max="15627" width="0" style="2894" hidden="1" customWidth="1"/>
    <col min="15628" max="15628" width="7.6640625" style="2894" customWidth="1"/>
    <col min="15629" max="15629" width="10.21875" style="2894" customWidth="1"/>
    <col min="15630" max="15630" width="6.21875" style="2894" customWidth="1"/>
    <col min="15631" max="15631" width="13" style="2894" customWidth="1"/>
    <col min="15632" max="15632" width="7.88671875" style="2894" customWidth="1"/>
    <col min="15633" max="15872" width="9" style="2894"/>
    <col min="15873" max="15873" width="20.109375" style="2894" customWidth="1"/>
    <col min="15874" max="15874" width="6.21875" style="2894" customWidth="1"/>
    <col min="15875" max="15875" width="11.77734375" style="2894" customWidth="1"/>
    <col min="15876" max="15876" width="7.6640625" style="2894" customWidth="1"/>
    <col min="15877" max="15877" width="13.88671875" style="2894" customWidth="1"/>
    <col min="15878" max="15878" width="8.77734375" style="2894" customWidth="1"/>
    <col min="15879" max="15879" width="0" style="2894" hidden="1" customWidth="1"/>
    <col min="15880" max="15880" width="12.88671875" style="2894" customWidth="1"/>
    <col min="15881" max="15881" width="0" style="2894" hidden="1" customWidth="1"/>
    <col min="15882" max="15882" width="9" style="2894" customWidth="1"/>
    <col min="15883" max="15883" width="0" style="2894" hidden="1" customWidth="1"/>
    <col min="15884" max="15884" width="7.6640625" style="2894" customWidth="1"/>
    <col min="15885" max="15885" width="10.21875" style="2894" customWidth="1"/>
    <col min="15886" max="15886" width="6.21875" style="2894" customWidth="1"/>
    <col min="15887" max="15887" width="13" style="2894" customWidth="1"/>
    <col min="15888" max="15888" width="7.88671875" style="2894" customWidth="1"/>
    <col min="15889" max="16128" width="9" style="2894"/>
    <col min="16129" max="16129" width="20.109375" style="2894" customWidth="1"/>
    <col min="16130" max="16130" width="6.21875" style="2894" customWidth="1"/>
    <col min="16131" max="16131" width="11.77734375" style="2894" customWidth="1"/>
    <col min="16132" max="16132" width="7.6640625" style="2894" customWidth="1"/>
    <col min="16133" max="16133" width="13.88671875" style="2894" customWidth="1"/>
    <col min="16134" max="16134" width="8.77734375" style="2894" customWidth="1"/>
    <col min="16135" max="16135" width="0" style="2894" hidden="1" customWidth="1"/>
    <col min="16136" max="16136" width="12.88671875" style="2894" customWidth="1"/>
    <col min="16137" max="16137" width="0" style="2894" hidden="1" customWidth="1"/>
    <col min="16138" max="16138" width="9" style="2894" customWidth="1"/>
    <col min="16139" max="16139" width="0" style="2894" hidden="1" customWidth="1"/>
    <col min="16140" max="16140" width="7.6640625" style="2894" customWidth="1"/>
    <col min="16141" max="16141" width="10.21875" style="2894" customWidth="1"/>
    <col min="16142" max="16142" width="6.21875" style="2894" customWidth="1"/>
    <col min="16143" max="16143" width="13" style="2894" customWidth="1"/>
    <col min="16144" max="16144" width="7.88671875" style="2894" customWidth="1"/>
    <col min="16145" max="16384" width="9" style="2894"/>
  </cols>
  <sheetData>
    <row r="1" spans="1:19">
      <c r="A1" s="2894" t="s">
        <v>3016</v>
      </c>
      <c r="B1" s="2894" t="s">
        <v>3017</v>
      </c>
      <c r="C1" s="2894" t="s">
        <v>3018</v>
      </c>
      <c r="D1" s="2894" t="s">
        <v>3019</v>
      </c>
      <c r="E1" s="2894" t="s">
        <v>3020</v>
      </c>
      <c r="F1" s="2894" t="s">
        <v>2028</v>
      </c>
      <c r="G1" s="2894" t="s">
        <v>3021</v>
      </c>
      <c r="H1" s="2894" t="s">
        <v>3022</v>
      </c>
      <c r="I1" s="2894" t="s">
        <v>3023</v>
      </c>
      <c r="J1" s="2894" t="s">
        <v>3024</v>
      </c>
      <c r="K1" s="2894" t="s">
        <v>3025</v>
      </c>
      <c r="L1" s="2894" t="s">
        <v>3026</v>
      </c>
      <c r="M1" s="2894" t="s">
        <v>3027</v>
      </c>
      <c r="N1" s="2894" t="s">
        <v>3028</v>
      </c>
      <c r="O1" s="2894" t="s">
        <v>3029</v>
      </c>
      <c r="P1" s="2894" t="s">
        <v>3030</v>
      </c>
      <c r="Q1" s="3197" t="s">
        <v>3085</v>
      </c>
      <c r="R1" s="3197" t="s">
        <v>3084</v>
      </c>
    </row>
    <row r="2" spans="1:19" s="3190" customFormat="1" ht="13.2">
      <c r="A2" s="3190" t="s">
        <v>3031</v>
      </c>
      <c r="B2" s="3190" t="s">
        <v>3032</v>
      </c>
      <c r="C2" s="3190" t="s">
        <v>3033</v>
      </c>
      <c r="D2" s="3190">
        <v>1973.83</v>
      </c>
      <c r="E2" s="3190">
        <v>3158.13</v>
      </c>
      <c r="F2" s="3190">
        <v>1.6</v>
      </c>
      <c r="G2" s="3190" t="s">
        <v>3034</v>
      </c>
      <c r="H2" s="3190" t="s">
        <v>3035</v>
      </c>
      <c r="I2" s="3190" t="s">
        <v>3036</v>
      </c>
      <c r="J2" s="3190" t="s">
        <v>3036</v>
      </c>
      <c r="K2" s="3190">
        <v>1190</v>
      </c>
      <c r="L2" s="3190">
        <v>1690</v>
      </c>
      <c r="M2" s="3190">
        <v>5351.27</v>
      </c>
      <c r="N2" s="3190">
        <v>42.02</v>
      </c>
      <c r="O2" s="3190" t="s">
        <v>3037</v>
      </c>
      <c r="P2" s="3190" t="s">
        <v>3038</v>
      </c>
      <c r="Q2" s="3194">
        <f>L2/D2*666.67</f>
        <v>570.80513519401359</v>
      </c>
      <c r="R2" s="3191">
        <f>ROUND(L2/D2*10000,0)</f>
        <v>8562</v>
      </c>
      <c r="S2" s="3192" t="s">
        <v>3039</v>
      </c>
    </row>
    <row r="3" spans="1:19" s="3190" customFormat="1" ht="13.2">
      <c r="A3" s="3190" t="s">
        <v>3040</v>
      </c>
      <c r="B3" s="3190" t="s">
        <v>3032</v>
      </c>
      <c r="C3" s="3190" t="s">
        <v>3033</v>
      </c>
      <c r="D3" s="3190">
        <v>8358.42</v>
      </c>
      <c r="E3" s="3190">
        <v>41792.1</v>
      </c>
      <c r="F3" s="3190">
        <v>5</v>
      </c>
      <c r="G3" s="3190" t="s">
        <v>3041</v>
      </c>
      <c r="H3" s="3190" t="s">
        <v>3035</v>
      </c>
      <c r="I3" s="3190" t="s">
        <v>3042</v>
      </c>
      <c r="J3" s="3190" t="s">
        <v>3042</v>
      </c>
      <c r="K3" s="3190">
        <v>6540</v>
      </c>
      <c r="L3" s="3190">
        <v>7440</v>
      </c>
      <c r="M3" s="3190">
        <v>1780.24</v>
      </c>
      <c r="N3" s="3190">
        <v>13.76</v>
      </c>
      <c r="O3" s="3190" t="s">
        <v>3043</v>
      </c>
      <c r="P3" s="3190" t="s">
        <v>3038</v>
      </c>
      <c r="Q3" s="3191">
        <f t="shared" ref="Q3:Q16" si="0">L3/D3*666.67</f>
        <v>593.41655480341967</v>
      </c>
      <c r="R3" s="3191">
        <f t="shared" ref="R3:R16" si="1">ROUND(L3/D3*10000,0)</f>
        <v>8901</v>
      </c>
      <c r="S3" s="3192" t="s">
        <v>3044</v>
      </c>
    </row>
    <row r="4" spans="1:19" s="3190" customFormat="1" ht="13.2">
      <c r="A4" s="3190" t="s">
        <v>3045</v>
      </c>
      <c r="B4" s="3190" t="s">
        <v>3032</v>
      </c>
      <c r="C4" s="3190" t="s">
        <v>3033</v>
      </c>
      <c r="D4" s="3190">
        <v>1274.5899999999999</v>
      </c>
      <c r="E4" s="3190">
        <v>1402.05</v>
      </c>
      <c r="F4" s="3190">
        <v>1.1000000000000001</v>
      </c>
      <c r="G4" s="3190" t="s">
        <v>3034</v>
      </c>
      <c r="H4" s="3190" t="s">
        <v>3035</v>
      </c>
      <c r="I4" s="3190" t="s">
        <v>3046</v>
      </c>
      <c r="J4" s="3190" t="s">
        <v>3046</v>
      </c>
      <c r="K4" s="3190">
        <v>750</v>
      </c>
      <c r="L4" s="3190">
        <v>900</v>
      </c>
      <c r="M4" s="3190">
        <v>6419.17</v>
      </c>
      <c r="N4" s="3190">
        <v>20</v>
      </c>
      <c r="O4" s="3190" t="s">
        <v>3047</v>
      </c>
      <c r="P4" s="3190" t="s">
        <v>3038</v>
      </c>
      <c r="Q4" s="3194">
        <f t="shared" si="0"/>
        <v>470.74196408256773</v>
      </c>
      <c r="R4" s="3191">
        <f t="shared" si="1"/>
        <v>7061</v>
      </c>
      <c r="S4" s="3192" t="s">
        <v>3039</v>
      </c>
    </row>
    <row r="5" spans="1:19" s="3193" customFormat="1">
      <c r="A5" s="3193" t="s">
        <v>3048</v>
      </c>
      <c r="B5" s="3193" t="s">
        <v>3032</v>
      </c>
      <c r="C5" s="3193" t="s">
        <v>3033</v>
      </c>
      <c r="D5" s="3193">
        <v>13713.98</v>
      </c>
      <c r="E5" s="3193">
        <v>75426.89</v>
      </c>
      <c r="F5" s="3193">
        <v>5.5</v>
      </c>
      <c r="G5" s="3193" t="s">
        <v>3034</v>
      </c>
      <c r="H5" s="3193" t="s">
        <v>3049</v>
      </c>
      <c r="I5" s="3193" t="s">
        <v>3050</v>
      </c>
      <c r="J5" s="3193" t="s">
        <v>3050</v>
      </c>
      <c r="K5" s="3193">
        <v>16610</v>
      </c>
      <c r="L5" s="3193">
        <v>18710</v>
      </c>
      <c r="M5" s="3193">
        <v>2480.5500000000002</v>
      </c>
      <c r="N5" s="3193">
        <v>12.64</v>
      </c>
      <c r="O5" s="3193" t="s">
        <v>3051</v>
      </c>
      <c r="P5" s="3193" t="s">
        <v>3038</v>
      </c>
      <c r="Q5" s="3196">
        <f t="shared" si="0"/>
        <v>909.53871159211258</v>
      </c>
      <c r="R5" s="3194">
        <f t="shared" si="1"/>
        <v>13643</v>
      </c>
    </row>
    <row r="6" spans="1:19" s="3195" customFormat="1" ht="13.2">
      <c r="A6" s="3195" t="s">
        <v>3052</v>
      </c>
      <c r="B6" s="3195" t="s">
        <v>3032</v>
      </c>
      <c r="C6" s="3195" t="s">
        <v>3033</v>
      </c>
      <c r="D6" s="3195">
        <v>758.94</v>
      </c>
      <c r="E6" s="3195">
        <v>1517.88</v>
      </c>
      <c r="F6" s="3195">
        <v>2</v>
      </c>
      <c r="G6" s="3195" t="s">
        <v>3034</v>
      </c>
      <c r="H6" s="3195" t="s">
        <v>3049</v>
      </c>
      <c r="I6" s="3195" t="s">
        <v>3053</v>
      </c>
      <c r="J6" s="3195" t="s">
        <v>3053</v>
      </c>
      <c r="K6" s="3195">
        <v>480</v>
      </c>
      <c r="L6" s="3195">
        <v>720</v>
      </c>
      <c r="M6" s="3195">
        <v>4743.46</v>
      </c>
      <c r="N6" s="3195">
        <v>50</v>
      </c>
      <c r="O6" s="3195" t="s">
        <v>3054</v>
      </c>
      <c r="P6" s="3195" t="s">
        <v>3038</v>
      </c>
      <c r="Q6" s="3194">
        <f t="shared" si="0"/>
        <v>632.46422642106086</v>
      </c>
      <c r="R6" s="3194">
        <f t="shared" si="1"/>
        <v>9487</v>
      </c>
    </row>
    <row r="7" spans="1:19">
      <c r="A7" s="2894" t="s">
        <v>3055</v>
      </c>
      <c r="B7" s="2894" t="s">
        <v>3032</v>
      </c>
      <c r="C7" s="2894" t="s">
        <v>3033</v>
      </c>
      <c r="D7" s="2894">
        <v>18957.77</v>
      </c>
      <c r="E7" s="2894">
        <v>37915.54</v>
      </c>
      <c r="F7" s="2894" t="s">
        <v>3056</v>
      </c>
      <c r="G7" s="2894" t="s">
        <v>3034</v>
      </c>
      <c r="H7" s="2894" t="s">
        <v>3035</v>
      </c>
      <c r="I7" s="2894" t="s">
        <v>3057</v>
      </c>
      <c r="J7" s="2894" t="s">
        <v>3057</v>
      </c>
      <c r="K7" s="2894">
        <v>1160</v>
      </c>
      <c r="L7" s="2894">
        <v>1180</v>
      </c>
      <c r="M7" s="2894">
        <v>311.22000000000003</v>
      </c>
      <c r="N7" s="2894">
        <v>1.72</v>
      </c>
      <c r="O7" s="2894" t="s">
        <v>3058</v>
      </c>
      <c r="P7" s="2894" t="s">
        <v>3059</v>
      </c>
      <c r="Q7" s="3196">
        <f t="shared" si="0"/>
        <v>41.49594598942808</v>
      </c>
      <c r="R7" s="3194">
        <f t="shared" si="1"/>
        <v>622</v>
      </c>
    </row>
    <row r="8" spans="1:19">
      <c r="A8" s="2894" t="s">
        <v>3060</v>
      </c>
      <c r="B8" s="2894" t="s">
        <v>3032</v>
      </c>
      <c r="C8" s="2894" t="s">
        <v>3033</v>
      </c>
      <c r="D8" s="2894">
        <v>2041.51</v>
      </c>
      <c r="E8" s="2894">
        <v>2041.51</v>
      </c>
      <c r="F8" s="2894" t="s">
        <v>3061</v>
      </c>
      <c r="G8" s="2894" t="s">
        <v>3034</v>
      </c>
      <c r="H8" s="2894" t="s">
        <v>3035</v>
      </c>
      <c r="I8" s="2894" t="s">
        <v>3057</v>
      </c>
      <c r="J8" s="2894" t="s">
        <v>3057</v>
      </c>
      <c r="K8" s="2894" t="s">
        <v>2812</v>
      </c>
      <c r="L8" s="2894">
        <v>3760</v>
      </c>
      <c r="M8" s="2894">
        <v>18417.740000000002</v>
      </c>
      <c r="N8" s="2894" t="s">
        <v>2812</v>
      </c>
      <c r="O8" s="2894" t="s">
        <v>3062</v>
      </c>
      <c r="P8" s="2894" t="s">
        <v>3059</v>
      </c>
      <c r="Q8" s="3196">
        <f t="shared" si="0"/>
        <v>1227.8554599291701</v>
      </c>
      <c r="R8" s="3194">
        <f t="shared" si="1"/>
        <v>18418</v>
      </c>
    </row>
    <row r="9" spans="1:19">
      <c r="A9" s="2894" t="s">
        <v>3063</v>
      </c>
      <c r="B9" s="2894" t="s">
        <v>3032</v>
      </c>
      <c r="C9" s="2894" t="s">
        <v>3033</v>
      </c>
      <c r="D9" s="2894">
        <v>2561.38</v>
      </c>
      <c r="E9" s="2894">
        <v>2561.38</v>
      </c>
      <c r="F9" s="2894" t="s">
        <v>3064</v>
      </c>
      <c r="G9" s="2894" t="s">
        <v>3034</v>
      </c>
      <c r="H9" s="2894" t="s">
        <v>3065</v>
      </c>
      <c r="I9" s="2894" t="s">
        <v>3066</v>
      </c>
      <c r="J9" s="2894" t="s">
        <v>3066</v>
      </c>
      <c r="K9" s="2894">
        <v>470</v>
      </c>
      <c r="L9" s="2894">
        <v>560</v>
      </c>
      <c r="M9" s="2894">
        <v>2186.3200000000002</v>
      </c>
      <c r="N9" s="2894">
        <v>19.149999999999999</v>
      </c>
      <c r="O9" s="2894" t="s">
        <v>3067</v>
      </c>
      <c r="P9" s="2894" t="s">
        <v>3068</v>
      </c>
      <c r="Q9" s="3196">
        <f t="shared" si="0"/>
        <v>145.75549118053547</v>
      </c>
      <c r="R9" s="3194">
        <f t="shared" si="1"/>
        <v>2186</v>
      </c>
    </row>
    <row r="10" spans="1:19">
      <c r="A10" s="2894" t="s">
        <v>3055</v>
      </c>
      <c r="B10" s="2894" t="s">
        <v>3032</v>
      </c>
      <c r="C10" s="2894" t="s">
        <v>3033</v>
      </c>
      <c r="D10" s="2894">
        <v>12540.09</v>
      </c>
      <c r="E10" s="2894">
        <v>25080.18</v>
      </c>
      <c r="F10" s="2894" t="s">
        <v>3056</v>
      </c>
      <c r="G10" s="2894" t="s">
        <v>3034</v>
      </c>
      <c r="H10" s="2894" t="s">
        <v>3069</v>
      </c>
      <c r="I10" s="2894" t="s">
        <v>3070</v>
      </c>
      <c r="J10" s="2894" t="s">
        <v>3070</v>
      </c>
      <c r="K10" s="2894">
        <v>1240</v>
      </c>
      <c r="L10" s="2894">
        <v>1270</v>
      </c>
      <c r="M10" s="2894">
        <v>506.37</v>
      </c>
      <c r="N10" s="2894">
        <v>2.42</v>
      </c>
      <c r="O10" s="2894" t="s">
        <v>3071</v>
      </c>
      <c r="P10" s="2894" t="s">
        <v>3059</v>
      </c>
      <c r="Q10" s="3196">
        <f t="shared" si="0"/>
        <v>67.517131057273104</v>
      </c>
      <c r="R10" s="3194">
        <f t="shared" si="1"/>
        <v>1013</v>
      </c>
    </row>
    <row r="11" spans="1:19" s="3193" customFormat="1">
      <c r="A11" s="3193" t="s">
        <v>3072</v>
      </c>
      <c r="B11" s="3193" t="s">
        <v>3032</v>
      </c>
      <c r="C11" s="3193" t="s">
        <v>3033</v>
      </c>
      <c r="D11" s="3193">
        <v>124403.8</v>
      </c>
      <c r="E11" s="3193">
        <v>746423</v>
      </c>
      <c r="F11" s="3193">
        <v>6</v>
      </c>
      <c r="G11" s="3193" t="s">
        <v>3041</v>
      </c>
      <c r="H11" s="3193" t="s">
        <v>3035</v>
      </c>
      <c r="I11" s="3193" t="s">
        <v>3073</v>
      </c>
      <c r="J11" s="3193" t="s">
        <v>3073</v>
      </c>
      <c r="K11" s="3193">
        <v>80060</v>
      </c>
      <c r="L11" s="3193">
        <v>80060</v>
      </c>
      <c r="M11" s="3193">
        <v>1072.57</v>
      </c>
      <c r="N11" s="3193">
        <v>0</v>
      </c>
      <c r="O11" s="3193" t="s">
        <v>3051</v>
      </c>
      <c r="P11" s="3193" t="s">
        <v>3038</v>
      </c>
      <c r="Q11" s="3196">
        <f t="shared" si="0"/>
        <v>429.03512754433541</v>
      </c>
      <c r="R11" s="3194">
        <f t="shared" si="1"/>
        <v>6435</v>
      </c>
    </row>
    <row r="12" spans="1:19">
      <c r="A12" s="2894" t="s">
        <v>3074</v>
      </c>
      <c r="B12" s="2894" t="s">
        <v>3032</v>
      </c>
      <c r="C12" s="2894" t="s">
        <v>3033</v>
      </c>
      <c r="D12" s="2894">
        <v>4055.11</v>
      </c>
      <c r="E12" s="2894">
        <v>8515.73</v>
      </c>
      <c r="F12" s="2894">
        <v>2.1</v>
      </c>
      <c r="G12" s="2894" t="s">
        <v>3034</v>
      </c>
      <c r="H12" s="2894" t="s">
        <v>3035</v>
      </c>
      <c r="I12" s="2894" t="s">
        <v>3075</v>
      </c>
      <c r="J12" s="2894" t="s">
        <v>3075</v>
      </c>
      <c r="K12" s="2894">
        <v>1320</v>
      </c>
      <c r="L12" s="2894">
        <v>1620</v>
      </c>
      <c r="M12" s="2894">
        <v>1902.35</v>
      </c>
      <c r="N12" s="2894">
        <v>22.73</v>
      </c>
      <c r="O12" s="2894" t="s">
        <v>3076</v>
      </c>
      <c r="P12" s="2894" t="s">
        <v>3059</v>
      </c>
      <c r="Q12" s="3196">
        <f t="shared" si="0"/>
        <v>266.33196140178683</v>
      </c>
      <c r="R12" s="3194">
        <f t="shared" si="1"/>
        <v>3995</v>
      </c>
    </row>
    <row r="13" spans="1:19">
      <c r="A13" s="2894" t="s">
        <v>3077</v>
      </c>
      <c r="B13" s="2894" t="s">
        <v>3032</v>
      </c>
      <c r="C13" s="2894" t="s">
        <v>3033</v>
      </c>
      <c r="D13" s="2894">
        <v>9250.07</v>
      </c>
      <c r="E13" s="2894">
        <v>64472.99</v>
      </c>
      <c r="F13" s="2894">
        <v>6.97</v>
      </c>
      <c r="G13" s="2894" t="s">
        <v>3034</v>
      </c>
      <c r="H13" s="2894" t="s">
        <v>3002</v>
      </c>
      <c r="I13" s="2894" t="s">
        <v>3078</v>
      </c>
      <c r="J13" s="2894" t="s">
        <v>3078</v>
      </c>
      <c r="K13" s="2894">
        <v>10580</v>
      </c>
      <c r="L13" s="2894">
        <v>11080</v>
      </c>
      <c r="M13" s="2894">
        <v>1718.54</v>
      </c>
      <c r="N13" s="2894">
        <v>4.7300000000000004</v>
      </c>
      <c r="O13" s="2894" t="s">
        <v>3079</v>
      </c>
      <c r="P13" s="2894" t="s">
        <v>3038</v>
      </c>
      <c r="Q13" s="3196">
        <f t="shared" si="0"/>
        <v>798.55650822101893</v>
      </c>
      <c r="R13" s="3194">
        <f t="shared" si="1"/>
        <v>11978</v>
      </c>
    </row>
    <row r="14" spans="1:19">
      <c r="A14" s="2894" t="s">
        <v>3080</v>
      </c>
      <c r="B14" s="2894" t="s">
        <v>3032</v>
      </c>
      <c r="C14" s="2894" t="s">
        <v>3033</v>
      </c>
      <c r="D14" s="2894">
        <v>3539.3</v>
      </c>
      <c r="E14" s="2894">
        <v>24668.92</v>
      </c>
      <c r="F14" s="2894">
        <v>6.97</v>
      </c>
      <c r="G14" s="2894" t="s">
        <v>3034</v>
      </c>
      <c r="H14" s="2894" t="s">
        <v>3002</v>
      </c>
      <c r="I14" s="2894" t="s">
        <v>3078</v>
      </c>
      <c r="J14" s="2894" t="s">
        <v>3078</v>
      </c>
      <c r="K14" s="2894">
        <v>4050</v>
      </c>
      <c r="L14" s="2894">
        <v>4350</v>
      </c>
      <c r="M14" s="2894">
        <v>1763.34</v>
      </c>
      <c r="N14" s="2894">
        <v>7.41</v>
      </c>
      <c r="O14" s="2894" t="s">
        <v>3079</v>
      </c>
      <c r="P14" s="2894" t="s">
        <v>3038</v>
      </c>
      <c r="Q14" s="3196">
        <f t="shared" si="0"/>
        <v>819.37515892973181</v>
      </c>
      <c r="R14" s="3194">
        <f t="shared" si="1"/>
        <v>12291</v>
      </c>
    </row>
    <row r="15" spans="1:19">
      <c r="A15" s="2894" t="s">
        <v>3081</v>
      </c>
      <c r="B15" s="2894" t="s">
        <v>3032</v>
      </c>
      <c r="C15" s="2894" t="s">
        <v>3033</v>
      </c>
      <c r="D15" s="2894">
        <v>91802.64</v>
      </c>
      <c r="E15" s="2894">
        <v>229506.6</v>
      </c>
      <c r="F15" s="2894" t="s">
        <v>3082</v>
      </c>
      <c r="G15" s="2894" t="s">
        <v>3034</v>
      </c>
      <c r="H15" s="2894" t="s">
        <v>3069</v>
      </c>
      <c r="I15" s="2894" t="s">
        <v>3083</v>
      </c>
      <c r="J15" s="2894" t="s">
        <v>3083</v>
      </c>
      <c r="K15" s="2894">
        <v>3838</v>
      </c>
      <c r="L15" s="2894">
        <v>3838</v>
      </c>
      <c r="M15" s="2894">
        <v>167.22</v>
      </c>
      <c r="N15" s="2894">
        <v>0</v>
      </c>
      <c r="O15" s="2894" t="s">
        <v>3071</v>
      </c>
      <c r="P15" s="2894" t="s">
        <v>3068</v>
      </c>
      <c r="Q15" s="3196">
        <f t="shared" si="0"/>
        <v>27.871523738315151</v>
      </c>
      <c r="R15" s="3194">
        <f t="shared" si="1"/>
        <v>418</v>
      </c>
    </row>
    <row r="16" spans="1:19">
      <c r="A16" s="2894" t="s">
        <v>3081</v>
      </c>
      <c r="B16" s="2894" t="s">
        <v>3032</v>
      </c>
      <c r="C16" s="2894" t="s">
        <v>3033</v>
      </c>
      <c r="D16" s="2894">
        <v>113178.9</v>
      </c>
      <c r="E16" s="2894">
        <v>282947.20000000001</v>
      </c>
      <c r="F16" s="2894" t="s">
        <v>3082</v>
      </c>
      <c r="G16" s="2894" t="s">
        <v>3034</v>
      </c>
      <c r="H16" s="2894" t="s">
        <v>3069</v>
      </c>
      <c r="I16" s="2894" t="s">
        <v>3083</v>
      </c>
      <c r="J16" s="2894" t="s">
        <v>3083</v>
      </c>
      <c r="K16" s="2894">
        <v>4822</v>
      </c>
      <c r="L16" s="2894">
        <v>4822</v>
      </c>
      <c r="M16" s="2894">
        <v>170.41</v>
      </c>
      <c r="N16" s="2894">
        <v>0</v>
      </c>
      <c r="O16" s="2894" t="s">
        <v>3058</v>
      </c>
      <c r="P16" s="2894" t="s">
        <v>3068</v>
      </c>
      <c r="Q16" s="3196">
        <f t="shared" si="0"/>
        <v>28.403551722096609</v>
      </c>
      <c r="R16" s="3194">
        <f t="shared" si="1"/>
        <v>426</v>
      </c>
    </row>
  </sheetData>
  <phoneticPr fontId="228" type="noConversion"/>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4" t="s">
        <v>2034</v>
      </c>
      <c r="B1" s="3204"/>
      <c r="C1" s="3204"/>
      <c r="D1" s="3204"/>
      <c r="E1" s="3204"/>
      <c r="F1" s="3204"/>
      <c r="G1" s="3204"/>
      <c r="H1" s="3204"/>
      <c r="I1" s="3204"/>
      <c r="J1" s="3204"/>
      <c r="K1" s="3204"/>
      <c r="L1" s="3204"/>
      <c r="M1" s="3204"/>
      <c r="N1" s="3204"/>
      <c r="O1" s="3204"/>
      <c r="P1" s="3204"/>
      <c r="Q1" s="3204"/>
      <c r="R1" s="3204"/>
    </row>
    <row r="2" spans="1:18">
      <c r="A2" s="1792" t="s">
        <v>2036</v>
      </c>
      <c r="B2" s="1792"/>
      <c r="C2" s="1792"/>
      <c r="D2" s="1792"/>
      <c r="E2" s="1792"/>
      <c r="F2" s="1792"/>
      <c r="G2" s="1792"/>
      <c r="H2" s="1792"/>
      <c r="I2" s="1793"/>
      <c r="J2" s="1793"/>
      <c r="K2" s="1794" t="str">
        <f>"估价期日："&amp;TEXT(项目基本情况!D3,"yyyy年m月d日;;")</f>
        <v>估价期日：2020年6月24日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5" t="s">
        <v>2025</v>
      </c>
      <c r="B3" s="3205" t="s">
        <v>2725</v>
      </c>
      <c r="C3" s="3206" t="s">
        <v>2026</v>
      </c>
      <c r="D3" s="3205" t="s">
        <v>2729</v>
      </c>
      <c r="E3" s="3208" t="s">
        <v>2027</v>
      </c>
      <c r="F3" s="3208"/>
      <c r="G3" s="3208"/>
      <c r="H3" s="3208" t="s">
        <v>2028</v>
      </c>
      <c r="I3" s="3208"/>
      <c r="J3" s="3208"/>
      <c r="K3" s="3206" t="s">
        <v>2029</v>
      </c>
      <c r="L3" s="3206" t="s">
        <v>2030</v>
      </c>
      <c r="M3" s="3205" t="s">
        <v>2726</v>
      </c>
      <c r="N3" s="3207" t="str">
        <f>"（分摊）"&amp;项目基本情况!B16&amp;"国有建设用地使用权面积/㎡"</f>
        <v>（分摊）出让国有建设用地使用权面积/㎡</v>
      </c>
      <c r="O3" s="3205" t="s">
        <v>2059</v>
      </c>
      <c r="P3" s="3206" t="s">
        <v>2039</v>
      </c>
      <c r="Q3" s="3206" t="s">
        <v>2060</v>
      </c>
      <c r="R3" s="3206" t="s">
        <v>2031</v>
      </c>
    </row>
    <row r="4" spans="1:18" ht="36.75" customHeight="1">
      <c r="A4" s="3205"/>
      <c r="B4" s="3205"/>
      <c r="C4" s="3206"/>
      <c r="D4" s="3205"/>
      <c r="E4" s="2613" t="s">
        <v>2038</v>
      </c>
      <c r="F4" s="2613" t="s">
        <v>2738</v>
      </c>
      <c r="G4" s="2613" t="s">
        <v>2032</v>
      </c>
      <c r="H4" s="2613" t="s">
        <v>2033</v>
      </c>
      <c r="I4" s="2613" t="s">
        <v>2739</v>
      </c>
      <c r="J4" s="2613" t="s">
        <v>2032</v>
      </c>
      <c r="K4" s="3206"/>
      <c r="L4" s="3206"/>
      <c r="M4" s="3205"/>
      <c r="N4" s="3207"/>
      <c r="O4" s="3205"/>
      <c r="P4" s="3206"/>
      <c r="Q4" s="3206"/>
      <c r="R4" s="3206"/>
    </row>
    <row r="5" spans="1:18" ht="135" customHeight="1">
      <c r="A5" s="1928" t="s">
        <v>2649</v>
      </c>
      <c r="B5" s="2822" t="s">
        <v>2647</v>
      </c>
      <c r="C5" s="2612">
        <v>22</v>
      </c>
      <c r="D5" s="2611" t="s">
        <v>2648</v>
      </c>
      <c r="E5" s="1795">
        <f>项目基本情况!B12</f>
        <v>0</v>
      </c>
      <c r="F5" s="2611">
        <v>258</v>
      </c>
      <c r="G5" s="1795">
        <f>项目基本情况!B13</f>
        <v>0</v>
      </c>
      <c r="H5" s="2611">
        <v>1.5</v>
      </c>
      <c r="I5" s="2611">
        <v>1.5</v>
      </c>
      <c r="J5" s="2611">
        <v>1.5</v>
      </c>
      <c r="K5" s="1795" t="str">
        <f>"红线外"&amp;项目基本情况!T40&amp;"、宗地红线内"&amp;项目基本情况!B35</f>
        <v>红线外七通、宗地红线内</v>
      </c>
      <c r="L5" s="1795" t="str">
        <f>"红线外"&amp;项目基本情况!T40&amp;"、宗地红线内场地"&amp;项目基本情况!D36</f>
        <v>红线外七通、宗地红线内场地</v>
      </c>
      <c r="M5" s="1795">
        <f>IF(项目基本情况!B16="出让",项目基本情况!D20,"——")</f>
        <v>0</v>
      </c>
      <c r="N5" s="1795">
        <f>项目基本情况!C22</f>
        <v>13713.98</v>
      </c>
      <c r="O5" s="1795">
        <f>项目基本情况!C21</f>
        <v>110119</v>
      </c>
      <c r="P5" s="1795">
        <f ca="1">结果表!E42</f>
        <v>18503</v>
      </c>
      <c r="Q5" s="1795">
        <f ca="1">结果表!D42</f>
        <v>2304</v>
      </c>
      <c r="R5" s="1796">
        <f ca="1">结果表!C42</f>
        <v>25375</v>
      </c>
    </row>
    <row r="6" spans="1:18">
      <c r="A6" s="3201" t="str">
        <f>IF(项目基本情况!B9="市场价格","——","抵押价格")</f>
        <v>抵押价格</v>
      </c>
      <c r="B6" s="3202"/>
      <c r="C6" s="3202"/>
      <c r="D6" s="3202"/>
      <c r="E6" s="3202"/>
      <c r="F6" s="3202"/>
      <c r="G6" s="3202"/>
      <c r="H6" s="3202"/>
      <c r="I6" s="3202"/>
      <c r="J6" s="3202"/>
      <c r="K6" s="3202"/>
      <c r="L6" s="3202"/>
      <c r="M6" s="3202"/>
      <c r="N6" s="3202"/>
      <c r="O6" s="3202"/>
      <c r="P6" s="3202"/>
      <c r="Q6" s="3203"/>
      <c r="R6" s="1797">
        <f ca="1">结果表!O39</f>
        <v>25375</v>
      </c>
    </row>
    <row r="7" spans="1:18">
      <c r="A7" s="3201" t="str">
        <f>IF(项目基本情况!B9="市场价格","——",IF(项目基本情况!E8="已注销及未注销","抵押担保权已注销时的抵押价格","——"))</f>
        <v>——</v>
      </c>
      <c r="B7" s="3202"/>
      <c r="C7" s="3202"/>
      <c r="D7" s="3202"/>
      <c r="E7" s="3202"/>
      <c r="F7" s="3202"/>
      <c r="G7" s="3202"/>
      <c r="H7" s="3202"/>
      <c r="I7" s="3202"/>
      <c r="J7" s="3202"/>
      <c r="K7" s="3202"/>
      <c r="L7" s="3202"/>
      <c r="M7" s="3202"/>
      <c r="N7" s="3202"/>
      <c r="O7" s="3202"/>
      <c r="P7" s="3202"/>
      <c r="Q7" s="3203"/>
      <c r="R7" s="1797" t="str">
        <f>结果表!O40</f>
        <v>——</v>
      </c>
    </row>
    <row r="8" spans="1:18">
      <c r="A8" s="3201">
        <f>IF(项目基本情况!B9="市场价格","——",项目基本情况!E9)</f>
        <v>0</v>
      </c>
      <c r="B8" s="3202"/>
      <c r="C8" s="3202"/>
      <c r="D8" s="3202"/>
      <c r="E8" s="3202"/>
      <c r="F8" s="3202"/>
      <c r="G8" s="3202"/>
      <c r="H8" s="3202"/>
      <c r="I8" s="3202"/>
      <c r="J8" s="3202"/>
      <c r="K8" s="3202"/>
      <c r="L8" s="3202"/>
      <c r="M8" s="3202"/>
      <c r="N8" s="3202"/>
      <c r="O8" s="3202"/>
      <c r="P8" s="3202"/>
      <c r="Q8" s="3203"/>
      <c r="R8" s="1797" t="str">
        <f>结果表!O41</f>
        <v>——</v>
      </c>
    </row>
    <row r="9" spans="1:18">
      <c r="A9" s="1798" t="s">
        <v>2037</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2024</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7" customWidth="1"/>
    <col min="2" max="3" width="21.33203125" style="1787" customWidth="1"/>
    <col min="4" max="4" width="19.88671875" style="1787" customWidth="1"/>
    <col min="5" max="16384" width="9" style="1787"/>
  </cols>
  <sheetData>
    <row r="1" spans="1:4">
      <c r="A1" s="3210" t="s">
        <v>2061</v>
      </c>
      <c r="B1" s="3210"/>
      <c r="C1" s="3210"/>
      <c r="D1" s="3210"/>
    </row>
    <row r="2" spans="1:4" ht="47.25" customHeight="1">
      <c r="A2" s="3211" t="str">
        <f>"1.权利限制："&amp;项目基本情况!L24&amp;"未设定租赁等其他他项权利。"</f>
        <v>1.权利限制：根据估价对象《不动产权证书》原件、《国有土地使用权》复印件，截至估价期日，估价对象抵押权未见登记。未设定租赁等其他他项权利。</v>
      </c>
      <c r="B2" s="3211"/>
      <c r="C2" s="3211"/>
      <c r="D2" s="3211"/>
    </row>
    <row r="3" spans="1:4" ht="48" customHeight="1">
      <c r="A3" s="321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0"/>
      <c r="C3" s="3210"/>
      <c r="D3" s="3210"/>
    </row>
    <row r="4" spans="1:4" ht="36.75" customHeight="1">
      <c r="A4" s="3210" t="str">
        <f>"3.估价规划限制条件：详见"&amp;项目基本情况!E21&amp;"。"</f>
        <v>3.估价规划限制条件：详见《建设工程规划许可证》[]、《出让合同》[]。</v>
      </c>
      <c r="B4" s="3210"/>
      <c r="C4" s="3210"/>
      <c r="D4" s="3210"/>
    </row>
    <row r="5" spans="1:4">
      <c r="A5" s="3209" t="s">
        <v>2062</v>
      </c>
      <c r="B5" s="3209"/>
      <c r="C5" s="3209"/>
      <c r="D5" s="3209"/>
    </row>
    <row r="6" spans="1:4">
      <c r="A6" s="3210" t="s">
        <v>2040</v>
      </c>
      <c r="B6" s="3210"/>
      <c r="C6" s="3210"/>
      <c r="D6" s="3210"/>
    </row>
    <row r="7" spans="1:4" ht="33" customHeight="1">
      <c r="A7" s="3210" t="s">
        <v>2569</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2"/>
      <c r="C11" s="3212"/>
      <c r="D11" s="3212"/>
    </row>
    <row r="12" spans="1:4" ht="168" customHeight="1">
      <c r="A12" s="3209" t="s">
        <v>2064</v>
      </c>
      <c r="B12" s="3209"/>
      <c r="C12" s="3209"/>
      <c r="D12" s="3209"/>
    </row>
    <row r="13" spans="1:4">
      <c r="A13" s="3213" t="s">
        <v>2740</v>
      </c>
      <c r="B13" s="3213"/>
      <c r="C13" s="3213"/>
      <c r="D13" s="3213"/>
    </row>
    <row r="14" spans="1:4">
      <c r="A14" s="3212" t="str">
        <f>IF(项目基本情况!B8="抵押","综上，"&amp;结果表!K47,"——")</f>
        <v>综上，本次评估不存在估价师知悉的法定优先受偿款</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2696</v>
      </c>
      <c r="B17" s="3210"/>
      <c r="C17" s="3210"/>
      <c r="D17" s="3210"/>
    </row>
    <row r="18" spans="1:4">
      <c r="A18" s="3210" t="s">
        <v>2688</v>
      </c>
      <c r="B18" s="3210"/>
      <c r="C18" s="3210"/>
      <c r="D18" s="3210"/>
    </row>
    <row r="19" spans="1:4">
      <c r="A19" s="2823" t="s">
        <v>2689</v>
      </c>
      <c r="B19" s="2823" t="s">
        <v>2690</v>
      </c>
      <c r="C19" s="2823" t="s">
        <v>2691</v>
      </c>
      <c r="D19" s="2823" t="s">
        <v>2692</v>
      </c>
    </row>
    <row r="20" spans="1:4">
      <c r="A20" s="2823" t="str">
        <f>项目基本情况!B4</f>
        <v>土地估价师</v>
      </c>
      <c r="B20" s="2823">
        <f>项目基本情况!C4</f>
        <v>0</v>
      </c>
      <c r="C20" s="2825"/>
      <c r="D20" s="1785" t="s">
        <v>2697</v>
      </c>
    </row>
    <row r="21" spans="1:4">
      <c r="A21" s="2823" t="str">
        <f>项目基本情况!D4</f>
        <v>土地估价师</v>
      </c>
      <c r="B21" s="2823">
        <f>项目基本情况!E4</f>
        <v>0</v>
      </c>
      <c r="C21" s="2825"/>
      <c r="D21" s="1785" t="s">
        <v>2698</v>
      </c>
    </row>
    <row r="23" spans="1:4">
      <c r="A23" s="3210" t="s">
        <v>2693</v>
      </c>
      <c r="B23" s="3210"/>
      <c r="C23" s="3210"/>
      <c r="D23" s="3210"/>
    </row>
    <row r="24" spans="1:4">
      <c r="A24" s="2823" t="s">
        <v>2689</v>
      </c>
      <c r="B24" s="2823" t="s">
        <v>2694</v>
      </c>
      <c r="C24" s="2823" t="s">
        <v>2691</v>
      </c>
      <c r="D24" s="2823" t="s">
        <v>2692</v>
      </c>
    </row>
    <row r="25" spans="1:4">
      <c r="A25" s="2826" t="s">
        <v>2695</v>
      </c>
      <c r="B25" s="2823" t="s">
        <v>950</v>
      </c>
      <c r="C25" s="2825"/>
      <c r="D25" s="1785" t="s">
        <v>2698</v>
      </c>
    </row>
    <row r="29" spans="1:4">
      <c r="D29" s="2824" t="s">
        <v>2035</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0" customWidth="1"/>
    <col min="2" max="16384" width="14.44140625" style="1158"/>
  </cols>
  <sheetData>
    <row r="1" spans="1:7" s="1156" customFormat="1" ht="17.399999999999999">
      <c r="A1" s="1155" t="s">
        <v>65</v>
      </c>
    </row>
    <row r="3" spans="1:7">
      <c r="A3" s="1157" t="s">
        <v>66</v>
      </c>
      <c r="B3" s="1158" t="s">
        <v>67</v>
      </c>
      <c r="G3" s="1159"/>
    </row>
    <row r="4" spans="1:7">
      <c r="G4" s="1159"/>
    </row>
    <row r="5" spans="1:7">
      <c r="A5" s="1161" t="s">
        <v>45</v>
      </c>
      <c r="B5" s="1158" t="s">
        <v>46</v>
      </c>
      <c r="G5" s="1159"/>
    </row>
    <row r="6" spans="1:7">
      <c r="G6" s="1159"/>
    </row>
    <row r="7" spans="1:7">
      <c r="A7" s="1162" t="s">
        <v>47</v>
      </c>
      <c r="B7" s="1158" t="s">
        <v>48</v>
      </c>
      <c r="G7" s="1159"/>
    </row>
    <row r="8" spans="1:7">
      <c r="G8" s="1159"/>
    </row>
    <row r="9" spans="1:7">
      <c r="A9" s="1163" t="s">
        <v>49</v>
      </c>
      <c r="B9" s="1158" t="s">
        <v>50</v>
      </c>
    </row>
    <row r="11" spans="1:7">
      <c r="A11" s="1164" t="s">
        <v>51</v>
      </c>
      <c r="B11" s="1165" t="s">
        <v>870</v>
      </c>
    </row>
    <row r="13" spans="1:7">
      <c r="A13" s="1166" t="s">
        <v>52</v>
      </c>
    </row>
    <row r="15" spans="1:7" ht="14.4">
      <c r="A15" s="3221" t="s">
        <v>53</v>
      </c>
      <c r="B15" s="3222" t="s">
        <v>844</v>
      </c>
      <c r="C15" s="3218"/>
    </row>
    <row r="16" spans="1:7" ht="14.4">
      <c r="A16" s="3221"/>
      <c r="B16" s="3219" t="s">
        <v>54</v>
      </c>
      <c r="C16" s="1167" t="s">
        <v>53</v>
      </c>
    </row>
    <row r="17" spans="1:3" ht="14.4">
      <c r="A17" s="3221"/>
      <c r="B17" s="3219"/>
      <c r="C17" s="1167" t="s">
        <v>55</v>
      </c>
    </row>
    <row r="18" spans="1:3" ht="14.4">
      <c r="A18" s="3221"/>
      <c r="B18" s="3219"/>
      <c r="C18" s="1167" t="s">
        <v>56</v>
      </c>
    </row>
    <row r="19" spans="1:3" ht="14.4">
      <c r="A19" s="3221"/>
      <c r="B19" s="3217" t="s">
        <v>57</v>
      </c>
      <c r="C19" s="3218"/>
    </row>
    <row r="20" spans="1:3" ht="14.4">
      <c r="A20" s="1168" t="s">
        <v>58</v>
      </c>
      <c r="B20" s="1169"/>
      <c r="C20" s="1170"/>
    </row>
    <row r="21" spans="1:3" ht="14.4">
      <c r="A21" s="3220" t="s">
        <v>59</v>
      </c>
      <c r="B21" s="3217" t="s">
        <v>60</v>
      </c>
      <c r="C21" s="3218"/>
    </row>
    <row r="22" spans="1:3" ht="14.4">
      <c r="A22" s="3220"/>
      <c r="B22" s="3217" t="s">
        <v>61</v>
      </c>
      <c r="C22" s="3218"/>
    </row>
    <row r="23" spans="1:3" ht="14.4">
      <c r="A23" s="3220"/>
      <c r="B23" s="3217" t="s">
        <v>62</v>
      </c>
      <c r="C23" s="3218"/>
    </row>
    <row r="24" spans="1:3" ht="14.4">
      <c r="A24" s="3220"/>
      <c r="B24" s="3223" t="s">
        <v>63</v>
      </c>
      <c r="C24" s="1171" t="s">
        <v>835</v>
      </c>
    </row>
    <row r="25" spans="1:3" ht="14.4">
      <c r="A25" s="3220"/>
      <c r="B25" s="3224"/>
      <c r="C25" s="1171" t="s">
        <v>836</v>
      </c>
    </row>
    <row r="26" spans="1:3" ht="14.4">
      <c r="A26" s="3220"/>
      <c r="B26" s="3224"/>
      <c r="C26" s="1171" t="s">
        <v>837</v>
      </c>
    </row>
    <row r="27" spans="1:3" ht="14.4">
      <c r="A27" s="3220"/>
      <c r="B27" s="3224"/>
      <c r="C27" s="1171" t="s">
        <v>838</v>
      </c>
    </row>
    <row r="28" spans="1:3" ht="14.4">
      <c r="A28" s="3220"/>
      <c r="B28" s="3224"/>
      <c r="C28" s="1171" t="s">
        <v>839</v>
      </c>
    </row>
    <row r="29" spans="1:3" ht="14.4">
      <c r="A29" s="3220"/>
      <c r="B29" s="3224"/>
      <c r="C29" s="1171" t="s">
        <v>840</v>
      </c>
    </row>
    <row r="30" spans="1:3" ht="14.4">
      <c r="A30" s="3220"/>
      <c r="B30" s="3224"/>
      <c r="C30" s="1171" t="s">
        <v>841</v>
      </c>
    </row>
    <row r="31" spans="1:3" ht="14.4">
      <c r="A31" s="3220"/>
      <c r="B31" s="3224"/>
      <c r="C31" s="1171" t="s">
        <v>842</v>
      </c>
    </row>
    <row r="32" spans="1:3" ht="14.4">
      <c r="A32" s="3220"/>
      <c r="B32" s="3224"/>
      <c r="C32" s="1171" t="s">
        <v>1644</v>
      </c>
    </row>
    <row r="33" spans="1:3" ht="14.4">
      <c r="A33" s="3220"/>
      <c r="B33" s="3214" t="s">
        <v>1650</v>
      </c>
      <c r="C33" s="1171" t="s">
        <v>1645</v>
      </c>
    </row>
    <row r="34" spans="1:3" ht="14.4">
      <c r="A34" s="3220"/>
      <c r="B34" s="3215"/>
      <c r="C34" s="1176" t="s">
        <v>1646</v>
      </c>
    </row>
    <row r="35" spans="1:3" ht="14.4">
      <c r="A35" s="3220"/>
      <c r="B35" s="3215"/>
      <c r="C35" s="1177" t="s">
        <v>1647</v>
      </c>
    </row>
    <row r="36" spans="1:3" ht="14.4">
      <c r="A36" s="3220"/>
      <c r="B36" s="3215"/>
      <c r="C36" s="1177" t="s">
        <v>1648</v>
      </c>
    </row>
    <row r="37" spans="1:3" ht="14.4">
      <c r="A37" s="3220"/>
      <c r="B37" s="3216"/>
      <c r="C37" s="1178" t="s">
        <v>1649</v>
      </c>
    </row>
    <row r="38" spans="1:3">
      <c r="A38" s="1172" t="s">
        <v>843</v>
      </c>
    </row>
    <row r="41" spans="1:3">
      <c r="A41" s="1172" t="s">
        <v>68</v>
      </c>
    </row>
    <row r="42" spans="1:3" ht="14.4">
      <c r="A42" s="1173" t="s">
        <v>851</v>
      </c>
    </row>
    <row r="43" spans="1:3" ht="14.4">
      <c r="A43" s="1174" t="s">
        <v>69</v>
      </c>
    </row>
    <row r="44" spans="1:3" ht="14.4">
      <c r="A44" s="1173" t="s">
        <v>850</v>
      </c>
    </row>
    <row r="45" spans="1:3" ht="14.4">
      <c r="A45" s="1175" t="s">
        <v>852</v>
      </c>
    </row>
    <row r="46" spans="1:3" ht="14.4">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7" sqref="C7"/>
    </sheetView>
  </sheetViews>
  <sheetFormatPr defaultColWidth="22.6640625" defaultRowHeight="20.25" customHeight="1"/>
  <cols>
    <col min="1" max="1" width="24.77734375" style="3123" customWidth="1"/>
    <col min="2" max="5" width="22.6640625" style="3123"/>
    <col min="6" max="6" width="25.6640625" style="3123" customWidth="1"/>
    <col min="7" max="16384" width="22.6640625" style="3123"/>
  </cols>
  <sheetData>
    <row r="2" spans="1:6" ht="20.25" customHeight="1">
      <c r="A2" s="3120" t="s">
        <v>1905</v>
      </c>
      <c r="B2" s="3121">
        <f ca="1">TODAY()</f>
        <v>44010</v>
      </c>
      <c r="C2" s="3122" t="s">
        <v>1906</v>
      </c>
      <c r="D2" s="3122"/>
    </row>
    <row r="3" spans="1:6" ht="20.25" customHeight="1">
      <c r="A3" s="3124" t="s">
        <v>1907</v>
      </c>
      <c r="B3" s="3125" t="s">
        <v>1908</v>
      </c>
      <c r="C3" s="3125" t="s">
        <v>1909</v>
      </c>
      <c r="D3" s="3126" t="s">
        <v>1910</v>
      </c>
      <c r="E3" s="3125" t="s">
        <v>1911</v>
      </c>
      <c r="F3" s="3125" t="s">
        <v>1909</v>
      </c>
    </row>
    <row r="4" spans="1:6" ht="20.25" customHeight="1">
      <c r="A4" s="3125" t="s">
        <v>1912</v>
      </c>
      <c r="B4" s="3125">
        <f ca="1">IF(C4&lt;B2,"已过期",1119970066)</f>
        <v>1119970066</v>
      </c>
      <c r="C4" s="3127">
        <v>44876</v>
      </c>
      <c r="D4" s="3125" t="s">
        <v>1912</v>
      </c>
      <c r="E4" s="3125">
        <f ca="1">IF(F4&lt;B2,"已过期",96010014)</f>
        <v>96010014</v>
      </c>
      <c r="F4" s="3128">
        <v>47118</v>
      </c>
    </row>
    <row r="5" spans="1:6" ht="20.25" customHeight="1">
      <c r="A5" s="3125"/>
      <c r="B5" s="3125"/>
      <c r="C5" s="3127"/>
      <c r="D5" s="3125"/>
      <c r="E5" s="3125"/>
      <c r="F5" s="3128"/>
    </row>
    <row r="6" spans="1:6" ht="20.25" customHeight="1">
      <c r="A6" s="3125" t="s">
        <v>1913</v>
      </c>
      <c r="B6" s="3125">
        <f ca="1">IF(C6&lt;B2,"已过期",1119970111)</f>
        <v>1119970111</v>
      </c>
      <c r="C6" s="3127">
        <v>44876</v>
      </c>
      <c r="D6" s="3125" t="s">
        <v>1913</v>
      </c>
      <c r="E6" s="3125">
        <f ca="1">IF(F6&lt;B2,"已过期",94010078)</f>
        <v>94010078</v>
      </c>
      <c r="F6" s="3128">
        <v>46387</v>
      </c>
    </row>
    <row r="7" spans="1:6" ht="20.25" customHeight="1">
      <c r="A7" s="3125" t="s">
        <v>1914</v>
      </c>
      <c r="B7" s="3125">
        <f ca="1">IF(C7&lt;B2,"已过期",1120050019)</f>
        <v>1120050019</v>
      </c>
      <c r="C7" s="3127">
        <v>44395</v>
      </c>
      <c r="D7" s="3125" t="s">
        <v>1914</v>
      </c>
      <c r="E7" s="3125">
        <f ca="1">IF(F7&lt;B2,"已过期",2002110030)</f>
        <v>2002110030</v>
      </c>
      <c r="F7" s="3128">
        <v>46387</v>
      </c>
    </row>
    <row r="8" spans="1:6" ht="20.25" customHeight="1">
      <c r="A8" s="3125" t="s">
        <v>1915</v>
      </c>
      <c r="B8" s="3125">
        <f ca="1">IF(C8&lt;B2,"已过期",1120000080)</f>
        <v>1120000080</v>
      </c>
      <c r="C8" s="3127">
        <v>44876</v>
      </c>
      <c r="D8" s="3125" t="s">
        <v>1915</v>
      </c>
      <c r="E8" s="3125">
        <f ca="1">IF(F8&lt;B2,"已过期",2000110082)</f>
        <v>2000110082</v>
      </c>
      <c r="F8" s="3128">
        <v>46387</v>
      </c>
    </row>
    <row r="9" spans="1:6" ht="20.25" customHeight="1">
      <c r="A9" s="3125" t="s">
        <v>1916</v>
      </c>
      <c r="B9" s="3125">
        <f ca="1">IF(C9&lt;B2,"已过期",1419970001)</f>
        <v>1419970001</v>
      </c>
      <c r="C9" s="3127">
        <v>44899</v>
      </c>
      <c r="D9" s="3125" t="s">
        <v>1916</v>
      </c>
      <c r="E9" s="3125">
        <f ca="1">IF(F9&lt;B2,"已过期",2002110125)</f>
        <v>2002110125</v>
      </c>
      <c r="F9" s="3128">
        <v>47118</v>
      </c>
    </row>
    <row r="10" spans="1:6" ht="20.25" customHeight="1">
      <c r="A10" s="3125" t="s">
        <v>1917</v>
      </c>
      <c r="B10" s="3125">
        <f ca="1">IF(C10&lt;B2,"已过期",1120060040)</f>
        <v>1120060040</v>
      </c>
      <c r="C10" s="3127">
        <v>44554</v>
      </c>
      <c r="D10" s="3125" t="s">
        <v>1917</v>
      </c>
      <c r="E10" s="3125">
        <f ca="1">IF(F10&lt;B2,"已过期",2004110096)</f>
        <v>2004110096</v>
      </c>
      <c r="F10" s="3128">
        <v>47118</v>
      </c>
    </row>
    <row r="11" spans="1:6" ht="20.25" customHeight="1">
      <c r="A11" s="3125" t="s">
        <v>1918</v>
      </c>
      <c r="B11" s="3125">
        <f ca="1">IF(C11&lt;B2,"已过期",1120100036)</f>
        <v>1120100036</v>
      </c>
      <c r="C11" s="3127">
        <v>44675</v>
      </c>
      <c r="D11" s="3125" t="s">
        <v>1918</v>
      </c>
      <c r="E11" s="3125">
        <f ca="1">IF(F11&lt;B2,"已过期",2010110070)</f>
        <v>2010110070</v>
      </c>
      <c r="F11" s="3128">
        <v>47907</v>
      </c>
    </row>
    <row r="12" spans="1:6" ht="20.25" customHeight="1">
      <c r="A12" s="3125"/>
      <c r="B12" s="3125"/>
      <c r="C12" s="3127"/>
      <c r="D12" s="3125"/>
      <c r="E12" s="3125"/>
      <c r="F12" s="3128"/>
    </row>
    <row r="13" spans="1:6" ht="20.25" customHeight="1">
      <c r="A13" s="3125" t="s">
        <v>1919</v>
      </c>
      <c r="B13" s="3125">
        <f ca="1">IF(C13&lt;B2,"已过期",1120070131)</f>
        <v>1120070131</v>
      </c>
      <c r="C13" s="3127">
        <v>44849</v>
      </c>
      <c r="D13" s="3125" t="s">
        <v>1919</v>
      </c>
      <c r="E13" s="3125">
        <f ca="1">IF(F13&lt;B2,"已过期",2014110011)</f>
        <v>2014110011</v>
      </c>
      <c r="F13" s="3128">
        <v>49302</v>
      </c>
    </row>
    <row r="14" spans="1:6" ht="20.25" customHeight="1">
      <c r="A14" s="3125" t="s">
        <v>2976</v>
      </c>
      <c r="B14" s="3125">
        <f ca="1">IF(C14&lt;B2,"已过期",1120040230)</f>
        <v>1120040230</v>
      </c>
      <c r="C14" s="3129">
        <v>44864</v>
      </c>
      <c r="D14" s="3130" t="s">
        <v>2977</v>
      </c>
      <c r="E14" s="3125">
        <f ca="1">IF(F14&lt;B2,"已过期",98030020)</f>
        <v>98030020</v>
      </c>
      <c r="F14" s="3128">
        <v>47118</v>
      </c>
    </row>
    <row r="15" spans="1:6" ht="20.25" customHeight="1">
      <c r="A15" s="3125"/>
      <c r="B15" s="3125"/>
      <c r="C15" s="3129"/>
      <c r="D15" s="3125"/>
      <c r="E15" s="3125"/>
      <c r="F15" s="3131"/>
    </row>
    <row r="16" spans="1:6" ht="20.25" customHeight="1">
      <c r="A16" s="3125"/>
      <c r="B16" s="3125"/>
      <c r="C16" s="3127"/>
      <c r="D16" s="3125"/>
      <c r="E16" s="3125"/>
      <c r="F16" s="3128"/>
    </row>
    <row r="17" spans="1:7" ht="20.25" customHeight="1">
      <c r="A17" s="3125"/>
      <c r="B17" s="3125"/>
      <c r="C17" s="3127"/>
      <c r="D17" s="3130"/>
      <c r="E17" s="3125"/>
      <c r="F17" s="3128"/>
    </row>
    <row r="18" spans="1:7" ht="20.25" customHeight="1">
      <c r="A18" s="3125" t="s">
        <v>2990</v>
      </c>
      <c r="B18" s="3125">
        <v>1120190079</v>
      </c>
      <c r="C18" s="3127">
        <v>44826</v>
      </c>
      <c r="D18" s="3125"/>
      <c r="E18" s="3125"/>
      <c r="F18" s="3128"/>
    </row>
    <row r="19" spans="1:7" ht="20.25" customHeight="1">
      <c r="A19" s="3125"/>
      <c r="B19" s="3125"/>
      <c r="C19" s="3127"/>
      <c r="D19" s="3125"/>
      <c r="E19" s="3125"/>
      <c r="F19" s="3125"/>
    </row>
    <row r="20" spans="1:7" ht="20.25" customHeight="1">
      <c r="A20" s="3125"/>
      <c r="B20" s="3125"/>
      <c r="C20" s="3127"/>
      <c r="D20" s="3125"/>
      <c r="E20" s="3125"/>
      <c r="F20" s="3125"/>
    </row>
    <row r="21" spans="1:7" ht="20.25" customHeight="1">
      <c r="A21" s="3125"/>
      <c r="B21" s="3125"/>
      <c r="C21" s="3127"/>
      <c r="D21" s="3125" t="s">
        <v>1920</v>
      </c>
      <c r="E21" s="3125">
        <f ca="1">IF(F21&lt;B2,"已过期",2011110090)</f>
        <v>2011110090</v>
      </c>
      <c r="F21" s="3128">
        <v>48302</v>
      </c>
    </row>
    <row r="22" spans="1:7" ht="20.25" customHeight="1">
      <c r="A22" s="3125" t="s">
        <v>1921</v>
      </c>
      <c r="B22" s="3125">
        <f ca="1">IF(C22&lt;B2,"已过期",1120020033)</f>
        <v>1120020033</v>
      </c>
      <c r="C22" s="3127">
        <v>44339</v>
      </c>
      <c r="D22" s="3125" t="s">
        <v>1921</v>
      </c>
      <c r="E22" s="3125">
        <f ca="1">IF(F22&lt;B2,"已过期",2000110137)</f>
        <v>2000110137</v>
      </c>
      <c r="F22" s="3128">
        <v>46387</v>
      </c>
    </row>
    <row r="23" spans="1:7" ht="20.25" customHeight="1">
      <c r="A23" s="3125" t="s">
        <v>2992</v>
      </c>
      <c r="B23" s="3125">
        <v>1119980106</v>
      </c>
      <c r="C23" s="3127">
        <v>44969</v>
      </c>
      <c r="D23" s="3125"/>
      <c r="E23" s="3125"/>
      <c r="F23" s="3125"/>
    </row>
    <row r="24" spans="1:7" s="3133" customFormat="1" ht="20.25" customHeight="1">
      <c r="A24" s="3124" t="s">
        <v>2049</v>
      </c>
      <c r="B24" s="3124" t="s">
        <v>2049</v>
      </c>
      <c r="C24" s="3127"/>
      <c r="D24" s="3132" t="s">
        <v>2049</v>
      </c>
      <c r="E24" s="3124" t="s">
        <v>2049</v>
      </c>
      <c r="F24" s="3131"/>
    </row>
    <row r="25" spans="1:7" ht="20.25" customHeight="1">
      <c r="A25" s="3225" t="s">
        <v>1922</v>
      </c>
      <c r="B25" s="3225"/>
      <c r="C25" s="3225"/>
      <c r="D25" s="3225"/>
      <c r="E25" s="3225"/>
      <c r="F25" s="3225"/>
      <c r="G25" s="3225"/>
    </row>
    <row r="26" spans="1:7" ht="20.25" customHeight="1">
      <c r="A26" s="3226" t="s">
        <v>1923</v>
      </c>
      <c r="B26" s="3226"/>
      <c r="C26" s="3226"/>
      <c r="D26" s="3226" t="s">
        <v>1924</v>
      </c>
      <c r="E26" s="3226"/>
      <c r="F26" s="3226"/>
    </row>
    <row r="27" spans="1:7" s="3120" customFormat="1" ht="20.25" customHeight="1">
      <c r="A27" s="3134" t="s">
        <v>1925</v>
      </c>
      <c r="B27" s="3135" t="s">
        <v>1926</v>
      </c>
      <c r="C27" s="3135" t="s">
        <v>1927</v>
      </c>
      <c r="D27" s="3125" t="s">
        <v>1925</v>
      </c>
      <c r="E27" s="3135" t="s">
        <v>1926</v>
      </c>
      <c r="F27" s="3135" t="s">
        <v>1927</v>
      </c>
    </row>
    <row r="28" spans="1:7" s="3120" customFormat="1" ht="20.25" customHeight="1">
      <c r="A28" s="3136" t="s">
        <v>1928</v>
      </c>
      <c r="B28" s="3136" t="s">
        <v>1929</v>
      </c>
      <c r="C28" s="3128">
        <v>44820</v>
      </c>
      <c r="D28" s="3136" t="s">
        <v>1930</v>
      </c>
      <c r="E28" s="3136" t="s">
        <v>1931</v>
      </c>
      <c r="F28" s="3137">
        <v>44377</v>
      </c>
    </row>
    <row r="29" spans="1:7" s="3120" customFormat="1" ht="20.25" customHeight="1">
      <c r="A29" s="3136"/>
      <c r="B29" s="3136"/>
      <c r="C29" s="3138"/>
      <c r="D29" s="3136" t="s">
        <v>1932</v>
      </c>
      <c r="E29" s="3136" t="s">
        <v>2991</v>
      </c>
      <c r="F29" s="3137">
        <v>44012</v>
      </c>
    </row>
    <row r="30" spans="1:7" ht="20.25" customHeight="1">
      <c r="C30" s="3139"/>
      <c r="D30" s="3139"/>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3.8"/>
  <cols>
    <col min="1" max="1" width="10.33203125" style="1180" customWidth="1"/>
    <col min="2" max="2" width="18.88671875" style="1158"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8" customWidth="1"/>
    <col min="25" max="25" width="7.21875" style="1158" customWidth="1"/>
    <col min="26" max="16384" width="9" style="1158"/>
  </cols>
  <sheetData>
    <row r="1" spans="1:23" s="1179" customFormat="1" ht="28.8">
      <c r="A1" s="966" t="s">
        <v>854</v>
      </c>
      <c r="B1" s="5" t="s">
        <v>132</v>
      </c>
      <c r="C1" s="1536"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2540</v>
      </c>
      <c r="R1" s="2546" t="s">
        <v>2534</v>
      </c>
      <c r="S1" s="6" t="s">
        <v>146</v>
      </c>
      <c r="T1" s="7" t="s">
        <v>147</v>
      </c>
      <c r="U1" s="6" t="s">
        <v>148</v>
      </c>
      <c r="V1" s="6" t="s">
        <v>149</v>
      </c>
      <c r="W1" s="1003" t="s">
        <v>872</v>
      </c>
    </row>
    <row r="2" spans="1:23" ht="14.4">
      <c r="A2" s="8" t="s">
        <v>73</v>
      </c>
      <c r="B2" s="8" t="s">
        <v>150</v>
      </c>
      <c r="C2" s="1537" t="s">
        <v>1707</v>
      </c>
      <c r="D2" s="9" t="s">
        <v>74</v>
      </c>
      <c r="E2" s="9" t="s">
        <v>127</v>
      </c>
      <c r="F2" s="9" t="s">
        <v>128</v>
      </c>
      <c r="G2" s="9">
        <v>40</v>
      </c>
      <c r="H2" s="9" t="s">
        <v>129</v>
      </c>
      <c r="I2" s="9" t="s">
        <v>130</v>
      </c>
      <c r="J2" s="9" t="s">
        <v>131</v>
      </c>
      <c r="K2" s="9" t="s">
        <v>75</v>
      </c>
      <c r="L2" s="9" t="s">
        <v>75</v>
      </c>
      <c r="M2" s="9" t="s">
        <v>75</v>
      </c>
      <c r="N2" s="9" t="s">
        <v>75</v>
      </c>
      <c r="O2" s="9" t="s">
        <v>75</v>
      </c>
      <c r="P2" s="1005" t="s">
        <v>878</v>
      </c>
      <c r="Q2" s="9" t="s">
        <v>75</v>
      </c>
      <c r="R2" s="1005" t="s">
        <v>2535</v>
      </c>
      <c r="S2" s="9" t="s">
        <v>75</v>
      </c>
      <c r="T2" s="9" t="s">
        <v>76</v>
      </c>
      <c r="U2" s="9" t="s">
        <v>75</v>
      </c>
      <c r="V2" s="9" t="s">
        <v>77</v>
      </c>
      <c r="W2" s="9" t="s">
        <v>873</v>
      </c>
    </row>
    <row r="3" spans="1:23" ht="14.4">
      <c r="A3" s="8" t="s">
        <v>78</v>
      </c>
      <c r="B3" s="10" t="s">
        <v>151</v>
      </c>
      <c r="C3" s="1538" t="s">
        <v>1708</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2536</v>
      </c>
      <c r="S3" s="9" t="s">
        <v>84</v>
      </c>
      <c r="T3" s="9" t="s">
        <v>85</v>
      </c>
      <c r="U3" s="9" t="s">
        <v>84</v>
      </c>
      <c r="V3" s="9" t="s">
        <v>86</v>
      </c>
      <c r="W3" s="9" t="s">
        <v>874</v>
      </c>
    </row>
    <row r="4" spans="1:23" ht="14.4">
      <c r="A4" s="8" t="s">
        <v>87</v>
      </c>
      <c r="B4" s="8" t="s">
        <v>152</v>
      </c>
      <c r="C4" s="1537" t="s">
        <v>1709</v>
      </c>
      <c r="D4" s="9" t="s">
        <v>1990</v>
      </c>
      <c r="E4" s="9" t="s">
        <v>88</v>
      </c>
      <c r="F4" s="9" t="s">
        <v>89</v>
      </c>
      <c r="G4" s="9">
        <v>70</v>
      </c>
      <c r="H4" s="9" t="s">
        <v>90</v>
      </c>
      <c r="I4" s="9" t="s">
        <v>91</v>
      </c>
      <c r="K4" s="9" t="s">
        <v>92</v>
      </c>
      <c r="L4" s="9" t="s">
        <v>92</v>
      </c>
      <c r="M4" s="9" t="s">
        <v>92</v>
      </c>
      <c r="N4" s="9" t="s">
        <v>92</v>
      </c>
      <c r="O4" s="9" t="s">
        <v>92</v>
      </c>
      <c r="P4" s="1005" t="s">
        <v>760</v>
      </c>
      <c r="Q4" s="9" t="s">
        <v>92</v>
      </c>
      <c r="R4" s="1005" t="s">
        <v>2537</v>
      </c>
      <c r="S4" s="9" t="s">
        <v>92</v>
      </c>
      <c r="T4" s="9" t="s">
        <v>93</v>
      </c>
      <c r="U4" s="9" t="s">
        <v>92</v>
      </c>
      <c r="W4" s="9" t="s">
        <v>875</v>
      </c>
    </row>
    <row r="5" spans="1:23" ht="14.4">
      <c r="A5" s="8" t="s">
        <v>94</v>
      </c>
      <c r="B5" s="8" t="s">
        <v>153</v>
      </c>
      <c r="C5" s="1537" t="s">
        <v>1710</v>
      </c>
      <c r="F5" s="9" t="s">
        <v>95</v>
      </c>
      <c r="H5" s="9" t="s">
        <v>70</v>
      </c>
      <c r="I5" s="9" t="s">
        <v>96</v>
      </c>
      <c r="K5" s="9" t="s">
        <v>97</v>
      </c>
      <c r="L5" s="9" t="s">
        <v>97</v>
      </c>
      <c r="M5" s="9" t="s">
        <v>97</v>
      </c>
      <c r="N5" s="9" t="s">
        <v>97</v>
      </c>
      <c r="O5" s="9" t="s">
        <v>97</v>
      </c>
      <c r="P5" s="1005" t="s">
        <v>546</v>
      </c>
      <c r="Q5" s="9" t="s">
        <v>97</v>
      </c>
      <c r="R5" s="1005" t="s">
        <v>2538</v>
      </c>
      <c r="S5" s="9" t="s">
        <v>97</v>
      </c>
      <c r="T5" s="9" t="s">
        <v>98</v>
      </c>
      <c r="U5" s="9" t="s">
        <v>97</v>
      </c>
      <c r="W5" s="9" t="s">
        <v>876</v>
      </c>
    </row>
    <row r="6" spans="1:23" ht="14.4">
      <c r="A6" s="8" t="s">
        <v>99</v>
      </c>
      <c r="B6" s="1144" t="s">
        <v>1638</v>
      </c>
      <c r="C6" s="1539" t="s">
        <v>1711</v>
      </c>
      <c r="F6" s="9" t="s">
        <v>71</v>
      </c>
      <c r="H6" s="9" t="s">
        <v>72</v>
      </c>
      <c r="I6" s="9" t="s">
        <v>100</v>
      </c>
      <c r="K6" s="9" t="s">
        <v>101</v>
      </c>
      <c r="L6" s="9" t="s">
        <v>101</v>
      </c>
      <c r="M6" s="9" t="s">
        <v>101</v>
      </c>
      <c r="N6" s="9" t="s">
        <v>101</v>
      </c>
      <c r="O6" s="9" t="s">
        <v>101</v>
      </c>
      <c r="P6" s="1005" t="s">
        <v>879</v>
      </c>
      <c r="Q6" s="9" t="s">
        <v>101</v>
      </c>
      <c r="R6" s="1005" t="s">
        <v>2539</v>
      </c>
      <c r="S6" s="9" t="s">
        <v>101</v>
      </c>
      <c r="T6" s="9"/>
      <c r="U6" s="9" t="s">
        <v>101</v>
      </c>
      <c r="W6" s="9" t="s">
        <v>877</v>
      </c>
    </row>
    <row r="7" spans="1:23" ht="14.4">
      <c r="A7" s="8" t="s">
        <v>102</v>
      </c>
      <c r="B7" s="8" t="s">
        <v>103</v>
      </c>
      <c r="C7" s="1537" t="s">
        <v>1712</v>
      </c>
      <c r="F7" s="9" t="s">
        <v>154</v>
      </c>
      <c r="H7" s="9" t="s">
        <v>104</v>
      </c>
      <c r="I7" s="9" t="s">
        <v>105</v>
      </c>
    </row>
    <row r="8" spans="1:23" ht="14.4">
      <c r="A8" s="8" t="s">
        <v>106</v>
      </c>
      <c r="B8" s="8" t="s">
        <v>107</v>
      </c>
      <c r="C8" s="1537" t="s">
        <v>1713</v>
      </c>
      <c r="F8" s="9" t="s">
        <v>155</v>
      </c>
      <c r="H8" s="9"/>
      <c r="I8" s="9" t="s">
        <v>108</v>
      </c>
    </row>
    <row r="9" spans="1:23" ht="14.4">
      <c r="A9" s="8" t="s">
        <v>109</v>
      </c>
      <c r="B9" s="8" t="s">
        <v>156</v>
      </c>
      <c r="C9" s="1537" t="s">
        <v>1714</v>
      </c>
      <c r="F9" s="9" t="s">
        <v>110</v>
      </c>
      <c r="H9" s="9"/>
    </row>
    <row r="10" spans="1:23" ht="14.4">
      <c r="A10" s="8" t="s">
        <v>111</v>
      </c>
      <c r="B10" s="8" t="s">
        <v>157</v>
      </c>
      <c r="C10" s="1537" t="s">
        <v>1715</v>
      </c>
      <c r="F10" s="9" t="s">
        <v>6</v>
      </c>
    </row>
    <row r="11" spans="1:23" ht="14.4">
      <c r="A11" s="8" t="s">
        <v>112</v>
      </c>
      <c r="B11" s="8" t="s">
        <v>158</v>
      </c>
      <c r="C11" s="1537" t="s">
        <v>1716</v>
      </c>
    </row>
    <row r="12" spans="1:23" ht="14.4">
      <c r="A12" s="8" t="s">
        <v>113</v>
      </c>
      <c r="B12" s="8" t="s">
        <v>159</v>
      </c>
      <c r="C12" s="1537" t="s">
        <v>1717</v>
      </c>
    </row>
    <row r="13" spans="1:23" ht="14.4">
      <c r="A13" s="8" t="s">
        <v>114</v>
      </c>
      <c r="B13" s="8" t="s">
        <v>160</v>
      </c>
      <c r="C13" s="1537" t="s">
        <v>1718</v>
      </c>
    </row>
    <row r="14" spans="1:23" ht="14.4">
      <c r="A14" s="8" t="s">
        <v>115</v>
      </c>
      <c r="B14" s="8" t="s">
        <v>161</v>
      </c>
      <c r="C14" s="1540" t="s">
        <v>1894</v>
      </c>
    </row>
    <row r="15" spans="1:23" ht="14.4">
      <c r="A15" s="8" t="s">
        <v>116</v>
      </c>
      <c r="B15" s="8" t="s">
        <v>1679</v>
      </c>
      <c r="C15" s="1540"/>
    </row>
    <row r="16" spans="1:23" ht="14.4">
      <c r="A16" s="8" t="s">
        <v>117</v>
      </c>
      <c r="B16" s="8" t="s">
        <v>1680</v>
      </c>
      <c r="C16" s="1540"/>
    </row>
    <row r="17" spans="1:3" ht="14.4">
      <c r="A17" s="8" t="s">
        <v>118</v>
      </c>
      <c r="B17" s="8" t="s">
        <v>1681</v>
      </c>
      <c r="C17" s="1540"/>
    </row>
    <row r="18" spans="1:3" ht="14.4">
      <c r="A18" s="8" t="s">
        <v>119</v>
      </c>
      <c r="B18" s="3058" t="s">
        <v>2950</v>
      </c>
      <c r="C18" s="1540"/>
    </row>
    <row r="19" spans="1:3" ht="14.4">
      <c r="A19" s="8" t="s">
        <v>120</v>
      </c>
      <c r="B19" s="3058" t="s">
        <v>2958</v>
      </c>
      <c r="C19" s="1540"/>
    </row>
    <row r="20" spans="1:3" ht="14.4">
      <c r="A20" s="8" t="s">
        <v>121</v>
      </c>
      <c r="B20" s="8" t="s">
        <v>1639</v>
      </c>
      <c r="C20" s="1540"/>
    </row>
    <row r="21" spans="1:3" ht="14.4">
      <c r="A21" s="8" t="s">
        <v>122</v>
      </c>
      <c r="B21" s="8" t="s">
        <v>1639</v>
      </c>
      <c r="C21" s="1540"/>
    </row>
    <row r="22" spans="1:3" ht="14.4">
      <c r="A22" s="8" t="s">
        <v>123</v>
      </c>
      <c r="B22" s="8" t="s">
        <v>1639</v>
      </c>
      <c r="C22" s="1540"/>
    </row>
    <row r="23" spans="1:3" ht="14.4">
      <c r="A23" s="8" t="s">
        <v>124</v>
      </c>
      <c r="B23" s="8" t="s">
        <v>1639</v>
      </c>
      <c r="C23" s="1540"/>
    </row>
    <row r="24" spans="1:3">
      <c r="A24" s="8" t="s">
        <v>12</v>
      </c>
      <c r="B24" s="8" t="s">
        <v>1639</v>
      </c>
      <c r="C24" s="1540"/>
    </row>
    <row r="25" spans="1:3" ht="14.4">
      <c r="A25" s="8" t="s">
        <v>125</v>
      </c>
      <c r="B25" s="8" t="s">
        <v>1639</v>
      </c>
      <c r="C25" s="1540"/>
    </row>
    <row r="26" spans="1:3" ht="14.4">
      <c r="A26" s="8" t="s">
        <v>126</v>
      </c>
      <c r="B26" s="8" t="s">
        <v>1639</v>
      </c>
      <c r="C26" s="1540"/>
    </row>
    <row r="27" spans="1:3">
      <c r="A27" s="8" t="s">
        <v>1639</v>
      </c>
      <c r="B27" s="8" t="s">
        <v>1639</v>
      </c>
      <c r="C27" s="1540"/>
    </row>
    <row r="28" spans="1:3">
      <c r="A28" s="8" t="s">
        <v>1639</v>
      </c>
      <c r="B28" s="8" t="s">
        <v>1639</v>
      </c>
      <c r="C28" s="1540"/>
    </row>
    <row r="29" spans="1:3">
      <c r="A29" s="8" t="s">
        <v>1639</v>
      </c>
      <c r="B29" s="8" t="s">
        <v>1639</v>
      </c>
      <c r="C29" s="1540"/>
    </row>
    <row r="30" spans="1:3">
      <c r="A30" s="8" t="s">
        <v>1639</v>
      </c>
      <c r="B30" s="8" t="s">
        <v>1639</v>
      </c>
      <c r="C30" s="1540"/>
    </row>
    <row r="31" spans="1:3">
      <c r="A31" s="8" t="s">
        <v>1639</v>
      </c>
      <c r="B31" s="8" t="s">
        <v>1639</v>
      </c>
      <c r="C31" s="1540"/>
    </row>
    <row r="32" spans="1:3">
      <c r="A32" s="8" t="s">
        <v>1639</v>
      </c>
      <c r="B32" s="8" t="s">
        <v>1639</v>
      </c>
      <c r="C32" s="1540"/>
    </row>
    <row r="33" spans="1:3">
      <c r="A33" s="8" t="s">
        <v>1639</v>
      </c>
      <c r="B33" s="8" t="s">
        <v>1639</v>
      </c>
      <c r="C33" s="1540"/>
    </row>
    <row r="34" spans="1:3">
      <c r="A34" s="8" t="s">
        <v>1639</v>
      </c>
      <c r="B34" s="8" t="s">
        <v>1639</v>
      </c>
      <c r="C34" s="1540"/>
    </row>
    <row r="35" spans="1:3">
      <c r="A35" s="8" t="s">
        <v>1639</v>
      </c>
      <c r="B35" s="8" t="s">
        <v>1639</v>
      </c>
      <c r="C35" s="1540"/>
    </row>
    <row r="36" spans="1:3">
      <c r="A36" s="8" t="s">
        <v>1639</v>
      </c>
      <c r="B36" s="8" t="s">
        <v>1639</v>
      </c>
      <c r="C36" s="1540"/>
    </row>
    <row r="37" spans="1:3">
      <c r="A37" s="8" t="s">
        <v>1639</v>
      </c>
      <c r="B37" s="8" t="s">
        <v>1639</v>
      </c>
      <c r="C37" s="1540"/>
    </row>
    <row r="38" spans="1:3">
      <c r="A38" s="8" t="s">
        <v>1639</v>
      </c>
      <c r="B38" s="8" t="s">
        <v>1639</v>
      </c>
      <c r="C38" s="1540"/>
    </row>
    <row r="39" spans="1:3">
      <c r="A39" s="8" t="s">
        <v>1639</v>
      </c>
      <c r="B39" s="8" t="s">
        <v>1639</v>
      </c>
      <c r="C39" s="1540"/>
    </row>
    <row r="40" spans="1:3">
      <c r="A40" s="8" t="s">
        <v>1639</v>
      </c>
      <c r="B40" s="8" t="s">
        <v>1639</v>
      </c>
      <c r="C40" s="1540"/>
    </row>
    <row r="41" spans="1:3">
      <c r="A41" s="8" t="s">
        <v>1639</v>
      </c>
      <c r="B41" s="8" t="s">
        <v>1639</v>
      </c>
      <c r="C41" s="1540"/>
    </row>
    <row r="42" spans="1:3">
      <c r="A42" s="8" t="s">
        <v>1639</v>
      </c>
      <c r="B42" s="8" t="s">
        <v>1639</v>
      </c>
      <c r="C42" s="1540"/>
    </row>
    <row r="43" spans="1:3">
      <c r="A43" s="8" t="s">
        <v>1639</v>
      </c>
      <c r="B43" s="8" t="s">
        <v>1639</v>
      </c>
      <c r="C43" s="1540"/>
    </row>
    <row r="44" spans="1:3">
      <c r="A44" s="8" t="s">
        <v>1639</v>
      </c>
      <c r="B44" s="8" t="s">
        <v>1639</v>
      </c>
      <c r="C44" s="1540"/>
    </row>
    <row r="45" spans="1:3">
      <c r="A45" s="8" t="s">
        <v>1639</v>
      </c>
      <c r="B45" s="8" t="s">
        <v>1639</v>
      </c>
      <c r="C45" s="1540"/>
    </row>
    <row r="46" spans="1:3">
      <c r="A46" s="8" t="s">
        <v>1639</v>
      </c>
      <c r="B46" s="8" t="s">
        <v>1639</v>
      </c>
      <c r="C46" s="1540"/>
    </row>
    <row r="47" spans="1:3">
      <c r="A47" s="8" t="s">
        <v>1639</v>
      </c>
      <c r="B47" s="8" t="s">
        <v>1639</v>
      </c>
      <c r="C47" s="1540"/>
    </row>
    <row r="48" spans="1:3">
      <c r="A48" s="8" t="s">
        <v>1639</v>
      </c>
      <c r="B48" s="8" t="s">
        <v>1639</v>
      </c>
      <c r="C48" s="1540"/>
    </row>
    <row r="49" spans="1:5">
      <c r="A49" s="8" t="s">
        <v>1639</v>
      </c>
      <c r="B49" s="8" t="s">
        <v>1639</v>
      </c>
      <c r="C49" s="1540"/>
    </row>
    <row r="50" spans="1:5">
      <c r="A50" s="8" t="s">
        <v>1639</v>
      </c>
      <c r="B50" s="8" t="s">
        <v>1639</v>
      </c>
      <c r="C50" s="1540"/>
    </row>
    <row r="51" spans="1:5">
      <c r="A51" s="1750" t="s">
        <v>1938</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太原市尖草坪区大东流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1982</v>
      </c>
      <c r="B52" s="1753" t="s">
        <v>1983</v>
      </c>
      <c r="C52" s="1751" t="s">
        <v>1984</v>
      </c>
      <c r="D52" s="1751" t="s">
        <v>1985</v>
      </c>
      <c r="E52" s="1752"/>
    </row>
    <row r="53" spans="1:5">
      <c r="A53" s="3227" t="s">
        <v>1986</v>
      </c>
      <c r="B53" s="1751" t="s">
        <v>1992</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24日，在规划利用条件下、设定土地开发程度为红线外“七通”、宗地内场地，设定用途为，剩余土地使用年限为的出让国有建设用地使用权价格。</v>
      </c>
      <c r="D53" s="1752"/>
      <c r="E53" s="1752"/>
    </row>
    <row r="54" spans="1:5">
      <c r="A54" s="3227"/>
      <c r="B54" s="1751" t="s">
        <v>1993</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27"/>
      <c r="B55" s="1751" t="s">
        <v>1987</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27"/>
      <c r="B56" s="1751" t="s">
        <v>1988</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27"/>
      <c r="B57" s="1751" t="s">
        <v>1989</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ht="14.4">
      <c r="A58" s="1754" t="s">
        <v>2045</v>
      </c>
      <c r="B58" s="1751" t="s">
        <v>2046</v>
      </c>
      <c r="C58" s="11" t="s">
        <v>2047</v>
      </c>
      <c r="D58" s="1314"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指标</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2020-06-28T07:13:30Z</dcterms:modified>
</cp:coreProperties>
</file>