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120" windowWidth="11472" windowHeight="95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7" i="9" l="1"/>
  <c r="M43" i="21"/>
  <c r="M42" i="21"/>
  <c r="Q35" i="43"/>
  <c r="C66" i="9" l="1"/>
  <c r="E47" i="21"/>
  <c r="I47" i="21"/>
  <c r="O37" i="43" l="1"/>
  <c r="P36" i="43"/>
  <c r="P35" i="43"/>
  <c r="O36" i="43"/>
  <c r="M50" i="21"/>
  <c r="D38" i="43"/>
  <c r="D29" i="43"/>
  <c r="G47" i="21" l="1"/>
  <c r="I37" i="21" l="1"/>
  <c r="G37" i="21"/>
  <c r="E37" i="21"/>
  <c r="C33" i="21" l="1"/>
  <c r="N6" i="1" l="1"/>
  <c r="X5" i="71"/>
  <c r="Y5" i="71"/>
  <c r="Z5" i="71"/>
  <c r="AA5" i="71"/>
  <c r="AB5" i="71"/>
  <c r="AD5" i="71"/>
  <c r="AE5" i="71"/>
  <c r="AF5" i="71"/>
  <c r="AG5" i="71"/>
  <c r="AH5" i="71"/>
  <c r="F5" i="71"/>
  <c r="E5" i="71"/>
  <c r="B5" i="71"/>
  <c r="C6" i="71"/>
  <c r="B6" i="71"/>
  <c r="C5" i="71"/>
  <c r="D5" i="71"/>
  <c r="E6" i="71"/>
  <c r="Y6"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s="1"/>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C48" i="69"/>
  <c r="F32" i="15"/>
  <c r="F60" i="15"/>
  <c r="M18" i="15"/>
  <c r="F28" i="15"/>
  <c r="E63" i="39"/>
  <c r="T11" i="1"/>
  <c r="AR11" i="1"/>
  <c r="E59" i="40"/>
  <c r="C28" i="15"/>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K19" i="6"/>
  <c r="S6" i="1" s="1"/>
  <c r="E6" i="70" s="1"/>
  <c r="E2" i="70"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M20" i="6"/>
  <c r="I20" i="6" s="1"/>
  <c r="AP7" i="1"/>
  <c r="M7" i="1"/>
  <c r="O7" i="1" s="1"/>
  <c r="Q16" i="1"/>
  <c r="F27" i="69" s="1"/>
  <c r="H16" i="1"/>
  <c r="AB45" i="21"/>
  <c r="AC33" i="21"/>
  <c r="W32" i="21"/>
  <c r="U9" i="21"/>
  <c r="W9" i="21"/>
  <c r="AC9" i="21"/>
  <c r="T7" i="1"/>
  <c r="C30" i="1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3" i="6"/>
  <c r="R23" i="6" s="1"/>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30" i="69"/>
  <c r="C74" i="9"/>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D2" i="21"/>
  <c r="E2" i="68"/>
  <c r="F26" i="67"/>
  <c r="L48" i="67"/>
  <c r="B10" i="76"/>
  <c r="D2" i="35"/>
  <c r="D2" i="36"/>
  <c r="AO12" i="1"/>
  <c r="L47" i="15"/>
  <c r="F41" i="67"/>
  <c r="M8" i="67"/>
  <c r="E13" i="76"/>
  <c r="L47" i="67"/>
  <c r="M26" i="15"/>
  <c r="B7" i="76"/>
  <c r="E7" i="76"/>
  <c r="M27" i="15"/>
  <c r="F43" i="15"/>
  <c r="F38" i="67"/>
  <c r="F43" i="67"/>
  <c r="AO10" i="1"/>
  <c r="C14" i="15"/>
  <c r="M23" i="67"/>
  <c r="F35" i="67"/>
  <c r="F36" i="15"/>
  <c r="F7" i="67"/>
  <c r="F7" i="73"/>
  <c r="F37" i="67"/>
  <c r="D2" i="33"/>
  <c r="M26" i="67"/>
  <c r="AO7" i="1"/>
  <c r="F20" i="31"/>
  <c r="F5" i="73"/>
  <c r="F8" i="67"/>
  <c r="M24" i="67"/>
  <c r="F6" i="67"/>
  <c r="M8" i="15"/>
  <c r="F6" i="73"/>
  <c r="B12" i="76"/>
  <c r="F36" i="67"/>
  <c r="M28" i="67"/>
  <c r="D6" i="73"/>
  <c r="M22" i="15"/>
  <c r="D2" i="34"/>
  <c r="M6" i="67"/>
  <c r="E9" i="76"/>
  <c r="F16" i="15"/>
  <c r="AO13" i="1"/>
  <c r="M27" i="67"/>
  <c r="M23" i="15"/>
  <c r="F37" i="15"/>
  <c r="F38" i="15"/>
  <c r="M9" i="15"/>
  <c r="M24" i="15"/>
  <c r="C76" i="67"/>
  <c r="B11" i="76"/>
  <c r="F16" i="67"/>
  <c r="J15" i="67"/>
  <c r="B13" i="76"/>
  <c r="F3" i="73"/>
  <c r="E10" i="76"/>
  <c r="D7" i="73"/>
  <c r="M6" i="15"/>
  <c r="E12" i="76"/>
  <c r="AO11" i="1"/>
  <c r="F26" i="15"/>
  <c r="AO9" i="1"/>
  <c r="M22" i="67"/>
  <c r="M29" i="15"/>
  <c r="F40" i="67"/>
  <c r="AO8" i="1"/>
  <c r="L48" i="15"/>
  <c r="F13" i="15"/>
  <c r="M21" i="67"/>
  <c r="F9" i="15"/>
  <c r="F13" i="67"/>
  <c r="F42" i="15"/>
  <c r="B9" i="76"/>
  <c r="D4" i="73"/>
  <c r="F4" i="73"/>
  <c r="M29" i="67"/>
  <c r="D2" i="37"/>
  <c r="J15" i="15"/>
  <c r="M28" i="15"/>
  <c r="E11" i="76"/>
  <c r="F40" i="15"/>
  <c r="F42" i="67"/>
  <c r="F7" i="15"/>
  <c r="D3" i="73"/>
  <c r="M9" i="67"/>
  <c r="E8" i="76"/>
  <c r="F9" i="67"/>
  <c r="F8" i="15"/>
  <c r="C76" i="15"/>
  <c r="E2" i="69"/>
  <c r="F6" i="15"/>
  <c r="D5" i="73"/>
  <c r="B8" i="76"/>
  <c r="I37" i="15" l="1"/>
  <c r="M19" i="6"/>
  <c r="L27" i="6"/>
  <c r="H21" i="6"/>
  <c r="H22" i="6"/>
  <c r="T8" i="1"/>
  <c r="T9" i="1"/>
  <c r="AQ9" i="1"/>
  <c r="C5" i="11"/>
  <c r="C20" i="11" s="1"/>
  <c r="M106" i="43"/>
  <c r="H37" i="2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F27" i="11"/>
  <c r="S20" i="6"/>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G1" i="73"/>
  <c r="C14" i="67"/>
  <c r="C16" i="15"/>
  <c r="C17" i="15"/>
  <c r="C17" i="67"/>
  <c r="C16" i="67"/>
  <c r="M27" i="6" l="1"/>
  <c r="I19" i="6"/>
  <c r="U37" i="2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D6" i="6"/>
  <c r="D10" i="68"/>
  <c r="D10" i="69"/>
  <c r="K15" i="1"/>
  <c r="K16" i="1" s="1"/>
  <c r="B29" i="1" s="1"/>
  <c r="C8" i="68"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C18" i="12" l="1"/>
  <c r="S19" i="6"/>
  <c r="S27" i="6" s="1"/>
  <c r="I27" i="6"/>
  <c r="H19" i="6"/>
  <c r="AC10" i="40"/>
  <c r="AA10" i="40"/>
  <c r="E41" i="43"/>
  <c r="C41" i="43" s="1"/>
  <c r="C20" i="43"/>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R19" i="6" l="1"/>
  <c r="H27" i="6"/>
  <c r="C33" i="11"/>
  <c r="C39" i="11" s="1"/>
  <c r="C46" i="11" s="1"/>
  <c r="C45" i="11" s="1"/>
  <c r="F69" i="15"/>
  <c r="J29" i="15"/>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R27" i="6" l="1"/>
  <c r="R6" i="1"/>
  <c r="C39" i="43"/>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F35" i="15"/>
  <c r="M21" i="15"/>
  <c r="J20" i="15" l="1"/>
  <c r="J17" i="15" s="1"/>
  <c r="C34" i="15"/>
  <c r="C31" i="15" s="1"/>
  <c r="F63" i="15"/>
  <c r="C62" i="15" s="1"/>
  <c r="R16" i="1"/>
  <c r="E34" i="43"/>
  <c r="E36" i="43"/>
  <c r="E35" i="43"/>
  <c r="E37" i="43"/>
  <c r="E29" i="43"/>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30" i="15" l="1"/>
  <c r="C39" i="15" s="1"/>
  <c r="C40" i="15" s="1"/>
  <c r="C59" i="15"/>
  <c r="C58" i="15" s="1"/>
  <c r="C67" i="15" s="1"/>
  <c r="C68" i="15" s="1"/>
  <c r="C71" i="15"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Q69" i="67"/>
  <c r="Q68" i="67" s="1"/>
  <c r="C40" i="67"/>
  <c r="C57" i="69"/>
  <c r="C56" i="69" s="1"/>
  <c r="L51" i="15"/>
  <c r="E6" i="76"/>
  <c r="E2" i="76" l="1"/>
  <c r="B2" i="43"/>
  <c r="C6" i="68" s="1"/>
  <c r="C7" i="68" s="1"/>
  <c r="C5"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B6" i="76"/>
  <c r="C20" i="68" l="1"/>
  <c r="C25" i="68" s="1"/>
  <c r="C23" i="68"/>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D20" i="9"/>
  <c r="C28" i="68" l="1"/>
  <c r="C27" i="68" s="1"/>
  <c r="C22" i="68"/>
  <c r="C21" i="9"/>
  <c r="C102" i="9"/>
  <c r="G19" i="9"/>
  <c r="G21" i="9" s="1"/>
  <c r="D22" i="9"/>
  <c r="D103" i="9"/>
  <c r="H7" i="39"/>
  <c r="J7" i="39"/>
  <c r="AA7" i="39"/>
  <c r="R47" i="39" s="1"/>
  <c r="S7" i="39"/>
  <c r="R39" i="35"/>
  <c r="E38" i="35"/>
  <c r="M63" i="40"/>
  <c r="L65" i="40"/>
  <c r="C20" i="9"/>
  <c r="C31" i="68" l="1"/>
  <c r="C52" i="68" s="1"/>
  <c r="C57" i="68" s="1"/>
  <c r="C56" i="68" s="1"/>
  <c r="C103" i="9"/>
  <c r="G20" i="9"/>
  <c r="C32" i="9" s="1"/>
  <c r="E47" i="39"/>
  <c r="R48" i="39"/>
  <c r="W7" i="39"/>
  <c r="AC7" i="39"/>
  <c r="V47" i="39" s="1"/>
  <c r="I47" i="39" s="1"/>
  <c r="U7" i="39"/>
  <c r="AB7" i="39"/>
  <c r="T47" i="39" s="1"/>
  <c r="G47" i="39" s="1"/>
  <c r="C39" i="35"/>
  <c r="B2" i="35" s="1"/>
  <c r="B3" i="35" s="1"/>
  <c r="C38" i="35"/>
  <c r="N63" i="40"/>
  <c r="M65" i="40"/>
  <c r="E43" i="35"/>
  <c r="F43" i="35" s="1"/>
  <c r="E42" i="35"/>
  <c r="F42" i="35" s="1"/>
  <c r="I43" i="35"/>
  <c r="J43" i="35" s="1"/>
  <c r="B2" i="68" l="1"/>
  <c r="E52" i="39"/>
  <c r="F52" i="39" s="1"/>
  <c r="E51" i="39"/>
  <c r="F51" i="39" s="1"/>
  <c r="G51" i="39"/>
  <c r="H51" i="39" s="1"/>
  <c r="G52" i="39"/>
  <c r="H52" i="39" s="1"/>
  <c r="I51" i="39"/>
  <c r="J51" i="39" s="1"/>
  <c r="I52" i="39"/>
  <c r="J52" i="39" s="1"/>
  <c r="C48" i="39"/>
  <c r="C47" i="39"/>
  <c r="O63" i="40"/>
  <c r="O65" i="40" s="1"/>
  <c r="N65" i="40"/>
  <c r="B3" i="68"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D35" i="9"/>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3" i="9"/>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C81" i="9"/>
  <c r="D58" i="9" s="1"/>
  <c r="D56" i="9" s="1"/>
  <c r="M54" i="9" s="1"/>
  <c r="N57" i="9" s="1"/>
  <c r="D6" i="74" l="1"/>
  <c r="C97" i="9"/>
  <c r="N58" i="9"/>
  <c r="N59" i="9"/>
  <c r="H111" i="9" s="1"/>
  <c r="P57" i="9"/>
  <c r="D19" i="53" l="1"/>
  <c r="D126" i="9"/>
  <c r="N60" i="9"/>
  <c r="N61" i="9"/>
  <c r="H112" i="9" s="1"/>
  <c r="D21" i="53" s="1"/>
  <c r="B39" i="72" s="1"/>
  <c r="I14" i="74" l="1"/>
  <c r="G6" i="74" s="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<sst xmlns="http://schemas.openxmlformats.org/spreadsheetml/2006/main" count="7403" uniqueCount="3121">
  <si>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</si>
  <si>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</si>
  <si>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</si>
  <si>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</si>
  <si>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</si>
  <si>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</si>
  <si>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</si>
  <si>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</si>
  <si>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</si>
  <si>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</si>
  <si>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</si>
  <si>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</si>
  <si>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</si>
  <si>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</si>
  <si>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</si>
  <si>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</si>
  <si>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</si>
  <si>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</si>
  <si>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</si>
  <si>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</si>
  <si>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</si>
  <si>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</si>
  <si>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</si>
  <si>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</si>
  <si>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</si>
  <si>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</si>
  <si>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</si>
  <si>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</si>
  <si>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</si>
  <si>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</si>
  <si>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</si>
  <si>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</si>
  <si>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</si>
  <si>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</si>
  <si>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</si>
  <si>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</si>
  <si>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</si>
  <si>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</si>
  <si>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</si>
  <si>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</si>
  <si>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</si>
  <si>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</si>
  <si>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</si>
  <si>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</si>
  <si>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</si>
  <si>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</si>
  <si>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</si>
  <si>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</si>
  <si>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</si>
  <si>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</si>
  <si>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</si>
  <si>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</si>
  <si>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</si>
  <si>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</si>
  <si>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</si>
  <si>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</si>
  <si>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</si>
  <si>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</si>
  <si>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</si>
  <si>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</si>
  <si>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</si>
  <si>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</si>
  <si>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</si>
  <si>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</si>
  <si>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</si>
  <si>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</si>
  <si>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</si>
  <si>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</si>
  <si>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</si>
  <si>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</si>
  <si>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</si>
  <si>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</si>
  <si>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</si>
  <si>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</si>
  <si>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</si>
  <si>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</si>
  <si>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</si>
  <si>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</si>
  <si>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</si>
  <si>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</si>
  <si>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</si>
  <si>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</si>
  <si>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</si>
  <si>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</si>
  <si>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</si>
  <si>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</si>
  <si>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</si>
  <si>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</si>
  <si>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</si>
  <si>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</si>
  <si>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</si>
  <si>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</si>
  <si>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</si>
  <si>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</si>
  <si>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</si>
  <si>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</si>
  <si>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</si>
  <si>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</si>
  <si>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</si>
  <si>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</si>
  <si>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</si>
  <si>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</si>
  <si>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</si>
  <si>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</si>
  <si>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</si>
  <si>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</si>
  <si>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</si>
  <si>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</si>
  <si>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</si>
  <si>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</si>
  <si>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</si>
  <si>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</si>
  <si>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</si>
  <si>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</si>
  <si>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</si>
  <si>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</si>
  <si>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</si>
  <si>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</si>
  <si>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</si>
  <si>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</si>
  <si>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</si>
  <si>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</si>
  <si>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</si>
  <si>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</si>
  <si>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</si>
  <si>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</si>
  <si>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</si>
  <si>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</si>
  <si>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</si>
  <si>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</si>
  <si>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</si>
  <si>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</si>
  <si>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</si>
  <si>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</si>
  <si>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</si>
  <si>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</si>
  <si>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</si>
  <si>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</si>
  <si>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</si>
  <si>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</si>
  <si>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</si>
  <si>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</si>
  <si>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</si>
  <si>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</si>
  <si>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</si>
  <si>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</si>
  <si>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</si>
  <si>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</si>
  <si>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</si>
  <si>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</si>
  <si>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</si>
  <si>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</si>
  <si>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</si>
  <si>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</si>
  <si>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</si>
  <si>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</si>
  <si>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</si>
  <si>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</si>
  <si>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</si>
  <si>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</si>
  <si>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</si>
  <si>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</si>
  <si>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</si>
  <si>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</si>
  <si>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</si>
  <si>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</si>
  <si>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</si>
  <si>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</si>
  <si>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</si>
  <si>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</si>
  <si>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</si>
  <si>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</si>
  <si>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</si>
  <si>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</si>
  <si>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</si>
  <si>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</si>
  <si>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</si>
  <si>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</si>
  <si>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</si>
  <si>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</si>
  <si>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</si>
  <si>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</si>
  <si>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</si>
  <si>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</si>
  <si>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</si>
  <si>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</si>
  <si>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</si>
  <si>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</si>
  <si>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</si>
  <si>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</si>
  <si>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</si>
  <si>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</si>
  <si>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</si>
  <si>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</si>
  <si>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</si>
  <si>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</si>
  <si>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</si>
  <si>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</si>
  <si>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</si>
  <si>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</si>
  <si>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</si>
  <si>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</si>
  <si>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</si>
  <si>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</si>
  <si>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</si>
  <si>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</si>
  <si>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</si>
  <si>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</si>
  <si>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</si>
  <si>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</si>
  <si>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</si>
  <si>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</si>
  <si>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</si>
  <si>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</si>
  <si>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</si>
  <si>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</si>
  <si>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</si>
  <si>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</si>
  <si>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</si>
  <si>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</si>
  <si>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</si>
  <si>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</si>
  <si>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</si>
  <si>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</si>
  <si>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</si>
  <si>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</si>
  <si>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</si>
  <si>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</si>
  <si>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</si>
  <si>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</si>
  <si>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</si>
  <si>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</si>
  <si>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</si>
  <si>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</si>
  <si>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</si>
  <si>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</si>
  <si>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</si>
  <si>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</si>
  <si>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</si>
  <si>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</si>
  <si>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</si>
  <si>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</si>
  <si>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</si>
  <si>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</si>
  <si>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</si>
  <si>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</si>
  <si>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</si>
  <si>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</si>
  <si>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</si>
  <si>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</si>
  <si>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</si>
  <si>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</si>
  <si>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</si>
  <si>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</si>
  <si>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</si>
  <si>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</si>
  <si>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</si>
  <si>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</si>
  <si>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</si>
  <si>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</si>
  <si>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</si>
  <si>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</si>
  <si>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</si>
  <si>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</si>
  <si>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</si>
  <si>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</si>
  <si>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</si>
  <si>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</si>
  <si>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</si>
  <si>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</si>
  <si>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</si>
  <si>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</si>
  <si>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</si>
  <si>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</si>
  <si>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</si>
  <si>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</si>
  <si>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</si>
  <si>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</si>
  <si>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</si>
  <si>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</si>
  <si>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</si>
  <si>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</si>
  <si>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</si>
  <si>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</si>
  <si>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</si>
  <si>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</si>
  <si>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</si>
  <si>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</si>
  <si>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</si>
  <si>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</si>
  <si>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</si>
  <si>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</si>
  <si>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</si>
  <si>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</si>
  <si>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</si>
  <si>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</si>
  <si>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</si>
  <si>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</si>
  <si>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</si>
  <si>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</si>
  <si>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</si>
  <si>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</si>
  <si>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</si>
  <si>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</si>
  <si>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</si>
  <si>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</si>
  <si>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</si>
  <si>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</si>
  <si>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</si>
  <si>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</si>
  <si>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</si>
  <si>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</si>
  <si>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</si>
  <si>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</si>
  <si>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</si>
  <si>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</si>
  <si>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</si>
  <si>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</si>
  <si>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</si>
  <si>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</si>
  <si>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</si>
  <si>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</si>
  <si>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</si>
  <si>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</si>
  <si>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</si>
  <si>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</si>
  <si>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</si>
  <si>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</si>
  <si>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</si>
  <si>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</si>
  <si>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</si>
  <si>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</si>
  <si>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</si>
  <si>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</si>
  <si>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</si>
  <si>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</si>
  <si>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</si>
  <si>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</si>
  <si>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</si>
  <si>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</si>
  <si>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</si>
  <si>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</si>
  <si>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</si>
  <si>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</si>
  <si>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</si>
  <si>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</si>
  <si>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</si>
  <si>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</si>
  <si>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</si>
  <si>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</si>
  <si>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</si>
  <si>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</si>
  <si>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</si>
  <si>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</si>
  <si>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</si>
  <si>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</si>
  <si>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</si>
  <si>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</si>
  <si>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</si>
  <si>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</si>
  <si>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</si>
  <si>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</si>
  <si>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</si>
  <si>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</si>
  <si>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</si>
  <si>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</si>
  <si>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</si>
  <si>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</si>
  <si>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</si>
  <si>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</si>
  <si>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</si>
  <si>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</si>
  <si>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</si>
  <si>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</si>
  <si>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</si>
  <si>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</si>
  <si>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</si>
  <si>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</si>
  <si>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</si>
  <si>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</si>
  <si>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</si>
  <si>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</si>
  <si>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</si>
  <si>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</si>
  <si>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</si>
  <si>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</si>
  <si>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</si>
  <si>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</si>
  <si>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</si>
  <si>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</si>
  <si>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</si>
  <si>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</si>
  <si>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</si>
  <si>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</si>
  <si>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</si>
  <si>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</si>
  <si>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</si>
  <si>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</si>
  <si>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</si>
  <si>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</si>
  <si>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</si>
  <si>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</si>
  <si>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</si>
  <si>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</si>
  <si>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</si>
  <si>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</si>
  <si>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</si>
  <si>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</si>
  <si>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</si>
  <si>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</si>
  <si>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</si>
  <si>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</si>
  <si>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</si>
  <si>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</si>
  <si>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</si>
  <si>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</si>
  <si>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</si>
  <si>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</si>
  <si>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</si>
  <si>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</si>
  <si>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</si>
  <si>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</si>
  <si>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</si>
  <si>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</si>
  <si>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</si>
  <si>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</si>
  <si>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</si>
  <si>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</si>
  <si>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</si>
  <si>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</si>
  <si>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</si>
  <si>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</si>
  <si>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</si>
  <si>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</si>
  <si>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</si>
  <si>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</si>
  <si>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</si>
  <si>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</si>
  <si>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</si>
  <si>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</si>
  <si>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</si>
  <si>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</si>
  <si>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</si>
  <si>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</si>
  <si>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</si>
  <si>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</si>
  <si>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</si>
  <si>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</si>
  <si>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</si>
  <si>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</si>
  <si>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</si>
  <si>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</si>
  <si>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</si>
  <si>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</si>
  <si>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</si>
  <si>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</si>
  <si>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</si>
  <si>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</si>
  <si>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</si>
  <si>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</si>
  <si>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</si>
  <si>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</si>
  <si>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</si>
  <si>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</si>
  <si>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</si>
  <si>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</si>
  <si>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</si>
  <si>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</si>
  <si>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</si>
  <si>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</si>
  <si>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</si>
  <si>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</si>
  <si>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</si>
  <si>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</si>
  <si>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</si>
  <si>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</si>
  <si>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</si>
  <si>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</si>
  <si>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</si>
  <si>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</si>
  <si>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</si>
  <si>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</si>
  <si>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</si>
  <si>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</si>
  <si>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</si>
  <si>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</si>
  <si>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</si>
  <si>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</si>
  <si>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</si>
  <si>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</si>
  <si>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</si>
  <si>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</si>
  <si>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</si>
  <si>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</si>
  <si>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</si>
  <si>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</si>
  <si>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</si>
  <si>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</si>
  <si>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</si>
  <si>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</si>
  <si>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</si>
  <si>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</si>
  <si>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</si>
  <si>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</si>
  <si>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</si>
  <si>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</si>
  <si>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</si>
  <si>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</si>
  <si>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</si>
  <si>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</si>
  <si>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</si>
  <si>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</si>
  <si>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</si>
  <si>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</si>
  <si>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</si>
  <si>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</si>
  <si>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</si>
  <si>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</si>
  <si>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</si>
  <si>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</si>
  <si>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</si>
  <si>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</si>
  <si>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</si>
  <si>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</si>
  <si>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</si>
  <si>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</si>
  <si>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</si>
  <si>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</si>
  <si>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</si>
  <si>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</si>
  <si>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</si>
  <si>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</si>
  <si>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</si>
  <si>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</si>
  <si>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</si>
  <si>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</si>
  <si>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</si>
  <si>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</si>
  <si>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</si>
  <si>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</si>
  <si>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</si>
  <si>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</si>
  <si>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</si>
  <si>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</si>
  <si>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</si>
  <si>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</si>
  <si>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</si>
  <si>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</si>
  <si>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</si>
  <si>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</si>
  <si>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</si>
  <si>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</si>
  <si>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</si>
  <si>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</si>
  <si>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</si>
  <si>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</si>
  <si>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</si>
  <si>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</si>
  <si>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</si>
  <si>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</si>
  <si>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</si>
  <si>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</si>
  <si>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</si>
  <si>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</si>
  <si>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</si>
  <si>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</si>
  <si>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</si>
  <si>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</si>
  <si>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</si>
  <si>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</si>
  <si>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</si>
  <si>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</si>
  <si>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</si>
  <si>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</si>
  <si>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</si>
  <si>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</si>
  <si>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</si>
  <si>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</si>
  <si>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</si>
  <si>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</si>
  <si>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</si>
  <si>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</si>
  <si>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</si>
  <si>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</si>
  <si>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</si>
  <si>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</si>
  <si>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</si>
  <si>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</si>
  <si>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</si>
  <si>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</si>
  <si>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</si>
  <si>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</si>
  <si>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</si>
  <si>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</si>
  <si>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</si>
  <si>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</si>
  <si>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</si>
  <si>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</si>
  <si>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</si>
  <si>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</si>
  <si>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</si>
  <si>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</si>
  <si>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</si>
  <si>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</si>
  <si>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</si>
  <si>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</si>
  <si>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</si>
  <si>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</si>
  <si>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</si>
  <si>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</si>
  <si>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</si>
  <si>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</si>
  <si>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</si>
  <si>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</si>
  <si>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</si>
  <si>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</si>
  <si>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</si>
  <si>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</si>
  <si>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</si>
  <si>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</si>
  <si>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</si>
  <si>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</si>
  <si>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</si>
  <si>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</si>
  <si>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</si>
  <si>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</si>
  <si>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</si>
  <si>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</si>
  <si>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</si>
  <si>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</si>
  <si>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</si>
  <si>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</si>
  <si>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</si>
  <si>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</si>
  <si>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</si>
  <si>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</si>
  <si>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</si>
  <si>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</si>
  <si>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</si>
  <si>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</si>
  <si>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</si>
  <si>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</si>
  <si>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</si>
  <si>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</si>
  <si>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</si>
  <si>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</si>
  <si>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</si>
  <si>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</si>
  <si>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</si>
  <si>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</si>
  <si>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</si>
  <si>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</si>
  <si>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</si>
  <si>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</si>
  <si>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</si>
  <si>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</si>
  <si>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</si>
  <si>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</si>
  <si>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</si>
  <si>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</si>
  <si>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</si>
  <si>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</si>
  <si>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</si>
  <si>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</si>
  <si>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</si>
  <si>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</si>
  <si>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</si>
  <si>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</si>
  <si>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</si>
  <si>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</si>
  <si>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</si>
  <si>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</si>
  <si>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</si>
  <si>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</si>
  <si>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</si>
  <si>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</si>
  <si>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</si>
  <si>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</si>
  <si>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</si>
  <si>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</si>
  <si>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</si>
  <si>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</si>
  <si>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</si>
  <si>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</si>
  <si>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</si>
  <si>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</si>
  <si>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</si>
  <si>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</si>
  <si>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</si>
  <si>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</si>
  <si>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</si>
  <si>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</si>
  <si>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</si>
  <si>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</si>
  <si>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</si>
  <si>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</si>
  <si>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</si>
  <si>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</si>
  <si>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</si>
  <si>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</si>
  <si>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</si>
  <si>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</si>
  <si>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</si>
  <si>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</si>
  <si>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</si>
  <si>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</si>
  <si>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</si>
  <si>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</si>
  <si>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</si>
  <si>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</si>
  <si>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</si>
  <si>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</si>
  <si>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</si>
  <si>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</si>
  <si>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</si>
  <si>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</si>
  <si>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</si>
  <si>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</si>
  <si>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</si>
  <si>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</si>
  <si>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</si>
  <si>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</si>
  <si>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</si>
  <si>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</si>
  <si>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</si>
  <si>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</si>
  <si>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</si>
  <si>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</si>
  <si>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</si>
  <si>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</si>
  <si>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</si>
  <si>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</si>
  <si>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</si>
  <si>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</si>
  <si>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</si>
  <si>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</si>
  <si>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</si>
  <si>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</si>
  <si>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</si>
  <si>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</si>
  <si>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</si>
  <si>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</si>
  <si>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</si>
  <si>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</si>
  <si>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</si>
  <si>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</si>
  <si>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</si>
  <si>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</si>
  <si>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</si>
  <si>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</si>
  <si>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</si>
  <si>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</si>
  <si>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</si>
  <si>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</si>
  <si>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</si>
  <si>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</si>
  <si>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</si>
  <si>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</si>
  <si>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</si>
  <si>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</si>
  <si>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</si>
  <si>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</si>
  <si>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</si>
  <si>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</si>
  <si>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</si>
  <si>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</si>
  <si>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</si>
  <si>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</si>
  <si>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</si>
  <si>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</si>
  <si>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</si>
  <si>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</si>
  <si>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</si>
  <si>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</si>
  <si>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</si>
  <si>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</si>
  <si>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</si>
  <si>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</si>
  <si>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</si>
  <si>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</si>
  <si>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</si>
  <si>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</si>
  <si>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</si>
  <si>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</si>
  <si>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</si>
  <si>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</si>
  <si>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</si>
  <si>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</si>
  <si>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</si>
  <si>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</si>
  <si>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</si>
  <si>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</si>
  <si>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</si>
  <si>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</si>
  <si>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</si>
  <si>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</si>
  <si>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</si>
  <si>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</si>
  <si>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</si>
  <si>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</si>
  <si>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</si>
  <si>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</si>
  <si>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</si>
  <si>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</si>
  <si>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</si>
  <si>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</si>
  <si>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</si>
  <si>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</si>
  <si>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</si>
  <si>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</si>
  <si>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</si>
  <si>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</si>
  <si>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</si>
  <si>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</si>
  <si>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</si>
  <si>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</si>
  <si>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</si>
  <si>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</si>
  <si>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</si>
  <si>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</si>
  <si>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</si>
  <si>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</si>
  <si>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</si>
  <si>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</si>
  <si>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</si>
  <si>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</si>
  <si>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</si>
  <si>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</si>
  <si>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</si>
  <si>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</si>
  <si>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</si>
  <si>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</si>
  <si>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</si>
  <si>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</si>
  <si>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</si>
  <si>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</si>
  <si>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</si>
  <si>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</si>
  <si>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</si>
  <si>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</si>
  <si>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</si>
  <si>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</si>
  <si>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</si>
  <si>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</si>
  <si>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</si>
  <si>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</si>
  <si>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</si>
  <si>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</si>
  <si>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</si>
  <si>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</si>
  <si>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</si>
  <si>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</si>
  <si>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</si>
  <si>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</si>
  <si>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</si>
  <si>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</si>
  <si>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</si>
  <si>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</si>
  <si>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</si>
  <si>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</si>
  <si>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</si>
  <si>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</si>
  <si>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</si>
  <si>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</si>
  <si>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</si>
  <si>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</si>
  <si>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</si>
  <si>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</si>
  <si>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</si>
  <si>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</si>
  <si>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</si>
  <si>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</si>
  <si>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</si>
  <si>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</si>
  <si>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</si>
  <si>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</si>
  <si>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</si>
  <si>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</si>
  <si>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</si>
  <si>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</si>
  <si>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</si>
  <si>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</si>
  <si>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</si>
  <si>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</si>
  <si>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</si>
  <si>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</si>
  <si>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</si>
  <si>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</si>
  <si>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</si>
  <si>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</si>
  <si>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</si>
  <si>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</si>
  <si>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</si>
  <si>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</si>
  <si>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</si>
  <si>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</si>
  <si>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</si>
  <si>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</si>
  <si>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</si>
  <si>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</si>
  <si>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</si>
  <si>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</si>
  <si>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</si>
  <si>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</si>
  <si>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</si>
  <si>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</si>
  <si>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</si>
  <si>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</si>
  <si>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</si>
  <si>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</si>
  <si>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</si>
  <si>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</si>
  <si>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</si>
  <si>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</si>
  <si>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</si>
  <si>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</si>
  <si>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</si>
  <si>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</si>
  <si>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</si>
  <si>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</si>
  <si>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</si>
  <si>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</si>
  <si>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</si>
  <si>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</si>
  <si>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</si>
  <si>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</si>
  <si>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</si>
  <si>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</si>
  <si>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</si>
  <si>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</si>
  <si>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</si>
  <si>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</si>
  <si>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</si>
  <si>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</si>
  <si>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</si>
  <si>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</si>
  <si>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</si>
  <si>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</si>
  <si>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</si>
  <si>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</si>
  <si>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</si>
  <si>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</si>
  <si>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</si>
  <si>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</si>
  <si>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</si>
  <si>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</si>
  <si>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</si>
  <si>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</si>
  <si>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</si>
  <si>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</si>
  <si>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</si>
  <si>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</si>
  <si>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</si>
  <si>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</si>
  <si>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</si>
  <si>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</si>
  <si>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</si>
  <si>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</si>
  <si>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</si>
  <si>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</si>
  <si>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</si>
  <si>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</si>
  <si>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</si>
  <si>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</si>
  <si>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</si>
  <si>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</si>
  <si>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</si>
  <si>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</si>
  <si>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</si>
  <si>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</si>
  <si>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</si>
  <si>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</si>
  <si>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</si>
  <si>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</si>
  <si>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</si>
  <si>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</si>
  <si>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</si>
  <si>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</si>
  <si>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</si>
  <si>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</si>
  <si>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</si>
  <si>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</si>
  <si>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</si>
  <si>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</si>
  <si>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</si>
  <si>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</si>
  <si>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</si>
  <si>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</si>
  <si>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</si>
  <si>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</si>
  <si>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</si>
  <si>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</si>
  <si>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</si>
  <si>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</si>
  <si>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</si>
  <si>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</si>
  <si>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</si>
  <si>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</si>
  <si>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</si>
  <si>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</si>
  <si>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</si>
  <si>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</si>
  <si>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</si>
  <si>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</si>
  <si>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</si>
  <si>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</si>
  <si>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</si>
  <si>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</si>
  <si>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</si>
  <si>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</si>
  <si>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</si>
  <si>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</si>
  <si>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</si>
  <si>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</si>
  <si>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</si>
  <si>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</si>
  <si>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</si>
  <si>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</si>
  <si>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</si>
  <si>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</si>
  <si>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</si>
  <si>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</si>
  <si>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</si>
  <si>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</si>
  <si>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</si>
  <si>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</si>
  <si>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</si>
  <si>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</si>
  <si>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</si>
  <si>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</si>
  <si>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</si>
  <si>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</si>
  <si>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</si>
  <si>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</si>
  <si>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</si>
  <si>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</si>
  <si>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</si>
  <si>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</si>
  <si>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</si>
  <si>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</si>
  <si>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</si>
  <si>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</si>
  <si>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</si>
  <si>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</si>
  <si>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</si>
  <si>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</si>
  <si>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</si>
  <si>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</si>
  <si>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</si>
  <si>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</si>
  <si>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</si>
  <si>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</si>
  <si>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</si>
  <si>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</si>
  <si>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</si>
  <si>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</si>
  <si>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</si>
  <si>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</si>
  <si>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</si>
  <si>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</si>
  <si>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</si>
  <si>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</si>
  <si>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</si>
  <si>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</si>
  <si>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</si>
  <si>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</si>
  <si>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</si>
  <si>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</si>
  <si>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</si>
  <si>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</si>
  <si>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</si>
  <si>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</si>
  <si>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</si>
  <si>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</si>
  <si>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</si>
  <si>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</si>
  <si>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</si>
  <si>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</si>
  <si>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</si>
  <si>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</si>
  <si>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</si>
  <si>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</si>
  <si>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</si>
  <si>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</si>
  <si>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</si>
  <si>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</si>
  <si>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</si>
  <si>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</si>
  <si>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</si>
  <si>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</si>
  <si>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</si>
  <si>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</si>
  <si>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</si>
  <si>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</si>
  <si>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</si>
  <si>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</si>
  <si>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</si>
  <si>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</si>
  <si>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</si>
  <si>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</si>
  <si>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</si>
  <si>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</si>
  <si>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</si>
  <si>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</si>
  <si>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</si>
  <si>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</si>
  <si>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</si>
  <si>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</si>
  <si>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</si>
  <si>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</si>
  <si>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</si>
  <si>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</si>
  <si>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</si>
  <si>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</si>
  <si>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</si>
  <si>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</si>
  <si>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</si>
  <si>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</si>
  <si>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</si>
  <si>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</si>
  <si>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</si>
  <si>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</si>
  <si>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</si>
  <si>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</si>
  <si>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</si>
  <si>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</si>
  <si>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</si>
  <si>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</si>
  <si>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</si>
  <si>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</si>
  <si>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</si>
  <si>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</si>
  <si>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</si>
  <si>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</si>
  <si>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</si>
  <si>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</si>
  <si>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</si>
  <si>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</si>
  <si>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</si>
  <si>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</si>
  <si>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</si>
  <si>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</si>
  <si>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</si>
  <si>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</si>
  <si>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</si>
  <si>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</si>
  <si>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</si>
  <si>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</si>
  <si>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</si>
  <si>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</si>
  <si>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</si>
  <si>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</si>
  <si>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</si>
  <si>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</si>
  <si>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</si>
  <si>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</si>
  <si>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</si>
  <si>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</si>
  <si>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</si>
  <si>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</si>
  <si>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</si>
  <si>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</si>
  <si>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</si>
  <si>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</si>
  <si>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</si>
  <si>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</si>
  <si>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</si>
  <si>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</si>
  <si>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</si>
  <si>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</si>
  <si>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</si>
  <si>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</si>
  <si>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</si>
  <si>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</si>
  <si>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</si>
  <si>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</si>
  <si>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</si>
  <si>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</si>
  <si>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</si>
  <si>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</si>
  <si>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</si>
  <si>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</si>
  <si>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</si>
  <si>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</si>
  <si>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</si>
  <si>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</si>
  <si>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</si>
  <si>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</si>
  <si>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</si>
  <si>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</si>
  <si>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</si>
  <si>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</si>
  <si>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</si>
  <si>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</si>
  <si>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</si>
  <si>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</si>
  <si>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</si>
  <si>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</si>
  <si>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</si>
  <si>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</si>
  <si>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</si>
  <si>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</si>
  <si>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</si>
  <si>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</si>
  <si>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</si>
  <si>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</si>
  <si>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</si>
  <si>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</si>
  <si>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</si>
  <si>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</si>
  <si>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</si>
  <si>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</si>
  <si>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</si>
  <si>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</si>
  <si>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</si>
  <si>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</si>
  <si>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</si>
  <si>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</si>
  <si>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</si>
  <si>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</si>
  <si>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</si>
  <si>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</si>
  <si>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</si>
  <si>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</si>
  <si>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</si>
  <si>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</si>
  <si>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</si>
  <si>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</si>
  <si>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</si>
  <si>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</si>
  <si>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</si>
  <si>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</si>
  <si>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</si>
  <si>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</si>
  <si>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</si>
  <si>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</si>
  <si>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</si>
  <si>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</si>
  <si>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</si>
  <si>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</si>
  <si>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</si>
  <si>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</si>
  <si>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</si>
  <si>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</si>
  <si>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</si>
  <si>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</si>
  <si>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</si>
  <si>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</si>
  <si>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</si>
  <si>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</si>
  <si>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</si>
  <si>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</si>
  <si>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</si>
  <si>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</si>
  <si>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</si>
  <si>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</si>
  <si>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</si>
  <si>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</si>
  <si>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</si>
  <si>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</si>
  <si>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</si>
  <si>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</si>
  <si>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</si>
  <si>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</si>
  <si>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</si>
  <si>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</si>
  <si>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</si>
  <si>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</si>
  <si>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</si>
  <si>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</si>
  <si>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</si>
  <si>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</si>
  <si>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</si>
  <si>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</si>
  <si>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</si>
  <si>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</si>
  <si>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</si>
  <si>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</si>
  <si>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</si>
  <si>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</si>
  <si>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</si>
  <si>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</si>
  <si>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</si>
  <si>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</si>
  <si>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</si>
  <si>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</si>
  <si>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</si>
  <si>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</si>
  <si>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</si>
  <si>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</si>
  <si>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</si>
  <si>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</si>
  <si>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</si>
  <si>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</si>
  <si>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</si>
  <si>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</si>
  <si>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</si>
  <si>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</si>
  <si>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</si>
  <si>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</si>
  <si>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</si>
  <si>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</si>
  <si>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</si>
  <si>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</si>
  <si>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</si>
  <si>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</si>
  <si>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</si>
  <si>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</si>
  <si>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</si>
  <si>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</si>
  <si>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</si>
  <si>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</si>
  <si>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</si>
  <si>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</si>
  <si>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</si>
  <si>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</si>
  <si>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</si>
  <si>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</si>
  <si>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</si>
  <si>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</si>
  <si>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</si>
  <si>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</si>
  <si>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</si>
  <si>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</si>
  <si>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</si>
  <si>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</si>
  <si>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</si>
  <si>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</si>
  <si>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</si>
  <si>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</si>
  <si>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</si>
  <si>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</si>
  <si>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</si>
  <si>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</si>
  <si>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</si>
  <si>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</si>
  <si>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</si>
  <si>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</si>
  <si>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</si>
  <si>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</si>
  <si>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</si>
  <si>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</si>
  <si>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</si>
  <si>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</si>
  <si>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</si>
  <si>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</si>
  <si>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</si>
  <si>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</si>
  <si>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</si>
  <si>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</si>
  <si>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</si>
  <si>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</si>
  <si>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</si>
  <si>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</si>
  <si>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</si>
  <si>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</si>
  <si>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</si>
  <si>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</si>
  <si>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</si>
  <si>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</si>
  <si>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</si>
  <si>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</si>
  <si>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</si>
  <si>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</si>
  <si>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</si>
  <si>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</si>
  <si>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</si>
  <si>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</si>
  <si>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</si>
  <si>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</si>
  <si>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</si>
  <si>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</si>
  <si>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</si>
  <si>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</si>
  <si>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</si>
  <si>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</si>
  <si>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</si>
  <si>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</si>
  <si>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</si>
  <si>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</si>
  <si>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</si>
  <si>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</si>
  <si>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</si>
  <si>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</si>
  <si>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</si>
  <si>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</si>
  <si>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</si>
  <si>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</si>
  <si>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</si>
  <si>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</si>
  <si>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</si>
  <si>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</si>
  <si>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</si>
  <si>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</si>
  <si>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</si>
  <si>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</si>
  <si>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</si>
  <si>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</si>
  <si>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</si>
  <si>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</si>
  <si>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</si>
  <si>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</si>
  <si>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</si>
  <si>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</si>
  <si>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</si>
  <si>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</si>
  <si>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</si>
  <si>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</si>
  <si>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</si>
  <si>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</si>
  <si>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</si>
  <si>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</si>
  <si>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</si>
  <si>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</si>
  <si>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</si>
  <si>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</si>
  <si>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</si>
  <si>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</si>
  <si>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</si>
  <si>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</si>
  <si>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</si>
  <si>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</si>
  <si>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</si>
  <si>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</si>
  <si>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</si>
  <si>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</si>
  <si>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</si>
  <si>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</si>
  <si>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</si>
  <si>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</si>
  <si>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</si>
  <si>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</si>
  <si>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</si>
  <si>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</si>
  <si>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</si>
  <si>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</si>
  <si>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</si>
  <si>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</si>
  <si>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</si>
  <si>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</si>
  <si>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</si>
  <si>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</si>
  <si>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</si>
  <si>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</si>
  <si>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</si>
  <si>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</si>
  <si>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</si>
  <si>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</si>
  <si>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</si>
  <si>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</si>
  <si>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</si>
  <si>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</si>
  <si>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</si>
  <si>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</si>
  <si>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</si>
  <si>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</si>
  <si>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</si>
  <si>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</si>
  <si>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</si>
  <si>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</si>
  <si>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</si>
  <si>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</si>
  <si>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</si>
  <si>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</si>
  <si>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</si>
  <si>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</si>
  <si>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</si>
  <si>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</si>
  <si>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</si>
  <si>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</si>
  <si>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</si>
  <si>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</si>
  <si>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</si>
  <si>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</si>
  <si>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</si>
  <si>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</si>
  <si>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</si>
  <si>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</si>
  <si>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</si>
  <si>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</si>
  <si>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</si>
  <si>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</si>
  <si>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</si>
  <si>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</si>
  <si>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</si>
  <si>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</si>
  <si>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</si>
  <si>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</si>
  <si>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</si>
  <si>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</si>
  <si>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</si>
  <si>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</si>
  <si>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</si>
  <si>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</si>
  <si>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</si>
  <si>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</si>
  <si>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</si>
  <si>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</si>
  <si>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</si>
  <si>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</si>
  <si>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</si>
  <si>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</si>
  <si>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</si>
  <si>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</si>
  <si>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</si>
  <si>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</si>
  <si>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</si>
  <si>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</si>
  <si>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</si>
  <si>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</si>
  <si>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</si>
  <si>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</si>
  <si>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</si>
  <si>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</si>
  <si>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</si>
  <si>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</si>
  <si>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</si>
  <si>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</si>
  <si>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</si>
  <si>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</si>
  <si>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</si>
  <si>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</si>
  <si>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</si>
  <si>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</si>
  <si>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</si>
  <si>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</si>
  <si>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</si>
  <si>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</si>
  <si>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</si>
  <si>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</si>
  <si>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</si>
  <si>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</si>
  <si>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</si>
  <si>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</si>
  <si>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</si>
  <si>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</si>
  <si>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</si>
  <si>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</si>
  <si>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</si>
  <si>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</si>
  <si>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</si>
  <si>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</si>
  <si>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</si>
  <si>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</si>
  <si>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</si>
  <si>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</si>
  <si>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</si>
  <si>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</si>
  <si>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</si>
  <si>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</si>
  <si>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</si>
  <si>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</si>
  <si>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</si>
  <si>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</si>
  <si>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</si>
  <si>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</si>
  <si>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</si>
  <si>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</si>
  <si>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</si>
  <si>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</si>
  <si>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</si>
  <si>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</si>
  <si>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</si>
  <si>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</si>
  <si>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</si>
  <si>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</si>
  <si>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</si>
  <si>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</si>
  <si>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</si>
  <si>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</si>
  <si>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</si>
  <si>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</si>
  <si>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</si>
  <si>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</si>
  <si>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</si>
  <si>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</si>
  <si>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</si>
  <si>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</si>
  <si>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</si>
  <si>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</si>
  <si>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</si>
  <si>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</si>
  <si>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</si>
  <si>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</si>
  <si>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</si>
  <si>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</si>
  <si>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</si>
  <si>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</si>
  <si>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</si>
  <si>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</si>
  <si>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</si>
  <si>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</si>
  <si>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</si>
  <si>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</si>
  <si>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</si>
  <si>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</si>
  <si>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</si>
  <si>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</si>
  <si>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</si>
  <si>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</si>
  <si>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</si>
  <si>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</si>
  <si>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</si>
  <si>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</si>
  <si>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</si>
  <si>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</si>
  <si>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</si>
  <si>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</si>
  <si>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</si>
  <si>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</si>
  <si>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</si>
  <si>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</si>
  <si>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</si>
  <si>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</si>
  <si>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</si>
  <si>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</si>
  <si>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</si>
  <si>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</si>
  <si>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</si>
  <si>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</si>
  <si>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</si>
  <si>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</si>
  <si>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</si>
  <si>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</si>
  <si>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</si>
  <si>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</si>
  <si>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</si>
  <si>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</si>
  <si>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</si>
  <si>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</si>
  <si>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</si>
  <si>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</si>
  <si>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</si>
  <si>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</si>
  <si>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</si>
  <si>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</si>
  <si>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</si>
  <si>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</si>
  <si>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</si>
  <si>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</si>
  <si>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</si>
  <si>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</si>
  <si>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</si>
  <si>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</si>
  <si>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</si>
  <si>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</si>
  <si>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</si>
  <si>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</si>
  <si>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</si>
  <si>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</si>
  <si>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</si>
  <si>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</si>
  <si>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</si>
  <si>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</si>
  <si>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</si>
  <si>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</si>
  <si>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</si>
  <si>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</si>
  <si>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</si>
  <si>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</si>
  <si>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</si>
  <si>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</si>
  <si>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</si>
  <si>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</si>
  <si>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</si>
  <si>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</si>
  <si>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</si>
  <si>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</si>
  <si>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</si>
  <si>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</si>
  <si>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</si>
  <si>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</si>
  <si>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</si>
  <si>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</si>
  <si>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</si>
  <si>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</si>
  <si>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</si>
  <si>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</si>
  <si>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</si>
  <si>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</si>
  <si>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</si>
  <si>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</si>
  <si>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</si>
  <si>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</si>
  <si>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</si>
  <si>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</si>
  <si>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</si>
  <si>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</si>
  <si>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</si>
  <si>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</si>
  <si>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</si>
  <si>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</si>
  <si>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</si>
  <si>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</si>
  <si>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</si>
  <si>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</si>
  <si>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</si>
  <si>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</si>
  <si>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</si>
  <si>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</si>
  <si>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</si>
  <si>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</si>
  <si>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</si>
  <si>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</si>
  <si>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</si>
  <si>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</si>
  <si>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</si>
  <si>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</si>
  <si>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</si>
  <si>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</si>
  <si>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</si>
  <si>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</si>
  <si>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</si>
  <si>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</si>
  <si>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</si>
  <si>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</si>
  <si>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</si>
  <si>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</si>
  <si>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</si>
  <si>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</si>
  <si>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</si>
  <si>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</si>
  <si>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</si>
  <si>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</si>
  <si>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</si>
  <si>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</si>
  <si>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</si>
  <si>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</si>
  <si>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</si>
  <si>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</si>
  <si>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</si>
  <si>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</si>
  <si>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</si>
  <si>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</si>
  <si>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</si>
  <si>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</si>
  <si>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</si>
  <si>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</si>
  <si>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</si>
  <si>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</si>
  <si>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</si>
  <si>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</si>
  <si>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</si>
  <si>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</si>
  <si>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</si>
  <si>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</si>
  <si>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</si>
  <si>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</si>
  <si>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</si>
  <si>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</si>
  <si>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</si>
  <si>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</si>
  <si>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</si>
  <si>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</si>
  <si>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</si>
  <si>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</si>
  <si>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</si>
  <si>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</si>
  <si>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</si>
  <si>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</si>
  <si>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</si>
  <si>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</si>
  <si>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</si>
  <si>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</si>
  <si>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</si>
  <si>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</si>
  <si>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</si>
  <si>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</si>
  <si>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</si>
  <si>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</si>
  <si>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</si>
  <si>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</si>
  <si>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</si>
  <si>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</si>
  <si>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</si>
  <si>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</si>
  <si>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</si>
  <si>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</si>
  <si>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</si>
  <si>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</si>
  <si>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</si>
  <si>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</si>
  <si>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</si>
  <si>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</si>
  <si>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</si>
  <si>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</si>
  <si>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</si>
  <si>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</si>
  <si>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</si>
  <si>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</si>
  <si>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</si>
  <si>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</si>
  <si>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</si>
  <si>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</si>
  <si>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</si>
  <si>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</si>
  <si>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</si>
  <si>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</si>
  <si>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</si>
  <si>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</si>
  <si>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</si>
  <si>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</si>
  <si>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</si>
  <si>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</si>
  <si>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</si>
  <si>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</si>
  <si>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</si>
  <si>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</si>
  <si>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</si>
  <si>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</si>
  <si>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</si>
  <si>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</si>
  <si>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</si>
  <si>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</si>
  <si>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</si>
  <si>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</si>
  <si>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</si>
  <si>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</si>
  <si>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</si>
  <si>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</si>
  <si>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</si>
  <si>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</si>
  <si>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</si>
  <si>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</si>
  <si>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</si>
  <si>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</si>
  <si>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</si>
  <si>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</si>
  <si>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</si>
  <si>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</si>
  <si>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</si>
  <si>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</si>
  <si>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</si>
  <si>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</si>
  <si>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</si>
  <si>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</si>
  <si>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</si>
  <si>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</si>
  <si>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</si>
  <si>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</si>
  <si>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</si>
  <si>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</si>
  <si>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</si>
  <si>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</si>
  <si>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</si>
  <si>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</si>
  <si>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</si>
  <si>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</si>
  <si>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</si>
  <si>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</si>
  <si>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</si>
  <si>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</si>
  <si>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</si>
  <si>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</si>
  <si>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</si>
  <si>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</si>
  <si>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</si>
  <si>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</si>
  <si>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</si>
  <si>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</si>
  <si>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</si>
  <si>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</si>
  <si>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</si>
  <si>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</si>
  <si>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</si>
  <si>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</si>
  <si>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</si>
  <si>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</si>
  <si>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</si>
  <si>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</si>
  <si>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</si>
  <si>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</si>
  <si>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</si>
  <si>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</si>
  <si>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</si>
  <si>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</si>
  <si>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</si>
  <si>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</si>
  <si>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</si>
  <si>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</si>
  <si>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</si>
  <si>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</si>
  <si>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</si>
  <si>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</si>
  <si>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</si>
  <si>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</si>
  <si>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</si>
  <si>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</si>
  <si>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</si>
  <si>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</si>
  <si>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</si>
  <si>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</si>
  <si>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</si>
  <si>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</si>
  <si>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</si>
  <si>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</si>
  <si>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</si>
  <si>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</si>
  <si>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</si>
  <si>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</si>
  <si>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</si>
  <si>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</si>
  <si>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</si>
  <si>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</si>
  <si>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</si>
  <si>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</si>
  <si>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</si>
  <si>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</si>
  <si>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</si>
  <si>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</si>
  <si>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</si>
  <si>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</si>
  <si>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</si>
  <si>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</si>
  <si>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</si>
  <si>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</si>
  <si>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</si>
  <si>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</si>
  <si>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</si>
  <si>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</si>
  <si>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</si>
  <si>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</si>
  <si>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</si>
  <si>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</si>
  <si>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</si>
  <si>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</si>
  <si>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</si>
  <si>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</si>
  <si>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</si>
  <si>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</si>
  <si>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</si>
  <si>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</si>
  <si>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</si>
  <si>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</si>
  <si>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</si>
  <si>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</si>
  <si>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</si>
  <si>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</si>
  <si>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</si>
  <si>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</si>
  <si>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</si>
  <si>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</si>
  <si>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</si>
  <si>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</si>
  <si>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</si>
  <si>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</si>
  <si>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</si>
  <si>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</si>
  <si>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</si>
  <si>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</si>
  <si>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</si>
  <si>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</si>
  <si>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</si>
  <si>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</si>
  <si>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</si>
  <si>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</si>
  <si>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</si>
  <si>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</si>
  <si>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</si>
  <si>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</si>
  <si>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</si>
  <si>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</si>
  <si>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</si>
  <si>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</si>
  <si>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</si>
  <si>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</si>
  <si>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</si>
  <si>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</si>
  <si>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</si>
  <si>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</si>
  <si>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</si>
  <si>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</si>
  <si>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</si>
  <si>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</si>
  <si>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</si>
  <si>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</si>
  <si>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</si>
  <si>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</si>
  <si>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</si>
  <si>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</si>
  <si>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</si>
  <si>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</si>
  <si>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</si>
  <si>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</si>
  <si>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</si>
  <si>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</si>
  <si>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</si>
  <si>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</si>
  <si>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</si>
  <si>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</si>
  <si>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</si>
  <si>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</si>
  <si>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</si>
  <si>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</si>
  <si>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</si>
  <si>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</si>
  <si>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</si>
  <si>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</si>
  <si>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</si>
  <si>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</si>
  <si>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</si>
  <si>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</si>
  <si>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</si>
  <si>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</si>
  <si>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</si>
  <si>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</si>
  <si>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</si>
  <si>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</si>
  <si>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</si>
  <si>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</si>
  <si>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</si>
  <si>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</si>
  <si>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</si>
  <si>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</si>
  <si>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</si>
  <si>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</si>
  <si>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</si>
  <si>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</si>
  <si>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</si>
  <si>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</si>
  <si>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</si>
  <si>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</si>
  <si>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</si>
  <si>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</si>
  <si>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</si>
  <si>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</si>
  <si>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</si>
  <si>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</si>
  <si>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</si>
  <si>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</si>
  <si>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</si>
  <si>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</si>
  <si>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</si>
  <si>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</si>
  <si>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</si>
  <si>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</si>
  <si>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</si>
  <si>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</si>
  <si>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</si>
  <si>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</si>
  <si>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</si>
  <si>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</si>
  <si>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</si>
  <si>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</si>
  <si>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</si>
  <si>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</si>
  <si>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</si>
  <si>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</si>
  <si>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</si>
  <si>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</si>
  <si>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</si>
  <si>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</si>
  <si>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</si>
  <si>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</si>
  <si>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</si>
  <si>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</si>
  <si>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</si>
  <si>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</si>
  <si>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</si>
  <si>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</si>
  <si>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</si>
  <si>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</si>
  <si>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</si>
  <si>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</si>
  <si>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</si>
  <si>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</si>
  <si>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</si>
  <si>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</si>
  <si>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</si>
  <si>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</si>
  <si>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</si>
  <si>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</si>
  <si>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</si>
  <si>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</si>
  <si>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</si>
  <si>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</si>
  <si>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</si>
  <si>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</si>
  <si>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</si>
  <si>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</si>
  <si>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</si>
  <si>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</si>
  <si>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</si>
  <si>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</si>
  <si>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</si>
  <si>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</si>
  <si>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</si>
  <si>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</si>
  <si>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</si>
  <si>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</si>
  <si>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</si>
  <si>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</si>
  <si>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</si>
  <si>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</si>
  <si>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</si>
  <si>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</si>
  <si>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</si>
  <si>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</si>
  <si>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</si>
  <si>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</si>
  <si>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</si>
  <si>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</si>
  <si>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</si>
  <si>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</si>
  <si>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</si>
  <si>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</si>
  <si>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</si>
  <si>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</si>
  <si>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</si>
  <si>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</si>
  <si>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</si>
  <si>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</si>
  <si>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</si>
  <si>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</si>
  <si>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</si>
  <si>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</si>
  <si>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</si>
  <si>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</si>
  <si>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</si>
  <si>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</si>
  <si>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</si>
  <si>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</si>
  <si>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</si>
  <si>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</si>
  <si>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</si>
  <si>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</si>
  <si>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</si>
  <si>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</si>
  <si>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</si>
  <si>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</si>
  <si>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</si>
  <si>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</si>
  <si>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</si>
  <si>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</si>
  <si>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</si>
  <si>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</si>
  <si>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</si>
  <si>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</si>
  <si>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</si>
  <si>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</si>
  <si>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</si>
  <si>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</si>
  <si>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</si>
  <si>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</si>
  <si>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</si>
  <si>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</si>
  <si>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</si>
  <si>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</si>
  <si>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</si>
  <si>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</si>
  <si>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</si>
  <si>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</si>
  <si>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</si>
  <si>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</si>
  <si>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</si>
  <si>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</si>
  <si>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</si>
  <si>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</si>
  <si>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</si>
  <si>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</si>
  <si>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</si>
  <si>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</si>
  <si>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</si>
  <si>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</si>
  <si>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</si>
  <si>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</si>
  <si>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</si>
  <si>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</si>
  <si>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</si>
  <si>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</si>
  <si>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</si>
  <si>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</si>
  <si>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</si>
  <si>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</si>
  <si>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</si>
  <si>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</si>
  <si>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</si>
  <si>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</si>
  <si>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</si>
  <si>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</si>
  <si>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</si>
  <si>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</si>
  <si>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</si>
  <si>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</si>
  <si>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</si>
  <si>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</si>
  <si>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</si>
  <si>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</si>
  <si>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</si>
  <si>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</si>
  <si>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</si>
  <si>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</si>
  <si>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</si>
  <si>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</si>
  <si>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</si>
  <si>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</si>
  <si>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</si>
  <si>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</si>
  <si>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</si>
  <si>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</si>
  <si>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</si>
  <si>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</si>
  <si>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</si>
  <si>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</si>
  <si>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</si>
  <si>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</si>
  <si>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</si>
  <si>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</si>
  <si>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</si>
  <si>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</si>
  <si>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</si>
  <si>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</si>
  <si>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</si>
  <si>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</si>
  <si>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</si>
  <si>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</si>
  <si>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</si>
  <si>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</si>
  <si>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</si>
  <si>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</si>
  <si>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</si>
  <si>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</si>
  <si>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</si>
  <si>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</si>
  <si>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</si>
  <si>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</si>
  <si>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</si>
  <si>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</si>
  <si>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</si>
  <si>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</si>
  <si>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</si>
  <si>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</si>
  <si>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</si>
  <si>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</si>
  <si>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</si>
  <si>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</si>
  <si>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</si>
  <si>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</si>
  <si>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</si>
  <si>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</si>
  <si>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</si>
  <si>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</si>
  <si>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</si>
  <si>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</si>
  <si>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</si>
  <si>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</si>
  <si>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</si>
  <si>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</si>
  <si>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</si>
  <si>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</si>
  <si>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</si>
  <si>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</si>
  <si>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</si>
  <si>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</si>
  <si>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</si>
  <si>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</si>
  <si>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</si>
  <si>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</si>
  <si>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</si>
  <si>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</si>
  <si>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</si>
  <si>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</si>
  <si>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</si>
  <si>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</si>
  <si>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</si>
  <si>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</si>
  <si>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</si>
  <si>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</si>
  <si>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</si>
  <si>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</si>
  <si>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</si>
  <si>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</si>
  <si>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</si>
  <si>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</si>
  <si>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</si>
  <si>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</si>
  <si>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</si>
  <si>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</si>
  <si>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</si>
  <si>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</si>
  <si>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</si>
  <si>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</si>
  <si>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</si>
  <si>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</si>
  <si>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</si>
  <si>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</si>
  <si>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</si>
  <si>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</si>
  <si>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</si>
  <si>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</si>
  <si>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</si>
  <si>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</si>
  <si>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</si>
  <si>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</si>
  <si>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</si>
  <si>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</si>
  <si>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</si>
  <si>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</si>
  <si>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</si>
  <si>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</si>
  <si>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</si>
  <si>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</si>
  <si>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</si>
  <si>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</si>
  <si>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</si>
  <si>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</si>
  <si>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</si>
  <si>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</si>
  <si>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</si>
  <si>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</si>
  <si>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</si>
  <si>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</si>
  <si>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</si>
  <si>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</si>
  <si>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</si>
  <si>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</si>
  <si>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</si>
  <si>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</si>
  <si>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</si>
  <si>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</si>
  <si>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</si>
  <si>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</si>
  <si>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</si>
  <si>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</si>
  <si>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</si>
  <si>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</si>
  <si>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</si>
  <si>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</si>
  <si>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</si>
  <si>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</si>
  <si>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</si>
  <si>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</si>
  <si>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</si>
  <si>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</si>
  <si>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</si>
  <si>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</si>
  <si>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</si>
  <si>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</si>
  <si>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</si>
  <si>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</si>
  <si>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</si>
  <si>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</si>
  <si>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</si>
  <si>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</si>
  <si>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</si>
  <si>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</si>
  <si>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</si>
  <si>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</si>
  <si>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</si>
  <si>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</si>
  <si>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</si>
  <si>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</si>
  <si>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</si>
  <si>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</si>
  <si>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</si>
  <si>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</si>
  <si>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</si>
  <si>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</si>
  <si>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</si>
  <si>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</si>
  <si>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</si>
  <si>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</si>
  <si>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</si>
  <si>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</si>
  <si>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</si>
  <si>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</si>
  <si>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</si>
  <si>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</si>
  <si>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</si>
  <si>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</si>
  <si>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</si>
  <si>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</si>
  <si>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</si>
  <si>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</si>
  <si>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</si>
  <si>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</si>
  <si>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</si>
  <si>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</si>
  <si>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</si>
  <si>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</si>
  <si>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</si>
  <si>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</si>
  <si>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</si>
  <si>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</si>
  <si>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</si>
  <si>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</si>
  <si>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</si>
  <si>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</si>
  <si>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</si>
  <si>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</si>
  <si>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</si>
  <si>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</si>
  <si>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</si>
  <si>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</si>
  <si>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</si>
  <si>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</si>
  <si>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</si>
  <si>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</si>
  <si>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</si>
  <si>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</si>
  <si>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</si>
  <si>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</si>
  <si>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</si>
  <si>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</si>
  <si>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</si>
  <si>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</si>
  <si>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</si>
  <si>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</si>
  <si>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</si>
  <si>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</si>
  <si>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</si>
  <si>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</si>
  <si>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</si>
  <si>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</si>
  <si>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</si>
  <si>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</si>
  <si>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</si>
  <si>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</si>
  <si>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</si>
  <si>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</si>
  <si>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</si>
  <si>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</si>
  <si>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</si>
  <si>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</si>
  <si>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</si>
  <si>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</si>
  <si>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</si>
  <si>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</si>
  <si>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</si>
  <si>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</si>
  <si>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</si>
  <si>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</si>
  <si>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</si>
  <si>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</si>
  <si>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</si>
  <si>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</si>
  <si>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</si>
  <si>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</si>
  <si>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</si>
  <si>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</si>
  <si>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</si>
  <si>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</si>
  <si>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</si>
  <si>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</si>
  <si>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</si>
  <si>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</si>
  <si>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</si>
  <si>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</si>
  <si>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</si>
  <si>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</si>
  <si>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</si>
  <si>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</si>
  <si>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</si>
  <si>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</si>
  <si>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</si>
  <si>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</si>
  <si>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</si>
  <si>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</si>
  <si>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</si>
  <si>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</si>
  <si>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</si>
  <si>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</si>
  <si>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</si>
  <si>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</si>
  <si>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</si>
  <si>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</si>
  <si>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</si>
  <si>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</si>
  <si>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</si>
  <si>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</si>
  <si>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</si>
  <si>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</si>
  <si>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</si>
  <si>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</si>
  <si>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</si>
  <si>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</si>
  <si>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</si>
  <si>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</si>
  <si>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</si>
  <si>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</si>
  <si>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</si>
  <si>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</si>
  <si>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</si>
  <si>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</si>
  <si>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</si>
  <si>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</si>
  <si>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</si>
  <si>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</si>
  <si>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</si>
  <si>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</si>
  <si>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</si>
  <si>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</si>
  <si>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</si>
  <si>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</si>
  <si>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</si>
  <si>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</si>
  <si>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</si>
  <si>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</si>
  <si>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</si>
  <si>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</si>
  <si>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</si>
  <si>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</si>
  <si>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</si>
  <si>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</si>
  <si>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</si>
  <si>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</si>
  <si>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</si>
  <si>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</si>
  <si>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</si>
  <si>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</si>
  <si>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</si>
  <si>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</si>
  <si>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</si>
  <si>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</si>
  <si>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</si>
  <si>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</si>
  <si>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</si>
  <si>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</si>
  <si>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</si>
  <si>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</si>
  <si>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</si>
  <si>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</si>
  <si>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</si>
  <si>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</si>
  <si>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</si>
  <si>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</si>
  <si>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</si>
  <si>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</si>
  <si>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</si>
  <si>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</si>
  <si>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</si>
  <si>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</si>
  <si>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</si>
  <si>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</si>
  <si>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</si>
  <si>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</si>
  <si>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</si>
  <si>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</si>
  <si>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</si>
  <si>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</si>
  <si>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</si>
  <si>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</si>
  <si>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</si>
  <si>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</si>
  <si>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</si>
  <si>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</si>
  <si>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</si>
  <si>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</si>
  <si>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</si>
  <si>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</si>
  <si>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</si>
  <si>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</si>
  <si>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</si>
  <si>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</si>
  <si>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</si>
  <si>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</si>
  <si>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</si>
  <si>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</si>
  <si>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</si>
  <si>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</si>
  <si>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</si>
  <si>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</si>
  <si>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</si>
  <si>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</si>
  <si>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</si>
  <si>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</si>
  <si>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</si>
  <si>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</si>
  <si>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</si>
  <si>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</si>
  <si>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</si>
  <si>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</si>
  <si>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</si>
  <si>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</si>
  <si>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</si>
  <si>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</si>
  <si>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</si>
  <si>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</si>
  <si>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</si>
  <si>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</si>
  <si>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</si>
  <si>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</si>
  <si>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</si>
  <si>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</si>
  <si>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</si>
  <si>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</si>
  <si>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</si>
  <si>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</si>
  <si>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</si>
  <si>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</si>
  <si>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</si>
  <si>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</si>
  <si>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</si>
  <si>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</si>
  <si>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</si>
  <si>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</si>
  <si>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</si>
  <si>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</si>
  <si>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</si>
  <si>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</si>
  <si>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</si>
  <si>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</si>
  <si>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</si>
  <si>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</si>
  <si>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</si>
  <si>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</si>
  <si>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</si>
  <si>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</si>
  <si>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</si>
  <si>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</si>
  <si>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</si>
  <si>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</si>
  <si>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</si>
  <si>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</si>
  <si>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</si>
  <si>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</si>
  <si>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</si>
  <si>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</si>
  <si>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</si>
  <si>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</si>
  <si>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</si>
  <si>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</si>
  <si>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</si>
  <si>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</si>
  <si>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</si>
  <si>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</si>
  <si>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</si>
  <si>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</si>
  <si>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</si>
  <si>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</si>
  <si>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</si>
  <si>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</si>
  <si>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</si>
  <si>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</si>
  <si>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</si>
  <si>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</si>
  <si>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</si>
  <si>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</si>
  <si>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</si>
  <si>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</si>
  <si>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</si>
  <si>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</si>
  <si>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</si>
  <si>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</si>
  <si>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</si>
  <si>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</si>
  <si>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</si>
  <si>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</si>
  <si>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</si>
  <si>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</si>
  <si>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</si>
  <si>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</si>
  <si>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</si>
  <si>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</si>
  <si>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</si>
  <si>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</si>
  <si>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</si>
  <si>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</si>
  <si>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</si>
  <si>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</si>
  <si>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</si>
  <si>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</si>
  <si>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</si>
  <si>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</si>
  <si>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</si>
  <si>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</si>
  <si>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</si>
  <si>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</si>
  <si>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</si>
  <si>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</si>
  <si>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</si>
  <si>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</si>
  <si>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</si>
  <si>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</si>
  <si>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</si>
  <si>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</si>
  <si>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</si>
  <si>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</si>
  <si>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</si>
  <si>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</si>
  <si>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</si>
  <si>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</si>
  <si>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</si>
  <si>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</si>
  <si>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</si>
  <si>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</si>
  <si>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</si>
  <si>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</si>
  <si>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</si>
  <si>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</si>
  <si>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</si>
  <si>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</si>
  <si>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</si>
  <si>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</si>
  <si>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</si>
  <si>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</si>
  <si>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</si>
  <si>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</si>
  <si>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</si>
  <si>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</si>
  <si>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</si>
  <si>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</si>
  <si>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</si>
  <si>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</si>
  <si>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</si>
  <si>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</si>
  <si>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</si>
  <si>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</si>
  <si>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</si>
  <si>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</si>
  <si>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</si>
  <si>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</si>
  <si>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</si>
  <si>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</si>
  <si>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</si>
  <si>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</si>
  <si>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</si>
  <si>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</si>
  <si>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</si>
  <si>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</si>
  <si>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</si>
  <si>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</si>
  <si>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</si>
  <si>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</si>
  <si>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</si>
  <si>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</si>
  <si>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</si>
  <si>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</si>
  <si>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</si>
  <si>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</si>
  <si>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</si>
  <si>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</si>
  <si>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</si>
  <si>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</si>
  <si>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</si>
  <si>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</si>
  <si>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</si>
  <si>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</si>
  <si>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</si>
  <si>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</si>
  <si>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</si>
  <si>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</si>
  <si>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</si>
  <si>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</si>
  <si>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</si>
  <si>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</si>
  <si>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</si>
  <si>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</si>
  <si>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</si>
  <si>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</si>
  <si>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</si>
  <si>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</si>
  <si>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</si>
  <si>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</si>
  <si>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</si>
  <si>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</si>
  <si>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</si>
  <si>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</si>
  <si>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</si>
  <si>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</si>
  <si>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</si>
  <si>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</si>
  <si>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</si>
  <si>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</si>
  <si>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</si>
  <si>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</si>
  <si>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</si>
  <si>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</si>
  <si>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</si>
  <si>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</si>
  <si>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</si>
  <si>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</si>
  <si>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</si>
  <si>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</si>
  <si>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</si>
  <si>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</si>
  <si>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</si>
  <si>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</si>
  <si>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</si>
  <si>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</si>
  <si>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</si>
  <si>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</si>
  <si>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</si>
  <si>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</si>
  <si>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</si>
  <si>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</si>
  <si>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</si>
  <si>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</si>
  <si>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</si>
  <si>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</si>
  <si>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</si>
  <si>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</si>
  <si>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</si>
  <si>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</si>
  <si>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</si>
  <si>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</si>
  <si>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</si>
  <si>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</si>
  <si>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</si>
  <si>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</si>
  <si>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</si>
  <si>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</si>
  <si>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</si>
  <si>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</si>
  <si>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</si>
  <si>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</si>
  <si>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</si>
  <si>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</si>
  <si>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</si>
  <si>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</si>
  <si>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</si>
  <si>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</si>
  <si>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</si>
  <si>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</si>
  <si>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</si>
  <si>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</si>
  <si>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</si>
  <si>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</si>
  <si>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</si>
  <si>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</si>
  <si>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</si>
  <si>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</si>
  <si>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</si>
  <si>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</si>
  <si>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</si>
  <si>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</si>
  <si>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</si>
  <si>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</si>
  <si>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</si>
  <si>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</si>
  <si>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</si>
  <si>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</si>
  <si>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</si>
  <si>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</si>
  <si>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</si>
  <si>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</si>
  <si>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</si>
  <si>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</si>
  <si>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</si>
  <si>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</si>
  <si>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</si>
  <si>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</si>
  <si>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</si>
  <si>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</si>
  <si>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</si>
  <si>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</si>
  <si>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</si>
  <si>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</si>
  <si>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</si>
  <si>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</si>
  <si>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</si>
  <si>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</si>
  <si>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</si>
  <si>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</si>
  <si>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</si>
  <si>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</si>
  <si>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</si>
  <si>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</si>
  <si>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</si>
  <si>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</si>
  <si>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</si>
  <si>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</si>
  <si>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</si>
  <si>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</si>
  <si>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</si>
  <si>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</si>
  <si>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</si>
  <si>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</si>
  <si>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</si>
  <si>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</si>
  <si>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</si>
  <si>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</si>
  <si>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</si>
  <si>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</si>
  <si>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</si>
  <si>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</si>
  <si>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</si>
  <si>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</si>
  <si>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</si>
  <si>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</si>
  <si>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</si>
  <si>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</si>
  <si>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</si>
  <si>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</si>
  <si>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</si>
  <si>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</si>
  <si>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</si>
  <si>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</si>
  <si>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</si>
  <si>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</si>
  <si>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</si>
  <si>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</si>
  <si>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</si>
  <si>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</si>
  <si>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</si>
  <si>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</si>
  <si>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</si>
  <si>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</si>
  <si>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</si>
  <si>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</si>
  <si>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</si>
  <si>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</si>
  <si>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</si>
  <si>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</si>
  <si>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</si>
  <si>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</si>
  <si>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</si>
  <si>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</si>
  <si>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</si>
  <si>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</si>
  <si>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</si>
  <si>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</si>
  <si>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</si>
  <si>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</si>
  <si>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</si>
  <si>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</si>
  <si>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</si>
  <si>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</si>
  <si>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</si>
  <si>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</si>
  <si>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</si>
  <si>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</si>
  <si>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</si>
  <si>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</si>
  <si>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</si>
  <si>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</si>
  <si>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</si>
  <si>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</si>
  <si>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</si>
  <si>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</si>
  <si>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</si>
  <si>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</si>
  <si>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</si>
  <si>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</si>
  <si>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</si>
  <si>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</si>
  <si>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</si>
  <si>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</si>
  <si>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</si>
  <si>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</si>
  <si>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</si>
  <si>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</si>
  <si>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</si>
  <si>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</si>
  <si>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</si>
  <si>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</si>
  <si>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</si>
  <si>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</si>
  <si>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</si>
  <si>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</si>
  <si>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</si>
  <si>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</si>
  <si>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</si>
  <si>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</si>
  <si>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</si>
  <si>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</si>
  <si>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</si>
  <si>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</si>
  <si>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</si>
  <si>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</si>
  <si>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</si>
  <si>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</si>
  <si>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</si>
  <si>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</si>
  <si>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</si>
  <si>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</si>
  <si>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</si>
  <si>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</si>
  <si>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</si>
  <si>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</si>
  <si>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</si>
  <si>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</si>
  <si>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</si>
  <si>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</si>
  <si>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</si>
  <si>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</si>
  <si>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</si>
  <si>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</si>
  <si>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</si>
  <si>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</si>
  <si>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</si>
  <si>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</si>
  <si>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</si>
  <si>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</si>
  <si>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</si>
  <si>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</si>
  <si>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</si>
  <si>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</si>
  <si>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</si>
  <si>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</si>
  <si>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</si>
  <si>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</si>
  <si>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</si>
  <si>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</si>
  <si>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</si>
  <si>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</si>
  <si>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</si>
  <si>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</si>
  <si>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</si>
  <si>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</si>
  <si>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</si>
  <si>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</si>
  <si>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</si>
  <si>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</si>
  <si>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</si>
  <si>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</si>
  <si>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</si>
  <si>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</si>
  <si>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</si>
  <si>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</si>
  <si>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</si>
  <si>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</si>
  <si>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</si>
  <si>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</si>
  <si>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</si>
  <si>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</si>
  <si>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</si>
  <si>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</si>
  <si>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</si>
  <si>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</si>
  <si>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</si>
  <si>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</si>
  <si>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</si>
  <si>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</si>
  <si>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</si>
  <si>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</si>
  <si>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</si>
  <si>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</si>
  <si>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</si>
  <si>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</si>
  <si>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</si>
  <si>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</si>
  <si>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</si>
  <si>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</si>
  <si>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</si>
  <si>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</si>
  <si>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</si>
  <si>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</si>
  <si>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</si>
  <si>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</si>
  <si>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</si>
  <si>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</si>
  <si>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</si>
  <si>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</si>
  <si>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</si>
  <si>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</si>
  <si>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</si>
  <si>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</si>
  <si>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</si>
  <si>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</si>
  <si>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</si>
  <si>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</si>
  <si>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</si>
  <si>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</si>
  <si>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</si>
  <si>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</si>
  <si>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</si>
  <si>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</si>
  <si>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</si>
  <si>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</si>
  <si>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</si>
  <si>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</si>
  <si>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</si>
  <si>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</si>
  <si>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</si>
  <si>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</si>
  <si>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</si>
  <si>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</si>
  <si>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</si>
  <si>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</si>
  <si>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</si>
  <si>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</si>
  <si>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</si>
  <si>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</si>
  <si>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</si>
  <si>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</si>
  <si>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</si>
  <si>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</si>
  <si>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</si>
  <si>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</si>
  <si>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</si>
  <si>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</si>
  <si>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</si>
  <si>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</si>
  <si>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</si>
  <si>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</si>
  <si>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</si>
  <si>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</si>
  <si>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</si>
  <si>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</si>
  <si>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</si>
  <si>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</si>
  <si>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</si>
  <si>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</si>
  <si>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</si>
  <si>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</si>
  <si>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</si>
  <si>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</si>
  <si>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</si>
  <si>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</si>
  <si>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</si>
  <si>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</si>
  <si>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</si>
  <si>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</si>
  <si>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</si>
  <si>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</si>
  <si>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</si>
  <si>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</si>
  <si>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</si>
  <si>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</si>
  <si>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</si>
  <si>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</si>
  <si>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phoneticPr fontId="25" type="noConversion"/>
  </si>
  <si>
    <t>毛坯</t>
    <phoneticPr fontId="25" type="noConversion"/>
  </si>
  <si>
    <t>富力十号</t>
    <phoneticPr fontId="3" type="noConversion"/>
  </si>
  <si>
    <t>非个人房产</t>
  </si>
  <si>
    <t>有</t>
  </si>
  <si>
    <t>住宅-别墅</t>
  </si>
  <si>
    <t>住宅-别墅</t>
    <phoneticPr fontId="7" type="noConversion"/>
  </si>
  <si>
    <t>高层</t>
  </si>
  <si>
    <t>高层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</si>
</sst>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1" fontId="55" fillId="19" borderId="1" xfId="0" applyNumberFormat="1" applyFont="1" applyFill="1" applyBorder="1" applyAlignment="1" applyProtection="1">
      <alignment horizontal="left" vertical="center" wrapText="1"/>
    </xf>
    <xf numFmtId="0" fontId="55" fillId="19" borderId="1" xfId="0" applyFont="1" applyFill="1" applyBorder="1" applyAlignment="1" applyProtection="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419101</xdr:colOff>
      <xdr:row>19</xdr:row>
      <xdr:rowOff>133473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05500" cy="3391023"/>
        </a:xfrm>
        <a:prstGeom prst="rect">
          <a:avLst/>
        </a:prstGeom>
      </xdr:spPr>
    </xdr:pic>
    <xdr:clientData/>
  </xdr:twoCellAnchor>
  <xdr:twoCellAnchor editAs="oneCell">
    <xdr:from>
      <xdr:col>0</xdr:col>
      <xdr:colOff>35420</xdr:colOff>
      <xdr:row>15</xdr:row>
      <xdr:rowOff>113333</xdr:rowOff>
    </xdr:from>
    <xdr:to>
      <xdr:col>9</xdr:col>
      <xdr:colOff>466725</xdr:colOff>
      <xdr:row>41</xdr:row>
      <xdr:rowOff>151638</xdr:rowOff>
    </xdr:to>
    <xdr:pic>
      <xdr:nvPicPr>
        <xdr:cNvPr id="3" name="图片 2"/>
        <xdr:cNvPicPr>
          <a:picLocks noChangeAspect="1"/>
        </xdr:cNvPicPr>
      </xdr:nvPicPr>
      <xdr:blipFill>
        <a:blip xmlns:r="http://schemas.openxmlformats.org/officeDocument/2006/relationships" r:embed="rId2"/>
        <a:stretch>
          <a:fillRect/>
        </a:stretch>
      </xdr:blipFill>
      <xdr:spPr>
        <a:xfrm>
          <a:off x="35420" y="2685083"/>
          <a:ext cx="6603505" cy="44960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本次评估采用的主估价方法为比较法和收益法。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7038</v>
      </c>
    </row>
    <row r="21" spans="1:2" s="1365" customFormat="1">
      <c r="A21" s="1363" t="s">
        <v>1202</v>
      </c>
      <c r="B21" s="1364">
        <f ca="1">'预评函-2'!D7</f>
        <v>134683</v>
      </c>
    </row>
    <row r="22" spans="1:2" s="1365" customFormat="1">
      <c r="A22" s="1363" t="s">
        <v>1203</v>
      </c>
      <c r="B22" s="1364" t="str">
        <f ca="1">'预评函-2'!D6</f>
        <v>柒仟零叁拾捌万元整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7038</v>
      </c>
    </row>
    <row r="31" spans="1:2" s="1365" customFormat="1">
      <c r="A31" s="1363" t="s">
        <v>1241</v>
      </c>
      <c r="B31" s="1364">
        <f ca="1">'预评函-2'!D15</f>
        <v>134683</v>
      </c>
    </row>
    <row r="32" spans="1:2" s="1365" customFormat="1">
      <c r="A32" s="1363" t="s">
        <v>1208</v>
      </c>
      <c r="B32" s="1364" t="str">
        <f ca="1">'预评函-2'!D14</f>
        <v>柒仟零叁拾捌万元整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5622</v>
      </c>
    </row>
    <row r="39" spans="1:2" s="1365" customFormat="1">
      <c r="A39" s="1363" t="s">
        <v>1210</v>
      </c>
      <c r="B39" s="1364">
        <f ca="1">'预评函-2'!D21</f>
        <v>107586</v>
      </c>
    </row>
    <row r="40" spans="1:2" s="1365" customFormat="1">
      <c r="A40" s="1363" t="s">
        <v>1211</v>
      </c>
      <c r="B40" s="1364" t="str">
        <f ca="1">'预评函-2'!D20</f>
        <v>伍仟陆佰贰拾贰万元整</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522.55999999999995</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5750</v>
      </c>
    </row>
    <row r="48" spans="1:2" s="1365" customFormat="1">
      <c r="A48" s="1363" t="s">
        <v>1214</v>
      </c>
      <c r="B48" s="1364">
        <f ca="1">'预评函-3'!E4</f>
        <v>110035</v>
      </c>
    </row>
    <row r="49" spans="1:2" s="1365" customFormat="1">
      <c r="A49" s="1363" t="s">
        <v>1215</v>
      </c>
      <c r="B49" s="1364" t="str">
        <f ca="1">'预评函-3'!D5</f>
        <v>伍仟柒佰伍拾万元整</v>
      </c>
    </row>
    <row r="50" spans="1:2" s="1365" customFormat="1">
      <c r="A50" s="1363" t="s">
        <v>1239</v>
      </c>
      <c r="B50" s="1364" t="str">
        <f>'预评函-3'!F2</f>
        <v>在建建筑物价值</v>
      </c>
    </row>
    <row r="51" spans="1:2" s="1365" customFormat="1">
      <c r="A51" s="1363" t="s">
        <v>1216</v>
      </c>
      <c r="B51" s="1364">
        <f ca="1">'预评函-3'!F4</f>
        <v>1288</v>
      </c>
    </row>
    <row r="52" spans="1:2" s="1365" customFormat="1">
      <c r="A52" s="1363" t="s">
        <v>1217</v>
      </c>
      <c r="B52" s="1364">
        <f ca="1">'预评函-3'!G4</f>
        <v>24648</v>
      </c>
    </row>
    <row r="53" spans="1:2" s="1365" customFormat="1">
      <c r="A53" s="1363" t="s">
        <v>1245</v>
      </c>
      <c r="B53" s="1364" t="str">
        <f ca="1">'预评函-3'!F5</f>
        <v>壹仟贰佰捌拾捌万元整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2" customWidth="1"/>
    <col min="2" max="2" width="23.21875" style="1693" customWidth="1"/>
    <col min="3" max="3" width="13" style="1737" customWidth="1"/>
    <col min="4" max="4" width="5.77734375" style="1734" customWidth="1"/>
    <col min="5" max="5" width="7.109375" style="1734" customWidth="1"/>
    <col min="6" max="6" width="10.6640625" style="1734" customWidth="1"/>
    <col min="7" max="7" width="7.44140625" style="1734" customWidth="1"/>
    <col min="8" max="8" width="9" style="1737" customWidth="1"/>
    <col min="9" max="9" width="11.6640625" style="1737" customWidth="1"/>
    <col min="10" max="10" width="9" style="1737" customWidth="1"/>
    <col min="11" max="19" width="9" style="1734" customWidth="1"/>
    <col min="20" max="23" width="9" style="1737" customWidth="1"/>
    <col min="24" max="24" width="21.109375" style="1693" customWidth="1"/>
    <col min="25" max="16384" width="9" style="1693"/>
  </cols>
  <sheetData>
    <row r="1" spans="1:23" s="1731" customFormat="1" ht="28.8">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3037</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88" t="s">
        <v>2912</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102"/>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2913</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5"/>
      <c r="C3" s="2596" t="s">
        <v>2915</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8"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2"/>
      <c r="P4" s="2592"/>
      <c r="Q4" s="2592"/>
      <c r="R4" s="2592"/>
      <c r="S4" s="1869"/>
      <c r="T4" s="1932"/>
      <c r="U4" s="1932"/>
      <c r="V4" s="1932"/>
      <c r="W4" s="1932"/>
      <c r="X4" s="1932"/>
      <c r="Y4" s="1932"/>
      <c r="Z4" s="1932"/>
      <c r="AA4" s="1932"/>
      <c r="AB4" s="1932"/>
    </row>
    <row r="5" spans="1:28" ht="13.8"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3093</v>
      </c>
      <c r="C8" s="2612"/>
      <c r="D8" s="3103" t="s">
        <v>2921</v>
      </c>
      <c r="E8" s="2613" t="s">
        <v>3092</v>
      </c>
      <c r="F8" s="2614"/>
      <c r="G8" s="2888"/>
      <c r="H8" s="2888"/>
      <c r="I8" s="2888"/>
      <c r="J8" s="2663"/>
      <c r="K8" s="2838"/>
      <c r="L8" s="2837"/>
      <c r="M8" s="2837"/>
      <c r="N8" s="2663"/>
      <c r="O8" s="2674"/>
      <c r="P8" s="2663"/>
      <c r="Q8" s="2663"/>
      <c r="R8" s="2663"/>
    </row>
    <row r="9" spans="1:28" ht="13.8" thickBot="1">
      <c r="A9" s="2615" t="s">
        <v>2922</v>
      </c>
      <c r="B9" s="2616" t="s">
        <v>3092</v>
      </c>
      <c r="C9" s="2617"/>
      <c r="D9" s="3104"/>
      <c r="E9" s="2616" t="s">
        <v>1252</v>
      </c>
      <c r="F9" s="2618"/>
      <c r="G9" s="2890"/>
      <c r="H9" s="2890"/>
      <c r="I9" s="2890"/>
      <c r="J9" s="2663"/>
      <c r="K9" s="2840"/>
      <c r="L9" s="2837"/>
      <c r="M9" s="2837"/>
      <c r="N9" s="2663"/>
      <c r="O9" s="2674"/>
      <c r="P9" s="2663"/>
      <c r="Q9" s="2663"/>
      <c r="R9" s="2663"/>
    </row>
    <row r="10" spans="1:28" ht="13.8" thickTop="1">
      <c r="A10" s="2619" t="s">
        <v>2923</v>
      </c>
      <c r="B10" s="2620" t="s">
        <v>3075</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3074</v>
      </c>
      <c r="C11" s="2625"/>
      <c r="D11" s="2626"/>
      <c r="E11" s="2592"/>
      <c r="F11" s="2592"/>
      <c r="G11" s="2592"/>
      <c r="H11" s="2592"/>
      <c r="I11" s="2592"/>
      <c r="J11" s="2663"/>
      <c r="K11" s="2840"/>
      <c r="L11" s="2837"/>
      <c r="M11" s="2837"/>
      <c r="N11" s="2663"/>
      <c r="O11" s="2674"/>
      <c r="P11" s="2663"/>
      <c r="Q11" s="2663"/>
      <c r="R11" s="2663"/>
    </row>
    <row r="12" spans="1:28">
      <c r="A12" s="2627" t="s">
        <v>2926</v>
      </c>
      <c r="B12" s="2624" t="s">
        <v>3076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2935</v>
      </c>
      <c r="D14" s="2631">
        <v>70</v>
      </c>
      <c r="E14" s="2631"/>
      <c r="F14" s="2631"/>
      <c r="G14" s="2631"/>
      <c r="H14" s="2631">
        <v>50</v>
      </c>
      <c r="I14" s="2631"/>
      <c r="J14" s="2663"/>
      <c r="K14" s="2841"/>
      <c r="L14" s="2837"/>
      <c r="M14" s="2837"/>
      <c r="N14" s="2663"/>
      <c r="O14" s="2674"/>
      <c r="P14" s="2663"/>
      <c r="Q14" s="2663"/>
      <c r="R14" s="2663"/>
    </row>
    <row r="15" spans="1:28">
      <c r="A15" s="326"/>
      <c r="B15" s="2632"/>
      <c r="C15" s="2633" t="s">
        <v>2936</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2937</v>
      </c>
      <c r="B16" s="3110"/>
      <c r="C16" s="3111"/>
      <c r="D16" s="3112"/>
      <c r="E16" s="2637" t="s">
        <v>2938</v>
      </c>
      <c r="F16" s="3113"/>
      <c r="G16" s="3114"/>
      <c r="H16" s="3114"/>
      <c r="I16" s="3115"/>
      <c r="J16" s="2663"/>
      <c r="K16" s="2842"/>
      <c r="L16" s="2675"/>
      <c r="M16" s="2675"/>
      <c r="N16" s="2733"/>
      <c r="O16" s="2675"/>
      <c r="P16" s="2733"/>
      <c r="Q16" s="2663"/>
      <c r="R16" s="2663"/>
    </row>
    <row r="17" spans="1:28">
      <c r="A17" s="319" t="s">
        <v>2939</v>
      </c>
      <c r="B17" s="308" t="s">
        <v>2940</v>
      </c>
      <c r="C17" s="11">
        <f>'数据-汇总表'!E3</f>
        <v>522.55999999999995</v>
      </c>
      <c r="D17" s="2543" t="s">
        <v>2941</v>
      </c>
      <c r="E17" s="3116" t="s">
        <v>2942</v>
      </c>
      <c r="F17" s="3117"/>
      <c r="G17" s="3117"/>
      <c r="H17" s="3117"/>
      <c r="I17" s="3118"/>
      <c r="J17" s="2663"/>
      <c r="K17" s="2843"/>
      <c r="L17" s="2675"/>
      <c r="M17" s="2675"/>
      <c r="N17" s="2733"/>
      <c r="O17" s="2675"/>
      <c r="P17" s="2733"/>
      <c r="Q17" s="2663"/>
      <c r="R17" s="2663"/>
      <c r="S17" s="2663"/>
      <c r="T17" s="2663"/>
      <c r="U17" s="2663"/>
      <c r="V17" s="2663"/>
    </row>
    <row r="18" spans="1:28" ht="24.6" thickBot="1">
      <c r="A18" s="2638" t="s">
        <v>2943</v>
      </c>
      <c r="B18" s="1250" t="s">
        <v>2944</v>
      </c>
      <c r="C18" s="2639">
        <f>'数据-汇总表'!D3</f>
        <v>0</v>
      </c>
      <c r="D18" s="1252" t="s">
        <v>2945</v>
      </c>
      <c r="E18" s="3119" t="s">
        <v>2946</v>
      </c>
      <c r="F18" s="3120"/>
      <c r="G18" s="3120"/>
      <c r="H18" s="3120"/>
      <c r="I18" s="3121"/>
      <c r="J18" s="2663"/>
      <c r="K18" s="2843"/>
      <c r="L18" s="2675"/>
      <c r="M18" s="2675"/>
      <c r="N18" s="2733"/>
      <c r="O18" s="2675"/>
      <c r="P18" s="2733"/>
      <c r="Q18" s="2663"/>
      <c r="R18" s="2663"/>
      <c r="S18" s="2663"/>
      <c r="T18" s="2663"/>
      <c r="U18" s="2663"/>
      <c r="V18" s="2663"/>
    </row>
    <row r="19" spans="1:28" ht="37.200000000000003" thickTop="1" thickBot="1">
      <c r="A19" s="333" t="s">
        <v>1740</v>
      </c>
      <c r="B19" s="313" t="s">
        <v>2947</v>
      </c>
      <c r="C19" s="1749"/>
      <c r="D19" s="1750" t="s">
        <v>2948</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2949</v>
      </c>
      <c r="B20" s="3106" t="s">
        <v>2950</v>
      </c>
      <c r="C20" s="3107"/>
      <c r="D20" s="3108" t="s">
        <v>2951</v>
      </c>
      <c r="E20" s="3109"/>
      <c r="F20" s="2872" t="s">
        <v>1741</v>
      </c>
      <c r="G20" s="2889"/>
      <c r="H20" s="2889"/>
      <c r="I20" s="2889"/>
      <c r="J20" s="2663"/>
      <c r="K20" s="3105"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2"/>
      <c r="X20" s="1932"/>
      <c r="Y20" s="1932"/>
      <c r="Z20" s="1932"/>
      <c r="AA20" s="1932"/>
      <c r="AB20" s="1932"/>
    </row>
    <row r="21" spans="1:28" ht="36.6" thickBot="1">
      <c r="A21" s="2857"/>
      <c r="B21" s="2858" t="s">
        <v>2953</v>
      </c>
      <c r="C21" s="2859" t="s">
        <v>1742</v>
      </c>
      <c r="D21" s="1754" t="s">
        <v>2954</v>
      </c>
      <c r="E21" s="2860" t="s">
        <v>1742</v>
      </c>
      <c r="F21" s="2873"/>
      <c r="G21" s="2889"/>
      <c r="H21" s="2889"/>
      <c r="I21" s="2889"/>
      <c r="J21" s="2663"/>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2"/>
      <c r="X21" s="1932"/>
      <c r="Y21" s="1932"/>
      <c r="Z21" s="1932"/>
      <c r="AA21" s="1932"/>
      <c r="AB21" s="1932"/>
    </row>
    <row r="22" spans="1:28" ht="36.6" thickBot="1">
      <c r="A22" s="2857"/>
      <c r="B22" s="2861" t="s">
        <v>2955</v>
      </c>
      <c r="C22" s="2859" t="s">
        <v>1743</v>
      </c>
      <c r="D22" s="2888"/>
      <c r="E22" s="2888"/>
      <c r="F22" s="2888"/>
      <c r="G22" s="2889"/>
      <c r="H22" s="2889"/>
      <c r="I22" s="2889"/>
      <c r="J22" s="2663"/>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23"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3"/>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3"/>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4"/>
      <c r="B30" s="308" t="s">
        <v>2962</v>
      </c>
      <c r="C30" s="3125"/>
      <c r="D30" s="3126"/>
      <c r="E30" s="2889"/>
      <c r="F30" s="2889"/>
      <c r="G30" s="2889"/>
      <c r="H30" s="2889"/>
      <c r="I30" s="2889"/>
      <c r="J30" s="2663"/>
      <c r="K30" s="2840"/>
      <c r="L30" s="2837"/>
      <c r="M30" s="2837"/>
      <c r="N30" s="2663"/>
      <c r="O30" s="2674"/>
      <c r="P30" s="2663"/>
      <c r="Q30" s="2663"/>
      <c r="R30" s="2663"/>
      <c r="S30" s="2663"/>
      <c r="T30" s="2663"/>
      <c r="U30" s="2663"/>
      <c r="V30" s="2663"/>
    </row>
    <row r="31" spans="1:28">
      <c r="A31" s="3127" t="s">
        <v>2963</v>
      </c>
      <c r="B31" s="2646"/>
      <c r="C31" s="2544" t="str">
        <f>IF(B31="现房","成新及维护状况正常否",IF(B31="在建","工程状态是否正常",IF(B31="土地","是否闲置","-")))</f>
        <v>-</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28"/>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28"/>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22" t="s">
        <v>2972</v>
      </c>
      <c r="T34" s="2652" t="str">
        <f>NUMBERSTRING(7-K34,1)&amp;"通"</f>
        <v>七通</v>
      </c>
      <c r="U34" s="2663"/>
      <c r="V34" s="2663"/>
    </row>
    <row r="35" spans="1:30">
      <c r="A35" s="2653"/>
      <c r="B35" s="3129" t="s">
        <v>2973</v>
      </c>
      <c r="C35" s="3129"/>
      <c r="D35" s="3129"/>
      <c r="E35" s="3129"/>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2"/>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2975</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2977</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2">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8671875" defaultRowHeight="13.8"/>
  <cols>
    <col min="1" max="1" width="10.6640625" style="1759" customWidth="1"/>
    <col min="2" max="2" width="11" style="1759" customWidth="1"/>
    <col min="3" max="3" width="10.33203125" style="1759" customWidth="1"/>
    <col min="4" max="4" width="9.109375" style="1759" customWidth="1"/>
    <col min="5" max="6" width="10" style="1820" customWidth="1"/>
    <col min="7" max="8" width="10" style="1759" customWidth="1"/>
    <col min="9" max="9" width="10.6640625" style="1759" customWidth="1"/>
    <col min="10" max="10" width="9.44140625" style="1759" customWidth="1"/>
    <col min="11" max="11" width="11" style="1759" customWidth="1"/>
    <col min="12" max="14" width="9.44140625" style="1759" customWidth="1"/>
    <col min="15" max="15" width="9.88671875" style="1759" customWidth="1"/>
    <col min="16" max="16" width="9.77734375" style="1759" customWidth="1"/>
    <col min="17" max="17" width="9.33203125" style="1759" customWidth="1"/>
    <col min="18" max="18" width="9.21875" style="1759" customWidth="1"/>
    <col min="19" max="19" width="10.88671875" style="1759" customWidth="1"/>
    <col min="20" max="21" width="10.77734375" style="1759" customWidth="1"/>
    <col min="22" max="22" width="10.88671875" style="1759" customWidth="1"/>
    <col min="23" max="27" width="10.77734375" style="1759" customWidth="1"/>
    <col min="28" max="28" width="10.88671875" style="1759" customWidth="1"/>
    <col min="29" max="29" width="11" style="1759" bestFit="1" customWidth="1"/>
    <col min="30" max="30" width="10" style="1759" bestFit="1" customWidth="1"/>
    <col min="31" max="31" width="9.77734375" style="1759" customWidth="1"/>
    <col min="32" max="46" width="9.44140625" style="1759" customWidth="1"/>
    <col min="47" max="47" width="18.109375" style="1759" customWidth="1"/>
    <col min="48" max="50" width="9.77734375" style="1759" customWidth="1"/>
    <col min="51" max="55" width="10.44140625" style="1759" bestFit="1" customWidth="1"/>
    <col min="56" max="56" width="9.44140625" style="1759" bestFit="1" customWidth="1"/>
    <col min="57" max="63" width="9.109375" style="1759" bestFit="1" customWidth="1"/>
    <col min="64" max="64" width="9.44140625" style="1759" bestFit="1" customWidth="1"/>
    <col min="65" max="65" width="9.109375" style="1759" bestFit="1" customWidth="1"/>
    <col min="66" max="66" width="9.44140625" style="1759" bestFit="1" customWidth="1"/>
    <col min="67" max="69" width="9.109375" style="1759" bestFit="1" customWidth="1"/>
    <col min="70" max="70" width="9.44140625" style="1759" bestFit="1" customWidth="1"/>
    <col min="71" max="71" width="9" style="1759" customWidth="1"/>
    <col min="72" max="72" width="9.109375" style="1759" bestFit="1" customWidth="1"/>
    <col min="73" max="16384" width="8.88671875" style="1759"/>
  </cols>
  <sheetData>
    <row r="1" spans="1:72" ht="21">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3.2">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3.2">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3.2">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5.2">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3.2">
      <c r="A9" s="1780"/>
      <c r="B9" s="1780"/>
      <c r="C9" s="1780"/>
      <c r="D9" s="1780"/>
      <c r="E9" s="1780"/>
      <c r="F9" s="1780"/>
      <c r="G9" s="1202"/>
      <c r="H9" s="1788" t="s">
        <v>1776</v>
      </c>
      <c r="I9" s="1789" t="s">
        <v>3061</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3.2">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3.2">
      <c r="A11" s="1780"/>
      <c r="B11" s="1780"/>
      <c r="C11" s="1780"/>
      <c r="D11" s="1780"/>
      <c r="E11" s="1780"/>
      <c r="F11" s="1780"/>
      <c r="G11" s="1202"/>
      <c r="H11" s="1797"/>
      <c r="I11" s="1800" t="s">
        <v>3063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3.2">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3.2">
      <c r="A13" s="1182"/>
      <c r="B13" s="1182"/>
      <c r="C13" s="1182"/>
      <c r="D13" s="1811" t="s">
        <v>3060</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3.2">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3.2">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3.2">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3.2">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46.8">
      <c r="A3" s="3130"/>
      <c r="B3" s="3130"/>
      <c r="C3" s="3130"/>
      <c r="D3" s="3131"/>
      <c r="E3" s="313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1875" defaultRowHeight="13.8"/>
  <cols>
    <col min="1" max="1" width="12.109375" style="1824" customWidth="1"/>
    <col min="2" max="2" width="10.21875" style="1824" customWidth="1"/>
    <col min="3" max="3" width="18.44140625" style="1824" customWidth="1"/>
    <col min="4" max="4" width="11.6640625" style="1824" customWidth="1"/>
    <col min="5" max="5" width="13.33203125" style="1824" customWidth="1"/>
    <col min="6" max="8" width="11.44140625" style="1824" customWidth="1"/>
    <col min="9" max="9" width="11.109375" style="1824" customWidth="1"/>
    <col min="10" max="10" width="3.109375" style="2874" customWidth="1"/>
    <col min="11" max="16" width="10" style="1824" customWidth="1"/>
    <col min="17" max="17" width="2.6640625" style="1824" customWidth="1"/>
    <col min="18" max="18" width="9.33203125" style="1824" bestFit="1" customWidth="1"/>
    <col min="19" max="19" width="10.44140625" style="1824" bestFit="1" customWidth="1"/>
    <col min="20" max="16384" width="9.21875" style="1824"/>
  </cols>
  <sheetData>
    <row r="1" spans="1:16" ht="18" thickBot="1">
      <c r="A1" s="1823" t="s">
        <v>1815</v>
      </c>
      <c r="B1" s="1301"/>
      <c r="C1" s="1301"/>
      <c r="D1" s="1301"/>
      <c r="E1" s="1301"/>
      <c r="F1" s="1301"/>
      <c r="G1" s="1301"/>
      <c r="H1" s="1301"/>
      <c r="I1" s="1301"/>
      <c r="J1" s="1301"/>
      <c r="K1" s="1301"/>
      <c r="L1" s="1301"/>
      <c r="M1" s="1301"/>
      <c r="N1" s="1301"/>
      <c r="O1" s="1301"/>
      <c r="P1" s="1301"/>
    </row>
    <row r="2" spans="1:16" ht="14.4">
      <c r="A2" s="3141" t="s">
        <v>1816</v>
      </c>
      <c r="B2" s="3141"/>
      <c r="C2" s="3141"/>
      <c r="D2" s="904" t="s">
        <v>1792</v>
      </c>
      <c r="E2" s="1825" t="s">
        <v>1793</v>
      </c>
      <c r="F2" s="2884"/>
      <c r="G2" s="2875"/>
      <c r="H2" s="2876"/>
      <c r="I2" s="2546" t="s">
        <v>1817</v>
      </c>
      <c r="J2" s="2884"/>
      <c r="K2" s="2884"/>
      <c r="L2" s="2884"/>
      <c r="M2" s="2884"/>
      <c r="N2" s="2886"/>
      <c r="O2" s="2884"/>
      <c r="P2" s="2884"/>
    </row>
    <row r="3" spans="1:16" ht="15" thickBot="1">
      <c r="A3" s="3142" t="s">
        <v>1790</v>
      </c>
      <c r="B3" s="3142"/>
      <c r="C3" s="3142"/>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4.4">
      <c r="A4" s="3143"/>
      <c r="B4" s="3144"/>
      <c r="C4" s="3145"/>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ht="14.4">
      <c r="A5" s="47" t="s">
        <v>1794</v>
      </c>
      <c r="B5" s="3146" t="s">
        <v>1795</v>
      </c>
      <c r="C5" s="3146"/>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6" t="s">
        <v>1796</v>
      </c>
      <c r="C6" s="3146"/>
      <c r="D6" s="48">
        <f>ROUND($D$3*E6/$E$3,2)</f>
        <v>0</v>
      </c>
      <c r="E6" s="49">
        <f>E3-E5</f>
        <v>0</v>
      </c>
      <c r="F6" s="2884"/>
      <c r="G6" s="2878" t="s">
        <v>1797</v>
      </c>
      <c r="H6" s="1308" t="s">
        <v>1798</v>
      </c>
      <c r="I6" s="2879" t="e">
        <f>ROUND(F31/D31,2)</f>
        <v>#DIV/0!</v>
      </c>
      <c r="J6" s="2884"/>
      <c r="K6" s="2884"/>
      <c r="L6" s="2884"/>
      <c r="M6" s="2884"/>
      <c r="N6" s="2884"/>
      <c r="O6" s="2884"/>
      <c r="P6" s="2884"/>
    </row>
    <row r="7" spans="1:16" ht="15" thickBot="1">
      <c r="A7" s="3138"/>
      <c r="B7" s="3139"/>
      <c r="C7" s="3140"/>
      <c r="D7" s="1827" t="s">
        <v>1792</v>
      </c>
      <c r="E7" s="1831" t="s">
        <v>1799</v>
      </c>
      <c r="F7" s="2884"/>
      <c r="G7" s="2880" t="s">
        <v>1800</v>
      </c>
      <c r="H7" s="2881"/>
      <c r="I7" s="2882">
        <v>1.2</v>
      </c>
      <c r="J7" s="2884"/>
      <c r="K7" s="2884"/>
      <c r="L7" s="2884"/>
      <c r="M7" s="2884"/>
      <c r="N7" s="2884"/>
      <c r="O7" s="2884"/>
      <c r="P7" s="2884"/>
    </row>
    <row r="8" spans="1:16" ht="14.4">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ht="14.4">
      <c r="A9" s="1832"/>
      <c r="B9" s="1833"/>
      <c r="C9" s="48" t="s">
        <v>1804</v>
      </c>
      <c r="D9" s="48">
        <f t="shared" si="0"/>
        <v>0</v>
      </c>
      <c r="E9" s="52">
        <v>0</v>
      </c>
      <c r="F9" s="2884"/>
      <c r="G9" s="2885"/>
      <c r="H9" s="2885"/>
      <c r="I9" s="2884"/>
      <c r="J9" s="2884"/>
      <c r="K9" s="2884"/>
      <c r="L9" s="2884"/>
      <c r="M9" s="2884"/>
      <c r="N9" s="2884"/>
      <c r="O9" s="2884"/>
      <c r="P9" s="2884"/>
    </row>
    <row r="10" spans="1:16" ht="14.4">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30"/>
      <c r="B16" s="1833"/>
      <c r="C16" s="50" t="s">
        <v>1808</v>
      </c>
      <c r="D16" s="50">
        <f>SUM(D8:D15)</f>
        <v>0</v>
      </c>
      <c r="E16" s="53">
        <f>SUM(E8:E15)</f>
        <v>522.55999999999995</v>
      </c>
      <c r="F16" s="2884"/>
      <c r="G16" s="2885"/>
      <c r="H16" s="1834" t="s">
        <v>1820</v>
      </c>
      <c r="I16" s="1835"/>
      <c r="J16" s="1301"/>
      <c r="K16" s="3135" t="s">
        <v>1820</v>
      </c>
      <c r="L16" s="3136"/>
      <c r="M16" s="3136"/>
      <c r="N16" s="3136"/>
      <c r="O16" s="3136"/>
      <c r="P16" s="3137"/>
    </row>
    <row r="17" spans="1:19" ht="14.4">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4.4">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ht="14.4">
      <c r="A19" s="1853"/>
      <c r="B19" s="50" t="s">
        <v>1810</v>
      </c>
      <c r="C19" s="3051" t="s">
        <v>3118</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ht="14.4">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ht="14.4">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ht="14.4">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ht="14.4">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ht="14.4">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ht="14.4">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ht="14.4">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ht="14.4">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ht="14.4">
      <c r="A32" s="1829"/>
      <c r="B32" s="1829" t="s">
        <v>1844</v>
      </c>
      <c r="C32" s="1829"/>
      <c r="D32" s="1829"/>
      <c r="E32" s="1184">
        <f>SUMIF(C19:C26,"*住宅*",E19:E26)</f>
        <v>522.55999999999995</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7"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7.44140625" style="1869" customWidth="1"/>
    <col min="22" max="22" width="6.33203125" style="1869" customWidth="1"/>
    <col min="23" max="30" width="6.77734375" style="1869" customWidth="1"/>
    <col min="31" max="31" width="8" style="1869" customWidth="1"/>
    <col min="32" max="34" width="7.21875"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4.4"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57.6">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3065</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3.8">
      <c r="A6" s="1899" t="str">
        <f>'数据-汇总表'!C19</f>
        <v>住宅-别墅</v>
      </c>
      <c r="B6" s="1900" t="str">
        <f>IF(A6=0,"","经营性")</f>
        <v>经营性</v>
      </c>
      <c r="C6" s="1901" t="s">
        <v>3062</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522.55999999999995</v>
      </c>
      <c r="L6" s="742">
        <v>5000</v>
      </c>
      <c r="M6" s="71">
        <f t="shared" ref="M6:M14" si="0">ROUND(K6*L6/10000,0)</f>
        <v>261</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180000</v>
      </c>
      <c r="V6" s="75">
        <v>0.02</v>
      </c>
      <c r="W6" s="75">
        <v>0.1</v>
      </c>
      <c r="X6" s="1171"/>
      <c r="Y6" s="76">
        <f>N6</f>
        <v>0.85</v>
      </c>
      <c r="Z6" s="77"/>
      <c r="AA6" s="70"/>
      <c r="AB6" s="70"/>
      <c r="AC6" s="1171"/>
      <c r="AD6" s="78"/>
      <c r="AE6" s="1172">
        <f ca="1">IF(AN6="",0,SUMIF(INDIRECT("'"&amp;AN6&amp;"'"&amp;"!E:E"),$AE$5,INDIRECT("'"&amp;AN6&amp;"'"&amp;"!F:F")))</f>
        <v>58.11</v>
      </c>
      <c r="AF6" s="1533"/>
      <c r="AG6" s="143">
        <f>IF(AF6="",0,AE6-AF6)</f>
        <v>0</v>
      </c>
      <c r="AH6" s="79">
        <v>1</v>
      </c>
      <c r="AI6" s="81">
        <v>12</v>
      </c>
      <c r="AJ6" s="82"/>
      <c r="AK6" s="83">
        <v>0.01</v>
      </c>
      <c r="AL6" s="84">
        <v>1.5E-3</v>
      </c>
      <c r="AM6" s="85">
        <v>0.02</v>
      </c>
      <c r="AN6" s="1902" t="s">
        <v>3066</v>
      </c>
      <c r="AO6" s="55">
        <f ca="1">SUMIF(INDIRECT("'"&amp;AN6&amp;"'"&amp;"!A:A"),"总价",INDIRECT("'"&amp;AN6&amp;"'"&amp;"!B:B"))</f>
        <v>4154</v>
      </c>
      <c r="AP6" s="1903">
        <f>IF(C6="住宅",K6*L6,0)</f>
        <v>2612799.9999999995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3.8">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3.8">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3.8">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3.8">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3.8">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3.8">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3.8">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4">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8.8">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4995</v>
      </c>
      <c r="M16" s="98">
        <f>SUM(M6:M14)</f>
        <v>261</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9" t="s">
        <v>1896</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10" t="s">
        <v>1897</v>
      </c>
      <c r="B20" s="109">
        <v>1.5</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8.8">
      <c r="A27" s="1914" t="s">
        <v>1905</v>
      </c>
      <c r="B27" s="112">
        <v>200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1907</v>
      </c>
      <c r="B29" s="117">
        <f>ROUND(B27*K16/10000,0)</f>
        <v>10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1911</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1912</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1913</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8" t="s">
        <v>1915</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6" t="s">
        <v>1916</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8.2" thickBot="1">
      <c r="A40" s="3043" t="s">
        <v>3064</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21" t="s">
        <v>1921</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21" t="s">
        <v>1922</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21" t="s">
        <v>1923</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3" t="s">
        <v>1925</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6" t="s">
        <v>1930</v>
      </c>
      <c r="B53" s="1925" t="s">
        <v>269</v>
      </c>
      <c r="C53" s="2886" t="s">
        <v>1931</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8" customWidth="1"/>
    <col min="3" max="3" width="24.44140625" style="2734" customWidth="1"/>
    <col min="4" max="4" width="2.6640625" style="2734" customWidth="1"/>
    <col min="5" max="5" width="5.88671875" style="2734" customWidth="1"/>
    <col min="6" max="6" width="27" style="1758"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3"/>
  </cols>
  <sheetData>
    <row r="1" spans="1:29" s="2681" customFormat="1" ht="18" thickBot="1">
      <c r="A1" s="3147" t="s">
        <v>3030</v>
      </c>
      <c r="B1" s="3148"/>
      <c r="C1" s="3148"/>
      <c r="D1" s="3148"/>
      <c r="E1" s="3148"/>
      <c r="F1" s="3148"/>
      <c r="G1" s="314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7.200000000000003">
      <c r="A4" s="2666"/>
      <c r="B4" s="329" t="s">
        <v>2998</v>
      </c>
      <c r="C4" s="2692" t="s">
        <v>2999</v>
      </c>
      <c r="D4" s="2689"/>
      <c r="E4" s="2693"/>
      <c r="F4" s="1558" t="s">
        <v>3000</v>
      </c>
      <c r="G4" s="2694" t="s">
        <v>3001</v>
      </c>
      <c r="H4" s="907"/>
      <c r="I4" s="907"/>
      <c r="J4" s="907"/>
      <c r="K4" s="907"/>
      <c r="L4" s="907"/>
      <c r="M4" s="907"/>
      <c r="N4" s="907"/>
      <c r="O4" s="907"/>
      <c r="P4" s="907"/>
      <c r="Q4" s="907"/>
      <c r="R4" s="907"/>
    </row>
    <row r="5" spans="1:29" ht="37.200000000000003">
      <c r="A5" s="2666"/>
      <c r="B5" s="329" t="s">
        <v>3002</v>
      </c>
      <c r="C5" s="2692" t="s">
        <v>3003</v>
      </c>
      <c r="D5" s="2689"/>
      <c r="E5" s="2693"/>
      <c r="F5" s="329" t="s">
        <v>3004</v>
      </c>
      <c r="G5" s="2694" t="s">
        <v>3005</v>
      </c>
      <c r="H5" s="907"/>
      <c r="I5" s="907"/>
      <c r="J5" s="907"/>
      <c r="K5" s="907"/>
      <c r="L5" s="907"/>
      <c r="M5" s="907"/>
      <c r="N5" s="907"/>
      <c r="O5" s="907"/>
      <c r="P5" s="907"/>
      <c r="Q5" s="907"/>
      <c r="R5" s="907"/>
    </row>
    <row r="6" spans="1:29" ht="48">
      <c r="A6" s="2666"/>
      <c r="B6" s="329" t="s">
        <v>3006</v>
      </c>
      <c r="C6" s="2694" t="s">
        <v>3001</v>
      </c>
      <c r="D6" s="2689"/>
      <c r="E6" s="2693"/>
      <c r="F6" s="329" t="s">
        <v>3007</v>
      </c>
      <c r="G6" s="2694" t="s">
        <v>3008</v>
      </c>
      <c r="H6" s="907"/>
      <c r="I6" s="907"/>
      <c r="J6" s="907"/>
      <c r="K6" s="907"/>
      <c r="L6" s="907"/>
      <c r="M6" s="907"/>
      <c r="N6" s="907"/>
      <c r="O6" s="907"/>
      <c r="P6" s="907"/>
      <c r="Q6" s="907"/>
      <c r="R6" s="907"/>
    </row>
    <row r="7" spans="1:29" ht="36.6"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ht="24">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4.4"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3031</v>
      </c>
      <c r="B13" s="2708"/>
      <c r="C13" s="2708"/>
      <c r="D13" s="2706"/>
      <c r="E13" s="2708"/>
      <c r="F13" s="2708"/>
      <c r="G13" s="2708"/>
    </row>
    <row r="14" spans="1:29" ht="14.4" thickBot="1">
      <c r="A14" s="2718"/>
      <c r="B14" s="2718"/>
      <c r="C14" s="2719" t="s">
        <v>3014</v>
      </c>
      <c r="D14" s="2689"/>
      <c r="E14" s="2720"/>
      <c r="F14" s="2720"/>
      <c r="G14" s="2684" t="s">
        <v>3015</v>
      </c>
    </row>
    <row r="15" spans="1:29" ht="52.8">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9.6">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9.6">
      <c r="A17" s="2670"/>
      <c r="B17" s="2724" t="s">
        <v>3002</v>
      </c>
      <c r="C17" s="2725" t="str">
        <f>C5</f>
        <v>估价对象位于XX商圈，周边办公楼项目较多，入驻率高，办公集聚程度较好</v>
      </c>
      <c r="D17" s="2695"/>
      <c r="E17" s="2671"/>
      <c r="F17" s="2726" t="s">
        <v>3019</v>
      </c>
      <c r="G17" s="2728"/>
    </row>
    <row r="18" spans="1:18" ht="52.8">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6.4">
      <c r="A19" s="2670"/>
      <c r="B19" s="2726" t="s">
        <v>3020</v>
      </c>
      <c r="C19" s="2728"/>
      <c r="D19" s="2689"/>
      <c r="E19" s="2671"/>
      <c r="F19" s="329" t="s">
        <v>3004</v>
      </c>
      <c r="G19" s="2727" t="str">
        <f>G5</f>
        <v>估价对象所在区域公共配套设施齐备情况</v>
      </c>
    </row>
    <row r="20" spans="1:18" ht="26.4">
      <c r="A20" s="2670"/>
      <c r="B20" s="2726" t="s">
        <v>3021</v>
      </c>
      <c r="C20" s="2725" t="str">
        <f>C9</f>
        <v>区域自然环境：；人文环境；综合评价环境状况一般</v>
      </c>
      <c r="D20" s="2695"/>
      <c r="E20" s="2671"/>
      <c r="F20" s="329" t="s">
        <v>3007</v>
      </c>
      <c r="G20" s="2727" t="str">
        <f>G6</f>
        <v>估价对象所在区域基础设施水平</v>
      </c>
    </row>
    <row r="21" spans="1:18" ht="26.4">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4.4" thickBot="1">
      <c r="A23" s="2670"/>
      <c r="B23" s="2726" t="s">
        <v>3022</v>
      </c>
      <c r="C23" s="2729"/>
      <c r="D23" s="1928"/>
      <c r="E23" s="2672"/>
      <c r="F23" s="2730" t="s">
        <v>3023</v>
      </c>
      <c r="G23" s="2731"/>
      <c r="H23" s="2715"/>
      <c r="I23" s="2716"/>
      <c r="J23" s="2715"/>
      <c r="K23" s="2715"/>
      <c r="L23" s="2716"/>
      <c r="M23" s="2715"/>
      <c r="N23" s="2715"/>
      <c r="O23" s="2716"/>
      <c r="P23" s="2715"/>
      <c r="Q23" s="2715"/>
      <c r="R23" s="2717"/>
    </row>
    <row r="24" spans="1:18" s="907" customFormat="1" ht="14.4" thickBot="1">
      <c r="A24" s="2673"/>
      <c r="B24" s="2730" t="s">
        <v>3024</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522.55999999999995</v>
      </c>
      <c r="C1" s="2913"/>
      <c r="D1" s="2913"/>
      <c r="E1" s="2913"/>
      <c r="F1" s="2913"/>
      <c r="G1" s="2914"/>
      <c r="H1" s="2915"/>
      <c r="I1" s="2915"/>
      <c r="J1" s="2915"/>
      <c r="K1" s="2915"/>
    </row>
    <row r="2" spans="1:11" ht="16.2">
      <c r="A2" s="2736" t="s">
        <v>1319</v>
      </c>
      <c r="B2" s="2736">
        <f>SUM(C14:C23)</f>
        <v>0</v>
      </c>
      <c r="C2" s="2913"/>
      <c r="D2" s="2913"/>
      <c r="E2" s="2913"/>
      <c r="F2" s="2913"/>
      <c r="G2" s="2914"/>
      <c r="H2" s="2915"/>
      <c r="I2" s="2915"/>
      <c r="J2" s="2915"/>
      <c r="K2" s="2915"/>
    </row>
    <row r="3" spans="1:11" ht="15.6">
      <c r="A3" s="2736" t="s">
        <v>1328</v>
      </c>
      <c r="B3" s="2738">
        <f>项目基本情况!D3</f>
        <v>44307</v>
      </c>
      <c r="C3" s="2913"/>
      <c r="D3" s="2913"/>
      <c r="E3" s="2913"/>
      <c r="F3" s="2913"/>
      <c r="G3" s="2914"/>
      <c r="H3" s="2915"/>
      <c r="I3" s="2915"/>
      <c r="J3" s="2915"/>
      <c r="K3" s="2915"/>
    </row>
    <row r="4" spans="1:11" ht="31.2">
      <c r="A4" s="2736" t="s">
        <v>1327</v>
      </c>
      <c r="B4" s="2736" t="s">
        <v>1326</v>
      </c>
      <c r="C4" s="2736" t="s">
        <v>1325</v>
      </c>
      <c r="D4" s="2736" t="s">
        <v>1324</v>
      </c>
      <c r="E4" s="2913"/>
      <c r="F4" s="2914"/>
      <c r="G4" s="2914"/>
      <c r="H4" s="2915"/>
      <c r="I4" s="2915"/>
      <c r="J4" s="2915"/>
      <c r="K4" s="2915"/>
    </row>
    <row r="5" spans="1:11" ht="15.6">
      <c r="A5" s="2736" t="s">
        <v>1323</v>
      </c>
      <c r="B5" s="2736">
        <f ca="1">SUM(D14:D23)</f>
        <v>7038</v>
      </c>
      <c r="C5" s="2736">
        <f ca="1">ROUND(B5*10000/$B$1,0)</f>
        <v>134683</v>
      </c>
      <c r="D5" s="2736" t="e">
        <f ca="1">ROUND(B5*10000/$B$2,0)</f>
        <v>#DIV/0!</v>
      </c>
      <c r="E5" s="2913"/>
      <c r="F5" s="2914"/>
      <c r="G5" s="2914"/>
      <c r="H5" s="2915"/>
      <c r="I5" s="2915"/>
      <c r="J5" s="2915"/>
      <c r="K5" s="2915"/>
    </row>
    <row r="6" spans="1:11" ht="15.6">
      <c r="A6" s="2736" t="s">
        <v>1322</v>
      </c>
      <c r="B6" s="2736">
        <f ca="1">SUM(G14:G23)</f>
        <v>7038</v>
      </c>
      <c r="C6" s="2736">
        <f ca="1">ROUND(B6*10000/$B$1,0)</f>
        <v>134683</v>
      </c>
      <c r="D6" s="2736" t="e">
        <f ca="1">ROUND(B6*10000/$B$2,0)</f>
        <v>#DIV/0!</v>
      </c>
      <c r="E6" s="2913"/>
      <c r="F6" s="2914"/>
      <c r="G6" s="2914">
        <f ca="1">G14-I14</f>
        <v>1416</v>
      </c>
      <c r="H6" s="2915"/>
      <c r="I6" s="2915"/>
      <c r="J6" s="2915"/>
      <c r="K6" s="2915"/>
    </row>
    <row r="7" spans="1:11" ht="15.6">
      <c r="A7" s="2736" t="s">
        <v>1330</v>
      </c>
      <c r="B7" s="2736">
        <f>SUM(H14:H23)</f>
        <v>0</v>
      </c>
      <c r="C7" s="2736">
        <f>ROUND(B7*10000/$B$1,0)</f>
        <v>0</v>
      </c>
      <c r="D7" s="2736" t="e">
        <f>ROUND(B7*10000/$B$2,0)</f>
        <v>#DIV/0!</v>
      </c>
      <c r="E7" s="2913"/>
      <c r="F7" s="2914"/>
      <c r="G7" s="2914"/>
      <c r="H7" s="2915"/>
      <c r="I7" s="2915"/>
      <c r="J7" s="2915"/>
      <c r="K7" s="2915"/>
    </row>
    <row r="8" spans="1:11" ht="15.6">
      <c r="A8" s="2736" t="s">
        <v>1252</v>
      </c>
      <c r="B8" s="2736">
        <f ca="1">SUM(I14:I23)</f>
        <v>5622</v>
      </c>
      <c r="C8" s="2736">
        <f ca="1">ROUND(B8*10000/$B$1,0)</f>
        <v>107586</v>
      </c>
      <c r="D8" s="2736" t="e">
        <f ca="1">ROUND(B8*10000/$B$2,0)</f>
        <v>#DIV/0!</v>
      </c>
      <c r="E8" s="2913"/>
      <c r="F8" s="2914"/>
      <c r="G8" s="2914"/>
      <c r="H8" s="2915"/>
      <c r="I8" s="2915"/>
      <c r="J8" s="2915"/>
      <c r="K8" s="2915"/>
    </row>
    <row r="9" spans="1:11" ht="15.6">
      <c r="A9" s="2736" t="s">
        <v>1321</v>
      </c>
      <c r="B9" s="2744"/>
      <c r="C9" s="2913"/>
      <c r="D9" s="2913"/>
      <c r="E9" s="2913"/>
      <c r="F9" s="2914"/>
      <c r="G9" s="2914"/>
      <c r="H9" s="2915"/>
      <c r="I9" s="2915"/>
      <c r="J9" s="2915"/>
      <c r="K9" s="2915"/>
    </row>
    <row r="10" spans="1:11" ht="15.6">
      <c r="A10" s="2736" t="s">
        <v>1320</v>
      </c>
      <c r="B10" s="2744"/>
      <c r="C10" s="2913"/>
      <c r="D10" s="2913"/>
      <c r="E10" s="2913"/>
      <c r="F10" s="2914"/>
      <c r="G10" s="2914"/>
      <c r="H10" s="2915"/>
      <c r="I10" s="2915"/>
      <c r="J10" s="2915"/>
      <c r="K10" s="2915"/>
    </row>
    <row r="11" spans="1:11" ht="15.6">
      <c r="A11" s="2736" t="s">
        <v>1336</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1335</v>
      </c>
      <c r="B13" s="2740" t="s">
        <v>1332</v>
      </c>
      <c r="C13" s="2740" t="s">
        <v>1334</v>
      </c>
      <c r="D13" s="2740" t="s">
        <v>1333</v>
      </c>
      <c r="E13" s="2736" t="s">
        <v>1325</v>
      </c>
      <c r="F13" s="2736" t="s">
        <v>1324</v>
      </c>
      <c r="G13" s="2740" t="s">
        <v>1318</v>
      </c>
      <c r="H13" s="2740" t="s">
        <v>1329</v>
      </c>
      <c r="I13" s="2740" t="s">
        <v>1317</v>
      </c>
      <c r="J13" s="2914"/>
      <c r="K13" s="2915"/>
    </row>
    <row r="14" spans="1:11" ht="15.6">
      <c r="A14" s="2741" t="s">
        <v>1316</v>
      </c>
      <c r="B14" s="2742">
        <f>结果表!B118</f>
        <v>522.55999999999995</v>
      </c>
      <c r="C14" s="2742">
        <f>结果表!C118</f>
        <v>0</v>
      </c>
      <c r="D14" s="2742">
        <f ca="1">结果表!H118</f>
        <v>7038</v>
      </c>
      <c r="E14" s="2742">
        <f ca="1">ROUND(D14*10000/B14,0)</f>
        <v>134683</v>
      </c>
      <c r="F14" s="2742" t="e">
        <f ca="1">ROUND(D14*10000/C14,0)</f>
        <v>#DIV/0!</v>
      </c>
      <c r="G14" s="2742">
        <f ca="1">结果表!D122</f>
        <v>7038</v>
      </c>
      <c r="H14" s="2742" t="str">
        <f>结果表!D124</f>
        <v>——</v>
      </c>
      <c r="I14" s="2742">
        <f ca="1">结果表!D126</f>
        <v>5622</v>
      </c>
      <c r="J14" s="2914"/>
      <c r="K14" s="2915"/>
    </row>
    <row r="15" spans="1:11" ht="15.6">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5.6">
      <c r="A16" s="2741" t="s">
        <v>1314</v>
      </c>
      <c r="B16" s="2743"/>
      <c r="C16" s="2743"/>
      <c r="D16" s="2743"/>
      <c r="E16" s="2742" t="e">
        <f t="shared" si="0"/>
        <v>#DIV/0!</v>
      </c>
      <c r="F16" s="2742" t="e">
        <f t="shared" si="1"/>
        <v>#DIV/0!</v>
      </c>
      <c r="G16" s="1501"/>
      <c r="H16" s="1501"/>
      <c r="I16" s="2743"/>
      <c r="J16" s="2915"/>
      <c r="K16" s="2915"/>
    </row>
    <row r="17" spans="1:11" ht="15.6">
      <c r="A17" s="2741" t="s">
        <v>1313</v>
      </c>
      <c r="B17" s="2743"/>
      <c r="C17" s="2743"/>
      <c r="D17" s="2743"/>
      <c r="E17" s="2742" t="e">
        <f t="shared" si="0"/>
        <v>#DIV/0!</v>
      </c>
      <c r="F17" s="2742" t="e">
        <f t="shared" si="1"/>
        <v>#DIV/0!</v>
      </c>
      <c r="G17" s="1501"/>
      <c r="H17" s="1501"/>
      <c r="I17" s="2743"/>
      <c r="J17" s="2915"/>
      <c r="K17" s="2915"/>
    </row>
    <row r="18" spans="1:11" ht="15.6">
      <c r="A18" s="2741" t="s">
        <v>1312</v>
      </c>
      <c r="B18" s="2743"/>
      <c r="C18" s="2743"/>
      <c r="D18" s="2743"/>
      <c r="E18" s="2742" t="e">
        <f t="shared" si="0"/>
        <v>#DIV/0!</v>
      </c>
      <c r="F18" s="2742" t="e">
        <f t="shared" si="1"/>
        <v>#DIV/0!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90" zoomScaleNormal="100" zoomScaleSheetLayoutView="90" zoomScalePageLayoutView="80" workbookViewId="0">
      <selection activeCell="G38" sqref="G38"/>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9" t="str">
        <f>项目基本情况!S2</f>
        <v>北京市房地产</v>
      </c>
      <c r="B2" s="3220"/>
      <c r="C2" s="3220"/>
      <c r="D2" s="3220"/>
      <c r="E2" s="3220"/>
      <c r="F2" s="3220"/>
      <c r="G2" s="3220"/>
      <c r="H2" s="3220"/>
      <c r="I2" s="3221"/>
    </row>
    <row r="3" spans="1:12" ht="13.2">
      <c r="A3" s="3223" t="s">
        <v>1949</v>
      </c>
      <c r="B3" s="3224"/>
      <c r="C3" s="3224"/>
      <c r="D3" s="3224"/>
      <c r="E3" s="3224"/>
      <c r="F3" s="3224"/>
      <c r="G3" s="3224"/>
      <c r="H3" s="3224"/>
      <c r="I3" s="3224"/>
    </row>
    <row r="4" spans="1:12" ht="14.4">
      <c r="A4" s="1941" t="s">
        <v>1950</v>
      </c>
      <c r="B4" s="1942" t="s">
        <v>1951</v>
      </c>
      <c r="C4" s="1943" t="s">
        <v>3095</v>
      </c>
      <c r="D4" s="1943" t="s">
        <v>3066</v>
      </c>
      <c r="E4" s="3228" t="s">
        <v>1952</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64" t="s">
        <v>1953</v>
      </c>
      <c r="B5" s="3222">
        <v>25</v>
      </c>
      <c r="C5" s="3225"/>
      <c r="D5" s="3213"/>
      <c r="E5" s="136" t="s">
        <v>1954</v>
      </c>
      <c r="F5" s="1944"/>
      <c r="G5" s="1944"/>
      <c r="H5" s="1944"/>
      <c r="I5" s="1558"/>
    </row>
    <row r="6" spans="1:12" ht="13.2">
      <c r="A6" s="3164"/>
      <c r="B6" s="3222"/>
      <c r="C6" s="3227"/>
      <c r="D6" s="3213"/>
      <c r="E6" s="136" t="s">
        <v>1955</v>
      </c>
      <c r="F6" s="1944"/>
      <c r="G6" s="1944"/>
      <c r="H6" s="1944"/>
      <c r="I6" s="1558"/>
    </row>
    <row r="7" spans="1:12" ht="13.2">
      <c r="A7" s="3164"/>
      <c r="B7" s="3222"/>
      <c r="C7" s="3226"/>
      <c r="D7" s="3213"/>
      <c r="E7" s="136" t="s">
        <v>1956</v>
      </c>
      <c r="F7" s="1944"/>
      <c r="G7" s="1944"/>
      <c r="H7" s="1944"/>
      <c r="I7" s="1558"/>
    </row>
    <row r="8" spans="1:12" ht="13.2">
      <c r="A8" s="3164" t="s">
        <v>1957</v>
      </c>
      <c r="B8" s="3222">
        <v>15</v>
      </c>
      <c r="C8" s="3225"/>
      <c r="D8" s="3213"/>
      <c r="E8" s="136" t="s">
        <v>1958</v>
      </c>
      <c r="F8" s="1944"/>
      <c r="G8" s="1944"/>
      <c r="H8" s="1944"/>
      <c r="I8" s="1558"/>
    </row>
    <row r="9" spans="1:12" ht="13.2">
      <c r="A9" s="3164"/>
      <c r="B9" s="3222"/>
      <c r="C9" s="3226"/>
      <c r="D9" s="3213"/>
      <c r="E9" s="136" t="s">
        <v>1959</v>
      </c>
      <c r="F9" s="1944"/>
      <c r="G9" s="1944"/>
      <c r="H9" s="1944"/>
      <c r="I9" s="1558"/>
    </row>
    <row r="10" spans="1:12" ht="13.2">
      <c r="A10" s="3164" t="s">
        <v>1960</v>
      </c>
      <c r="B10" s="3222">
        <v>15</v>
      </c>
      <c r="C10" s="3225"/>
      <c r="D10" s="3213"/>
      <c r="E10" s="136" t="s">
        <v>1961</v>
      </c>
      <c r="F10" s="1944"/>
      <c r="G10" s="1944"/>
      <c r="H10" s="1944"/>
      <c r="I10" s="1558"/>
    </row>
    <row r="11" spans="1:12" ht="13.2">
      <c r="A11" s="3164"/>
      <c r="B11" s="3222"/>
      <c r="C11" s="3226"/>
      <c r="D11" s="3213"/>
      <c r="E11" s="136" t="s">
        <v>1962</v>
      </c>
      <c r="F11" s="1944"/>
      <c r="G11" s="1944"/>
      <c r="H11" s="1944"/>
      <c r="I11" s="1558"/>
    </row>
    <row r="12" spans="1:12" ht="13.2">
      <c r="A12" s="3164" t="s">
        <v>1963</v>
      </c>
      <c r="B12" s="3222">
        <v>15</v>
      </c>
      <c r="C12" s="3225"/>
      <c r="D12" s="3213"/>
      <c r="E12" s="136" t="s">
        <v>1964</v>
      </c>
      <c r="F12" s="1944"/>
      <c r="G12" s="1944"/>
      <c r="H12" s="1944"/>
      <c r="I12" s="1558"/>
    </row>
    <row r="13" spans="1:12" ht="13.2">
      <c r="A13" s="3164"/>
      <c r="B13" s="3222"/>
      <c r="C13" s="3226"/>
      <c r="D13" s="3213"/>
      <c r="E13" s="136" t="s">
        <v>1965</v>
      </c>
      <c r="F13" s="1944"/>
      <c r="G13" s="1944"/>
      <c r="H13" s="1944"/>
      <c r="I13" s="1558"/>
    </row>
    <row r="14" spans="1:12" ht="13.2">
      <c r="A14" s="3164" t="s">
        <v>1966</v>
      </c>
      <c r="B14" s="3222">
        <v>30</v>
      </c>
      <c r="C14" s="3225">
        <v>6</v>
      </c>
      <c r="D14" s="3213">
        <v>4</v>
      </c>
      <c r="E14" s="136" t="s">
        <v>1967</v>
      </c>
      <c r="F14" s="1944"/>
      <c r="G14" s="1944"/>
      <c r="H14" s="1944"/>
      <c r="I14" s="1558"/>
    </row>
    <row r="15" spans="1:12" ht="13.2">
      <c r="A15" s="3164"/>
      <c r="B15" s="3222"/>
      <c r="C15" s="3227"/>
      <c r="D15" s="3213"/>
      <c r="E15" s="136" t="s">
        <v>1968</v>
      </c>
      <c r="F15" s="1944"/>
      <c r="G15" s="1944"/>
      <c r="H15" s="1944"/>
      <c r="I15" s="1558"/>
    </row>
    <row r="16" spans="1:12" ht="13.2">
      <c r="A16" s="3164"/>
      <c r="B16" s="3222"/>
      <c r="C16" s="3226"/>
      <c r="D16" s="3213"/>
      <c r="E16" s="136" t="s">
        <v>1969</v>
      </c>
      <c r="F16" s="1944"/>
      <c r="G16" s="1944"/>
      <c r="H16" s="1944"/>
      <c r="I16" s="1558"/>
    </row>
    <row r="17" spans="1:36" ht="14.4">
      <c r="A17" s="1945" t="s">
        <v>1970</v>
      </c>
      <c r="B17" s="60"/>
      <c r="C17" s="137">
        <f>SUM(C5:C16)</f>
        <v>6</v>
      </c>
      <c r="D17" s="137">
        <f>SUM(D5:D16)</f>
        <v>4</v>
      </c>
      <c r="E17" s="134"/>
      <c r="F17" s="134"/>
      <c r="G17" s="134"/>
      <c r="H17" s="134"/>
      <c r="I17" s="134"/>
      <c r="K17" s="308"/>
      <c r="L17" s="308" t="s">
        <v>1971</v>
      </c>
      <c r="M17" s="308" t="s">
        <v>1972</v>
      </c>
    </row>
    <row r="18" spans="1:36" ht="31.95" customHeight="1" thickBot="1">
      <c r="A18" s="1946" t="s">
        <v>1973</v>
      </c>
      <c r="B18" s="1947"/>
      <c r="C18" s="138">
        <f>ROUND(C17/SUM(C17:D17),2)</f>
        <v>0.6</v>
      </c>
      <c r="D18" s="138">
        <f>1-C18</f>
        <v>0.4</v>
      </c>
      <c r="E18" s="3244" t="s">
        <v>2871</v>
      </c>
      <c r="F18" s="3245"/>
      <c r="G18" s="3245"/>
      <c r="H18" s="3245"/>
      <c r="I18" s="3245"/>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4.4">
      <c r="A19" s="1948" t="s">
        <v>1975</v>
      </c>
      <c r="B19" s="1949" t="s">
        <v>1976</v>
      </c>
      <c r="C19" s="139">
        <f ca="1">SUMIF(INDIRECT("'"&amp;C4&amp;"'"&amp;"!A:A"),结果表!B19,INDIRECT("'"&amp;C4&amp;"'"&amp;"!B:B"))</f>
        <v>8960</v>
      </c>
      <c r="D19" s="140">
        <f ca="1">SUMIF(INDIRECT("'"&amp;D4&amp;"'"&amp;"!A:A"),结果表!B19,INDIRECT("'"&amp;D4&amp;"'"&amp;"!B:B"))</f>
        <v>4154</v>
      </c>
      <c r="E19" s="1948" t="s">
        <v>1977</v>
      </c>
      <c r="F19" s="1949" t="s">
        <v>1976</v>
      </c>
      <c r="G19" s="141">
        <f ca="1">ROUND(C19*$C$18+D19*$D$18,0)</f>
        <v>7038</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4.4">
      <c r="A20" s="1951"/>
      <c r="B20" s="1157" t="s">
        <v>1980</v>
      </c>
      <c r="C20" s="142">
        <f ca="1">SUMIF(INDIRECT("'"&amp;C4&amp;"'"&amp;"!A:A"),结果表!B20,INDIRECT("'"&amp;C4&amp;"'"&amp;"!B:B"))</f>
        <v>171461</v>
      </c>
      <c r="D20" s="143">
        <f ca="1">SUMIF(INDIRECT("'"&amp;D4&amp;"'"&amp;"!A:A"),结果表!B20,INDIRECT("'"&amp;D4&amp;"'"&amp;"!B:B"))</f>
        <v>79493</v>
      </c>
      <c r="E20" s="1951"/>
      <c r="F20" s="1157" t="s">
        <v>1980</v>
      </c>
      <c r="G20" s="144">
        <f ca="1">ROUND(C20*$C$18+D20*$D$18,0)</f>
        <v>134674</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1.1569571497351951</v>
      </c>
      <c r="E22" s="134"/>
      <c r="F22" s="134"/>
      <c r="G22" s="134"/>
      <c r="H22" s="134"/>
      <c r="I22" s="134"/>
    </row>
    <row r="23" spans="1:36" ht="13.8" thickBot="1">
      <c r="A23" s="1934"/>
      <c r="B23" s="1934"/>
      <c r="C23" s="1934"/>
      <c r="D23" s="1934"/>
      <c r="E23" s="134"/>
      <c r="F23" s="134"/>
      <c r="G23" s="134"/>
      <c r="H23" s="134"/>
      <c r="I23" s="134"/>
    </row>
    <row r="24" spans="1:36" ht="14.4">
      <c r="A24" s="3237" t="s">
        <v>1984</v>
      </c>
      <c r="B24" s="1949" t="s">
        <v>1976</v>
      </c>
      <c r="C24" s="141">
        <f>IF(B30=0,0,D30)</f>
        <v>0</v>
      </c>
      <c r="D24" s="1956"/>
      <c r="E24" s="134"/>
      <c r="F24" s="134"/>
      <c r="G24" s="134"/>
      <c r="H24" s="134"/>
      <c r="I24" s="134"/>
    </row>
    <row r="25" spans="1:36" ht="14.4">
      <c r="A25" s="323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1989</v>
      </c>
      <c r="B30" s="147"/>
      <c r="C30" s="147"/>
      <c r="D30" s="147"/>
      <c r="E30" s="2519" t="s">
        <v>2872</v>
      </c>
      <c r="F30" s="134"/>
      <c r="G30" s="134"/>
      <c r="H30" s="134"/>
      <c r="I30" s="134"/>
    </row>
    <row r="31" spans="1:36" s="2525" customFormat="1" ht="26.4"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60" t="s">
        <v>1990</v>
      </c>
      <c r="B32" s="1961"/>
      <c r="C32" s="149">
        <f ca="1">IF(D32="总价",G19-C24,G20-C25)</f>
        <v>7038</v>
      </c>
      <c r="D32" s="1962" t="s">
        <v>3089</v>
      </c>
      <c r="E32" s="134"/>
      <c r="F32" s="134"/>
      <c r="G32" s="134"/>
      <c r="H32" s="134"/>
      <c r="I32" s="134"/>
    </row>
    <row r="33" spans="1:15" ht="14.4">
      <c r="A33" s="894" t="s">
        <v>1991</v>
      </c>
      <c r="B33" s="1963"/>
      <c r="C33" s="1964" t="s">
        <v>3094</v>
      </c>
      <c r="D33" s="1965" t="s">
        <v>3066</v>
      </c>
      <c r="E33" s="1966" t="s">
        <v>1992</v>
      </c>
      <c r="F33" s="1967" t="str">
        <f>IF(D32="楼面单价","取值（单价）","取值（总价）")</f>
        <v>取值（总价）</v>
      </c>
      <c r="G33" s="134"/>
      <c r="H33" s="134"/>
      <c r="I33" s="134"/>
    </row>
    <row r="34" spans="1:15" ht="14.4">
      <c r="A34" s="1968"/>
      <c r="B34" s="1969" t="s">
        <v>1993</v>
      </c>
      <c r="C34" s="153">
        <f ca="1">IF(C33="自定义",F34,C32-C35)</f>
        <v>5750</v>
      </c>
      <c r="D34" s="970">
        <f ca="1">IF(C33="自定义",ROUND(C34/C32,3),IF(C33="收益比率",SUMIF(INDIRECT("'"&amp;D33&amp;"'"&amp;"!b:b"),"土地收益比率",INDIRECT("'"&amp;D33&amp;"'"&amp;"!c:c")),SUMIF(INDIRECT("'"&amp;D33&amp;"'"&amp;"!b:b"),"土地成本比率",INDIRECT("'"&amp;D33&amp;"'"&amp;"!c:c"))))</f>
        <v>0.81699999999999995</v>
      </c>
      <c r="E34" s="1970" t="s">
        <v>1994</v>
      </c>
      <c r="F34" s="1499"/>
      <c r="G34" s="134"/>
      <c r="H34" s="134"/>
      <c r="I34" s="134"/>
    </row>
    <row r="35" spans="1:15" ht="15" thickBot="1">
      <c r="A35" s="1971"/>
      <c r="B35" s="1972" t="s">
        <v>1995</v>
      </c>
      <c r="C35" s="1332">
        <f ca="1">IF(C33="自定义",F35,ROUND(C32*D35,0))</f>
        <v>1288</v>
      </c>
      <c r="D35" s="1333">
        <f ca="1">IF(C33="自定义",ROUND(C35/C32,3),IF(C33="收益比率",SUMIF(INDIRECT("'"&amp;D33&amp;"'"&amp;"!b:b"),"建筑物收益比率",INDIRECT("'"&amp;D33&amp;"'"&amp;"!c:c")),SUMIF(INDIRECT("'"&amp;D33&amp;"'"&amp;"!b:b"),"建筑物成本比率",INDIRECT("'"&amp;D33&amp;"'"&amp;"!c:c"))))</f>
        <v>0.183</v>
      </c>
      <c r="E35" s="1973" t="s">
        <v>1996</v>
      </c>
      <c r="F35" s="159"/>
      <c r="G35" s="134"/>
      <c r="H35" s="134"/>
      <c r="I35" s="134"/>
    </row>
    <row r="36" spans="1:15" ht="15" thickBot="1">
      <c r="A36" s="3214" t="s">
        <v>1997</v>
      </c>
      <c r="B36" s="1974" t="s">
        <v>1998</v>
      </c>
      <c r="C36" s="150"/>
      <c r="D36" s="1975"/>
      <c r="E36" s="1976"/>
      <c r="F36" s="1977"/>
      <c r="G36" s="134"/>
      <c r="H36" s="134"/>
      <c r="I36" s="134"/>
    </row>
    <row r="37" spans="1:15" ht="15" thickBot="1">
      <c r="A37" s="3215"/>
      <c r="B37" s="1861" t="s">
        <v>1999</v>
      </c>
      <c r="C37" s="152"/>
      <c r="D37" s="1301"/>
      <c r="E37" s="1301"/>
      <c r="F37" s="1977"/>
      <c r="G37" s="134"/>
      <c r="H37" s="134"/>
      <c r="I37" s="134"/>
    </row>
    <row r="38" spans="1:15" ht="15" thickBot="1">
      <c r="A38" s="3216"/>
      <c r="B38" s="1978" t="s">
        <v>2000</v>
      </c>
      <c r="C38" s="683"/>
      <c r="D38" s="1979" t="s">
        <v>2001</v>
      </c>
      <c r="E38" s="1301"/>
      <c r="F38" s="1977"/>
      <c r="G38" s="134"/>
      <c r="H38" s="134"/>
      <c r="I38" s="134"/>
    </row>
    <row r="39" spans="1:15" ht="14.4">
      <c r="A39" s="1951" t="s">
        <v>2002</v>
      </c>
      <c r="B39" s="1980" t="s">
        <v>2003</v>
      </c>
      <c r="C39" s="1981" t="s">
        <v>2004</v>
      </c>
      <c r="D39" s="1981" t="s">
        <v>2005</v>
      </c>
      <c r="E39" s="1982" t="s">
        <v>2006</v>
      </c>
      <c r="F39" s="1977"/>
      <c r="G39" s="134"/>
      <c r="H39" s="134"/>
      <c r="I39" s="134"/>
    </row>
    <row r="40" spans="1:15" ht="13.8">
      <c r="A40" s="1983" t="s">
        <v>2007</v>
      </c>
      <c r="B40" s="154"/>
      <c r="C40" s="155"/>
      <c r="D40" s="155"/>
      <c r="E40" s="156"/>
      <c r="F40" s="1977"/>
      <c r="G40" s="134"/>
      <c r="H40" s="134"/>
      <c r="I40" s="134"/>
    </row>
    <row r="41" spans="1:15" ht="13.8">
      <c r="A41" s="1983" t="s">
        <v>2008</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3"/>
      <c r="B43" s="1763"/>
      <c r="C43" s="1763"/>
      <c r="D43" s="1763"/>
      <c r="E43" s="1763"/>
      <c r="F43" s="1985"/>
      <c r="G43" s="1985"/>
      <c r="H43" s="1985"/>
      <c r="I43" s="1986"/>
    </row>
    <row r="44" spans="1:15" ht="17.399999999999999">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4" t="s">
        <v>2011</v>
      </c>
      <c r="B45" s="3235"/>
      <c r="C45" s="3236"/>
      <c r="D45" s="160">
        <f ca="1">ROUND(H101*F45,0)</f>
        <v>7038</v>
      </c>
      <c r="E45" s="161" t="s">
        <v>2012</v>
      </c>
      <c r="F45" s="162">
        <v>1</v>
      </c>
      <c r="G45" s="163" t="s">
        <v>2013</v>
      </c>
      <c r="H45" s="134"/>
      <c r="I45" s="134"/>
      <c r="J45" s="3151" t="s">
        <v>2014</v>
      </c>
      <c r="K45" s="3151"/>
      <c r="L45" s="3151"/>
      <c r="M45" s="3151"/>
      <c r="N45" s="3151"/>
      <c r="O45" s="3151"/>
    </row>
    <row r="46" spans="1:15" ht="14.25" customHeight="1">
      <c r="A46" s="3231" t="s">
        <v>2015</v>
      </c>
      <c r="B46" s="3232"/>
      <c r="C46" s="3232"/>
      <c r="D46" s="3232"/>
      <c r="E46" s="3232"/>
      <c r="F46" s="3232"/>
      <c r="G46" s="3233"/>
      <c r="H46" s="1993"/>
      <c r="I46" s="164"/>
      <c r="J46" s="2747">
        <v>1</v>
      </c>
      <c r="K46" s="3152" t="s">
        <v>2016</v>
      </c>
      <c r="L46" s="3152"/>
      <c r="M46" s="3153"/>
      <c r="N46" s="3153"/>
      <c r="O46" s="3153"/>
    </row>
    <row r="47" spans="1:15" ht="12" customHeight="1">
      <c r="A47" s="165" t="s">
        <v>2017</v>
      </c>
      <c r="B47" s="166"/>
      <c r="C47" s="167"/>
      <c r="D47" s="1247" t="s">
        <v>2018</v>
      </c>
      <c r="E47" s="308" t="s">
        <v>2019</v>
      </c>
      <c r="F47" s="168" t="s">
        <v>2020</v>
      </c>
      <c r="G47" s="2770" t="s">
        <v>2021</v>
      </c>
      <c r="H47" s="2771"/>
      <c r="I47" s="164"/>
      <c r="J47" s="2747">
        <v>2</v>
      </c>
      <c r="K47" s="3152" t="s">
        <v>2022</v>
      </c>
      <c r="L47" s="3152"/>
      <c r="M47" s="3154">
        <f>'数据-取费表'!B2</f>
        <v>44307</v>
      </c>
      <c r="N47" s="3154"/>
      <c r="O47" s="3154"/>
    </row>
    <row r="48" spans="1:15" ht="39.6">
      <c r="A48" s="3217" t="s">
        <v>2023</v>
      </c>
      <c r="B48" s="3218"/>
      <c r="C48" s="3218"/>
      <c r="D48" s="2545">
        <f ca="1">IF(H48="情况1",0,IF(H48="情况2",D52,IF(H48="情况3",D53,IF(H48="情况4",D54))))</f>
        <v>224</v>
      </c>
      <c r="E48" s="2555" t="str">
        <f>IF(H48="情况4","(销售额-原购置价)×税（费）率","销售额×税（费）率")</f>
        <v>(销售额-原购置价)×税（费）率</v>
      </c>
      <c r="F48" s="2772">
        <f>IF(H48="情况1","免征",'数据-取费表'!B41)</f>
        <v>5.6000000000000001E-2</v>
      </c>
      <c r="G48" s="2773" t="s">
        <v>2024</v>
      </c>
      <c r="H48" s="2774" t="s">
        <v>3086</v>
      </c>
      <c r="I48" s="1993"/>
      <c r="J48" s="2747">
        <v>3</v>
      </c>
      <c r="K48" s="3152" t="s">
        <v>2025</v>
      </c>
      <c r="L48" s="3152"/>
      <c r="M48" s="3155">
        <f ca="1">H101</f>
        <v>7038</v>
      </c>
      <c r="N48" s="3155"/>
      <c r="O48" s="3155"/>
    </row>
    <row r="49" spans="1:35" ht="25.5" customHeight="1">
      <c r="A49" s="2554" t="s">
        <v>2026</v>
      </c>
      <c r="B49" s="3200" t="s">
        <v>2027</v>
      </c>
      <c r="C49" s="3200"/>
      <c r="D49" s="1776">
        <v>0</v>
      </c>
      <c r="E49" s="330" t="s">
        <v>2028</v>
      </c>
      <c r="F49" s="2648" t="s">
        <v>34</v>
      </c>
      <c r="G49" s="3183"/>
      <c r="H49" s="2526" t="s">
        <v>2874</v>
      </c>
      <c r="I49" s="2527"/>
      <c r="J49" s="2747">
        <v>4</v>
      </c>
      <c r="K49" s="3152" t="str">
        <f>IF(项目基本情况!E8="房地产抵押价值","房地产抵押价值","抵押担保权已注销时的房地产抵押价值")</f>
        <v>房地产抵押价值</v>
      </c>
      <c r="L49" s="3152"/>
      <c r="M49" s="3155">
        <f ca="1">IF(项目基本情况!E8="房地产抵押价值",H107,H109)</f>
        <v>7038</v>
      </c>
      <c r="N49" s="3155"/>
      <c r="O49" s="3155"/>
    </row>
    <row r="50" spans="1:35" ht="25.5" customHeight="1">
      <c r="A50" s="2775"/>
      <c r="B50" s="3200" t="s">
        <v>2029</v>
      </c>
      <c r="C50" s="3200"/>
      <c r="D50" s="2776"/>
      <c r="E50" s="338"/>
      <c r="F50" s="2648"/>
      <c r="G50" s="3184"/>
      <c r="H50" s="2528" t="s">
        <v>2875</v>
      </c>
      <c r="I50" s="2527"/>
      <c r="J50" s="3151" t="s">
        <v>2030</v>
      </c>
      <c r="K50" s="3151"/>
      <c r="L50" s="3151"/>
      <c r="M50" s="3151"/>
      <c r="N50" s="3151"/>
      <c r="O50" s="3151"/>
    </row>
    <row r="51" spans="1:35" ht="20.399999999999999" customHeight="1">
      <c r="A51" s="2777"/>
      <c r="B51" s="3200" t="s">
        <v>2031</v>
      </c>
      <c r="C51" s="3200"/>
      <c r="D51" s="1247"/>
      <c r="E51" s="333"/>
      <c r="F51" s="2648"/>
      <c r="G51" s="3185"/>
      <c r="H51" s="2528" t="s">
        <v>2876</v>
      </c>
      <c r="I51" s="2527"/>
      <c r="J51" s="2748" t="s">
        <v>2032</v>
      </c>
      <c r="K51" s="3152" t="s">
        <v>2033</v>
      </c>
      <c r="L51" s="3152"/>
      <c r="M51" s="2748" t="s">
        <v>2034</v>
      </c>
      <c r="N51" s="2748" t="s">
        <v>2035</v>
      </c>
      <c r="O51" s="2748" t="s">
        <v>2036</v>
      </c>
    </row>
    <row r="52" spans="1:35" ht="24" customHeight="1">
      <c r="A52" s="2556" t="s">
        <v>2037</v>
      </c>
      <c r="B52" s="3200" t="s">
        <v>2038</v>
      </c>
      <c r="C52" s="3200"/>
      <c r="D52" s="1247">
        <f ca="1">ROUND(D45*'数据-取费表'!B41/(1+'数据-取费表'!C42),0)</f>
        <v>375</v>
      </c>
      <c r="E52" s="2555" t="s">
        <v>2039</v>
      </c>
      <c r="F52" s="2778">
        <f>'数据-取费表'!B41</f>
        <v>5.6000000000000001E-2</v>
      </c>
      <c r="G52" s="2779"/>
      <c r="H52" s="2768"/>
      <c r="I52" s="1994"/>
      <c r="J52" s="2747">
        <v>1</v>
      </c>
      <c r="K52" s="3177" t="s">
        <v>2040</v>
      </c>
      <c r="L52" s="3177"/>
      <c r="M52" s="2749">
        <f ca="1">D48</f>
        <v>224</v>
      </c>
      <c r="N52" s="2747" t="str">
        <f>E48</f>
        <v>(销售额-原购置价)×税（费）率</v>
      </c>
      <c r="O52" s="2750">
        <f>F48</f>
        <v>5.6000000000000001E-2</v>
      </c>
    </row>
    <row r="53" spans="1:35" ht="12" customHeight="1">
      <c r="A53" s="2556" t="s">
        <v>2041</v>
      </c>
      <c r="B53" s="3201" t="s">
        <v>3035</v>
      </c>
      <c r="C53" s="3202"/>
      <c r="D53" s="1247">
        <f ca="1">ROUND(D45*'数据-取费表'!B41/(1+'数据-取费表'!C42),0)</f>
        <v>375</v>
      </c>
      <c r="E53" s="2555" t="s">
        <v>2039</v>
      </c>
      <c r="F53" s="2778">
        <f>'数据-取费表'!B41</f>
        <v>5.6000000000000001E-2</v>
      </c>
      <c r="G53" s="2779"/>
      <c r="H53" s="2768"/>
      <c r="I53" s="1994"/>
      <c r="J53" s="2747">
        <v>2</v>
      </c>
      <c r="K53" s="3177" t="s">
        <v>2042</v>
      </c>
      <c r="L53" s="3177"/>
      <c r="M53" s="2749">
        <f t="shared" ref="M53:O54" ca="1" si="0">D55</f>
        <v>4</v>
      </c>
      <c r="N53" s="2747" t="str">
        <f t="shared" si="0"/>
        <v>销售额×税（费）率</v>
      </c>
      <c r="O53" s="2750">
        <f t="shared" si="0"/>
        <v>5.0000000000000001E-4</v>
      </c>
    </row>
    <row r="54" spans="1:35" ht="12" customHeight="1">
      <c r="A54" s="2556" t="s">
        <v>2043</v>
      </c>
      <c r="B54" s="3201" t="s">
        <v>3036</v>
      </c>
      <c r="C54" s="3202"/>
      <c r="D54" s="1247">
        <f ca="1">C68</f>
        <v>224</v>
      </c>
      <c r="E54" s="333" t="s">
        <v>2044</v>
      </c>
      <c r="F54" s="2778">
        <f>'数据-取费表'!B41</f>
        <v>5.6000000000000001E-2</v>
      </c>
      <c r="G54" s="2779"/>
      <c r="H54" s="2780"/>
      <c r="I54" s="1994"/>
      <c r="J54" s="2747">
        <v>3</v>
      </c>
      <c r="K54" s="3177" t="s">
        <v>2045</v>
      </c>
      <c r="L54" s="3177"/>
      <c r="M54" s="2749">
        <f t="shared" ca="1" si="0"/>
        <v>1188</v>
      </c>
      <c r="N54" s="2747" t="str">
        <f t="shared" si="0"/>
        <v>增值额×税（费）率</v>
      </c>
      <c r="O54" s="2751" t="str">
        <f t="shared" si="0"/>
        <v>——</v>
      </c>
    </row>
    <row r="55" spans="1:35" ht="24" customHeight="1">
      <c r="A55" s="3240" t="s">
        <v>2046</v>
      </c>
      <c r="B55" s="3218"/>
      <c r="C55" s="3218"/>
      <c r="D55" s="2545">
        <f ca="1">IF(H55="个人住宅",0,ROUND(D45*I55,0))</f>
        <v>4</v>
      </c>
      <c r="E55" s="2555" t="s">
        <v>2047</v>
      </c>
      <c r="F55" s="2778">
        <f>IF(H55="正常",I55,"免征")</f>
        <v>5.0000000000000001E-4</v>
      </c>
      <c r="G55" s="2779"/>
      <c r="H55" s="2774" t="s">
        <v>3087</v>
      </c>
      <c r="I55" s="170">
        <f>'数据-取费表'!B49</f>
        <v>5.0000000000000001E-4</v>
      </c>
      <c r="J55" s="2747" t="str">
        <f>IF(H59="非个人房产","",4)</f>
        <v/>
      </c>
      <c r="K55" s="3177" t="str">
        <f>IF(H59="非个人房产","——","个人所得税")</f>
        <v>——</v>
      </c>
      <c r="L55" s="3177"/>
      <c r="M55" s="2752" t="str">
        <f>D59</f>
        <v>——</v>
      </c>
      <c r="N55" s="2226" t="str">
        <f>E59</f>
        <v>——</v>
      </c>
      <c r="O55" s="2753" t="str">
        <f>F59</f>
        <v>——</v>
      </c>
    </row>
    <row r="56" spans="1:35" ht="25.2">
      <c r="A56" s="3240" t="s">
        <v>2048</v>
      </c>
      <c r="B56" s="3218"/>
      <c r="C56" s="3218"/>
      <c r="D56" s="2545">
        <f ca="1">IF(H56="个人住宅",D57,D58)</f>
        <v>1188</v>
      </c>
      <c r="E56" s="2555" t="s">
        <v>2049</v>
      </c>
      <c r="F56" s="2778" t="str">
        <f>IF(H56="正常",F58,"免征")</f>
        <v>——</v>
      </c>
      <c r="G56" s="2781" t="s">
        <v>2050</v>
      </c>
      <c r="H56" s="2782" t="s">
        <v>3087</v>
      </c>
      <c r="I56" s="1995"/>
      <c r="J56" s="2747" t="str">
        <f>IF(项目基本情况!K6="上海银行",IF(J55="",4,J55+1),"")</f>
        <v/>
      </c>
      <c r="K56" s="3158" t="str">
        <f>IF(项目基本情况!K6="上海银行","其他处置费用","")</f>
        <v/>
      </c>
      <c r="L56" s="3159"/>
      <c r="M56" s="2749" t="str">
        <f>IF(项目基本情况!K6="上海银行",M69,"")</f>
        <v/>
      </c>
      <c r="N56" s="3158" t="str">
        <f>IF(项目基本情况!K6="上海银行","包含处置中涉及的律师、诉讼、拍卖、评估等费用","")</f>
        <v/>
      </c>
      <c r="O56" s="3161"/>
    </row>
    <row r="57" spans="1:35" ht="13.2">
      <c r="A57" s="2556" t="s">
        <v>2026</v>
      </c>
      <c r="B57" s="3201" t="s">
        <v>2051</v>
      </c>
      <c r="C57" s="3202"/>
      <c r="D57" s="1776">
        <v>0</v>
      </c>
      <c r="E57" s="330" t="s">
        <v>2028</v>
      </c>
      <c r="F57" s="308"/>
      <c r="G57" s="2779"/>
      <c r="H57" s="2783"/>
      <c r="I57" s="1995"/>
      <c r="J57" s="3177">
        <f>IF(AND(J55="",J56=""),4,IF(项目基本情况!K6="上海银行",结果表!J56+1,结果表!J55+1))</f>
        <v>4</v>
      </c>
      <c r="K57" s="3177" t="s">
        <v>2052</v>
      </c>
      <c r="L57" s="2754" t="s">
        <v>2053</v>
      </c>
      <c r="M57" s="2755"/>
      <c r="N57" s="2756">
        <f ca="1">SUMIF(M52:M56,"&lt;9e307")</f>
        <v>1416</v>
      </c>
      <c r="O57" s="2757"/>
      <c r="P57" s="2917">
        <f ca="1">N57/M49</f>
        <v>0.20119352088661552</v>
      </c>
    </row>
    <row r="58" spans="1:35" ht="25.2">
      <c r="A58" s="2556" t="s">
        <v>2037</v>
      </c>
      <c r="B58" s="3201" t="s">
        <v>2054</v>
      </c>
      <c r="C58" s="3200"/>
      <c r="D58" s="2545">
        <f ca="1">IF(H58="转让取得",C81,C97)</f>
        <v>1188</v>
      </c>
      <c r="E58" s="2555" t="s">
        <v>2049</v>
      </c>
      <c r="F58" s="308" t="s">
        <v>34</v>
      </c>
      <c r="G58" s="2779"/>
      <c r="H58" s="2782" t="s">
        <v>3088</v>
      </c>
      <c r="I58" s="1995"/>
      <c r="J58" s="3177"/>
      <c r="K58" s="3177"/>
      <c r="L58" s="2754" t="s">
        <v>2055</v>
      </c>
      <c r="M58" s="2758"/>
      <c r="N58" s="2759" t="str">
        <f ca="1">NUMBERSTRING(INT(N57*10000),2)&amp;"元整"</f>
        <v>壹仟肆佰壹拾陆万元整</v>
      </c>
      <c r="O58" s="2760"/>
    </row>
    <row r="59" spans="1:35" ht="24.6" thickBot="1">
      <c r="A59" s="3181" t="s">
        <v>2056</v>
      </c>
      <c r="B59" s="3182"/>
      <c r="C59" s="318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3115</v>
      </c>
      <c r="I59" s="2529" t="s">
        <v>2877</v>
      </c>
      <c r="J59" s="3179">
        <f>J57+1</f>
        <v>5</v>
      </c>
      <c r="K59" s="3177" t="s">
        <v>2057</v>
      </c>
      <c r="L59" s="2747" t="s">
        <v>2053</v>
      </c>
      <c r="M59" s="2761"/>
      <c r="N59" s="2762">
        <f ca="1">M49-N57</f>
        <v>5622</v>
      </c>
      <c r="O59" s="2763"/>
    </row>
    <row r="60" spans="1:35" ht="12" customHeight="1">
      <c r="A60" s="1996"/>
      <c r="B60" s="1934"/>
      <c r="C60" s="1934"/>
      <c r="D60" s="1934"/>
      <c r="E60" s="1764"/>
      <c r="F60" s="1995"/>
      <c r="G60" s="1995"/>
      <c r="H60" s="1997"/>
      <c r="I60" s="134"/>
      <c r="J60" s="3180"/>
      <c r="K60" s="3177"/>
      <c r="L60" s="2754" t="s">
        <v>2055</v>
      </c>
      <c r="M60" s="2758"/>
      <c r="N60" s="2759" t="str">
        <f ca="1">NUMBERSTRING(INT(N59*10000),2)&amp;"元整"</f>
        <v>伍仟陆佰贰拾贰万元整</v>
      </c>
      <c r="O60" s="2760"/>
    </row>
    <row r="61" spans="1:35" ht="13.8" thickBot="1">
      <c r="A61" s="3239" t="s">
        <v>2058</v>
      </c>
      <c r="B61" s="3239"/>
      <c r="C61" s="3239"/>
      <c r="D61" s="3239"/>
      <c r="E61" s="3239"/>
      <c r="F61" s="1995"/>
      <c r="G61" s="1995"/>
      <c r="H61" s="1997"/>
      <c r="I61" s="134"/>
      <c r="J61" s="2747">
        <f>J59+1</f>
        <v>6</v>
      </c>
      <c r="K61" s="3177" t="s">
        <v>2059</v>
      </c>
      <c r="L61" s="3177"/>
      <c r="M61" s="2764"/>
      <c r="N61" s="2765">
        <f ca="1">ROUND(N59*10000/'数据-汇总表'!E3,0)</f>
        <v>107586</v>
      </c>
      <c r="O61" s="2766"/>
    </row>
    <row r="62" spans="1:35" ht="13.2">
      <c r="A62" s="3196" t="s">
        <v>2060</v>
      </c>
      <c r="B62" s="3197"/>
      <c r="C62" s="2207"/>
      <c r="D62" s="2207" t="s">
        <v>2061</v>
      </c>
      <c r="E62" s="171" t="s">
        <v>2062</v>
      </c>
      <c r="F62" s="1995"/>
      <c r="G62" s="1995"/>
      <c r="H62" s="1997"/>
      <c r="I62" s="134"/>
    </row>
    <row r="63" spans="1:35" ht="13.2">
      <c r="A63" s="178" t="s">
        <v>775</v>
      </c>
      <c r="B63" s="172" t="s">
        <v>2063</v>
      </c>
      <c r="C63" s="2788">
        <f ca="1">ROUND((C64+C65)/(1+'数据-取费表'!C42),0)</f>
        <v>6703</v>
      </c>
      <c r="D63" s="172"/>
      <c r="E63" s="173"/>
      <c r="F63" s="1995"/>
      <c r="G63" s="1995"/>
      <c r="H63" s="1997"/>
      <c r="I63" s="134"/>
      <c r="J63" s="3160" t="s">
        <v>2064</v>
      </c>
      <c r="K63" s="1502" t="s">
        <v>2065</v>
      </c>
      <c r="L63" s="1502">
        <f ca="1">IF(M49&gt;10000,M49*0.5%,IF(AND(M49&gt;1000,M49&lt;=10000),M49*1%,IF(AND(M49&gt;100,M49&lt;=1000),M49*3%,IF(AND(M49&gt;10,M49&lt;=100),M49*5%,M49*8%))))</f>
        <v>70.38</v>
      </c>
      <c r="M63" s="308">
        <f ca="1">ROUND(L63,1)</f>
        <v>70.400000000000006</v>
      </c>
      <c r="N63" s="2767"/>
      <c r="Z63" s="1939"/>
      <c r="AI63" s="1940"/>
    </row>
    <row r="64" spans="1:35" ht="14.25" customHeight="1">
      <c r="A64" s="174" t="s">
        <v>770</v>
      </c>
      <c r="B64" s="175" t="s">
        <v>2066</v>
      </c>
      <c r="C64" s="2789">
        <f ca="1">D45</f>
        <v>7038</v>
      </c>
      <c r="D64" s="175" t="s">
        <v>32</v>
      </c>
      <c r="E64" s="177"/>
      <c r="F64" s="1995"/>
      <c r="G64" s="1995"/>
      <c r="H64" s="1997"/>
      <c r="I64" s="134"/>
      <c r="J64" s="3160"/>
      <c r="K64" s="1502" t="s">
        <v>2067</v>
      </c>
      <c r="L64" s="1502">
        <f ca="1">IF(M49&gt;2000,M49*0.5%,IF(AND(M49&gt;1000,M49&lt;=2000),M49*0.6%,IF(AND(M49&gt;500,M49&lt;=1000),M49*0.7%,IF(AND(M49&gt;200,M49&lt;=500),M49*0.8%,IF(AND(M49&gt;100,M49&lt;=200),M49*0.9%,IF(AND(M49&gt;50,M49&lt;=100),M49*1%,IF(AND(M49&gt;20,M49&lt;=50),M49*1.5%,IF(AND(M49&gt;10,M49&lt;=20),M49*2%,IF(AND(M49&gt;1,M49&lt;=10),M49*2.5%)))))))))</f>
        <v>35.19</v>
      </c>
      <c r="M64" s="308">
        <f t="shared" ref="M64:M65" ca="1" si="1">ROUND(L64,1)</f>
        <v>35.200000000000003</v>
      </c>
      <c r="N64" s="2768" t="s">
        <v>2068</v>
      </c>
      <c r="Z64" s="1939"/>
      <c r="AI64" s="1940"/>
    </row>
    <row r="65" spans="1:35" ht="14.25" customHeight="1">
      <c r="A65" s="174" t="s">
        <v>771</v>
      </c>
      <c r="B65" s="175" t="s">
        <v>2069</v>
      </c>
      <c r="C65" s="2790"/>
      <c r="D65" s="175"/>
      <c r="E65" s="177"/>
      <c r="F65" s="1995"/>
      <c r="G65" s="1995"/>
      <c r="H65" s="1997"/>
      <c r="I65" s="134"/>
      <c r="J65" s="3160"/>
      <c r="K65" s="1502" t="s">
        <v>2070</v>
      </c>
      <c r="L65" s="1502">
        <f ca="1">IF(M49&gt;1000,M49*0.1%,IF(AND(M49&gt;500,M49&lt;=1000),M49*0.5%,IF(AND(M49&gt;50,M49&lt;=500),M49*1%,IF(AND(M49&gt;1,M49&lt;=50),M49*1.5%))))</f>
        <v>7.0380000000000003</v>
      </c>
      <c r="M65" s="308">
        <f t="shared" ca="1" si="1"/>
        <v>7</v>
      </c>
      <c r="N65" s="2768" t="s">
        <v>2068</v>
      </c>
      <c r="Z65" s="1939"/>
      <c r="AI65" s="1940"/>
    </row>
    <row r="66" spans="1:35" ht="14.25" customHeight="1">
      <c r="A66" s="178" t="s">
        <v>772</v>
      </c>
      <c r="B66" s="179" t="s">
        <v>2071</v>
      </c>
      <c r="C66" s="2791">
        <f>C75</f>
        <v>2700</v>
      </c>
      <c r="D66" s="179" t="s">
        <v>32</v>
      </c>
      <c r="E66" s="1510" t="s">
        <v>1337</v>
      </c>
      <c r="F66" s="1995"/>
      <c r="G66" s="1995"/>
      <c r="H66" s="1997"/>
      <c r="I66" s="134"/>
      <c r="J66" s="3160"/>
      <c r="K66" s="1502" t="s">
        <v>2072</v>
      </c>
      <c r="L66" s="1502">
        <f ca="1">M49*0.5%</f>
        <v>35.19</v>
      </c>
      <c r="M66" s="308">
        <f ca="1">IF(L66&gt;0.5,0.5,ROUND(L66,0))</f>
        <v>0.5</v>
      </c>
      <c r="N66" s="2768" t="s">
        <v>2073</v>
      </c>
      <c r="Z66" s="1939"/>
      <c r="AI66" s="1940"/>
    </row>
    <row r="67" spans="1:35" ht="14.25" customHeight="1">
      <c r="A67" s="178" t="s">
        <v>773</v>
      </c>
      <c r="B67" s="179" t="s">
        <v>2074</v>
      </c>
      <c r="C67" s="2792">
        <f ca="1">C63-C66</f>
        <v>4003</v>
      </c>
      <c r="D67" s="175" t="s">
        <v>32</v>
      </c>
      <c r="E67" s="177"/>
      <c r="F67" s="1995"/>
      <c r="G67" s="1995"/>
      <c r="H67" s="1997"/>
      <c r="I67" s="134"/>
      <c r="J67" s="3160"/>
      <c r="K67" s="1502" t="s">
        <v>2075</v>
      </c>
      <c r="L67" s="1502">
        <f ca="1">IF(M49&gt;=10000,(8.25+(M49-10000)*0.01%),IF(AND(M49&gt;=8000,M49&lt;10000),(7.85+(M49-8000)*0.02%),IF(AND(M49&gt;=5000,M49&lt;8000),(6.65+(M49-5000)*0.04%),IF(AND(M49&gt;=2000,M49&lt;5000),(4.25+(PM49-2000)*0.08%),IF(AND(M49&gt;=1000,M49&lt;2000),(2.75+(M49-1000)*0.15%),IF(AND(M49&gt;=100,M49&lt;1000),(0.5+(M49-100)*0.25%),IF(AND(M49&gt;0,M49&lt;100),M49*0.5%)))))))</f>
        <v>7.4652000000000003</v>
      </c>
      <c r="M67" s="308">
        <f ca="1">ROUND(L67*0.9,1)</f>
        <v>6.7</v>
      </c>
      <c r="N67" s="2767"/>
      <c r="Z67" s="1939"/>
      <c r="AI67" s="1940"/>
    </row>
    <row r="68" spans="1:35" ht="14.25" customHeight="1" thickBot="1">
      <c r="A68" s="181" t="s">
        <v>774</v>
      </c>
      <c r="B68" s="182" t="s">
        <v>2076</v>
      </c>
      <c r="C68" s="2793">
        <f ca="1">IF(C67&lt;=0,0,ROUND(C67*D68,0))</f>
        <v>224</v>
      </c>
      <c r="D68" s="2794">
        <f>'数据-取费表'!B41</f>
        <v>5.6000000000000001E-2</v>
      </c>
      <c r="E68" s="184"/>
      <c r="F68" s="1995"/>
      <c r="G68" s="1995"/>
      <c r="H68" s="1997"/>
      <c r="I68" s="134"/>
      <c r="J68" s="3160"/>
      <c r="K68" s="1502" t="s">
        <v>2077</v>
      </c>
      <c r="L68" s="1502">
        <f ca="1">IF(M49&gt;10000,M49*0.5%,IF(AND(M49&gt;5000,M49&lt;=10000),M49*1%,IF(AND(M49&gt;1000,M49&lt;=5000),M49*2%,IF(AND(M49&gt;200,M49&lt;=1000),M49*3%,M49*5%))))</f>
        <v>70.38</v>
      </c>
      <c r="M68" s="308">
        <f ca="1">ROUND(L68,1)</f>
        <v>70.400000000000006</v>
      </c>
      <c r="N68" s="2767"/>
      <c r="Z68" s="1939"/>
      <c r="AI68" s="1940"/>
    </row>
    <row r="69" spans="1:35" s="1959" customFormat="1" ht="16.5" customHeight="1">
      <c r="A69" s="1998"/>
      <c r="B69" s="1999"/>
      <c r="C69" s="2000"/>
      <c r="D69" s="2001"/>
      <c r="E69" s="2002"/>
      <c r="F69" s="1764"/>
      <c r="G69" s="1764"/>
      <c r="H69" s="1763"/>
      <c r="I69" s="1934"/>
      <c r="J69" s="3160"/>
      <c r="K69" s="1502" t="s">
        <v>2078</v>
      </c>
      <c r="L69" s="1502"/>
      <c r="M69" s="308">
        <f ca="1">ROUND(SUM(M63:M68),0)</f>
        <v>190</v>
      </c>
      <c r="N69" s="2769">
        <f ca="1">M69/M49</f>
        <v>2.6996305768684285E-2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04" t="s">
        <v>2079</v>
      </c>
      <c r="B70" s="3205"/>
      <c r="C70" s="3205"/>
      <c r="D70" s="3205"/>
      <c r="E70" s="3205"/>
      <c r="F70" s="3205"/>
      <c r="G70" s="3205"/>
      <c r="H70" s="3205"/>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196" t="s">
        <v>2060</v>
      </c>
      <c r="B71" s="3197"/>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2080</v>
      </c>
      <c r="C72" s="2792">
        <f ca="1">ROUND(D45/(1+'数据-取费表'!C42),0)</f>
        <v>6703</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2081</v>
      </c>
      <c r="C73" s="2792">
        <f>C74+C78</f>
        <v>3328</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3328</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2083</v>
      </c>
      <c r="C75" s="2795">
        <v>2700</v>
      </c>
      <c r="D75" s="175" t="s">
        <v>32</v>
      </c>
      <c r="E75" s="190" t="s">
        <v>2084</v>
      </c>
      <c r="F75" s="2796" t="s">
        <v>3090</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201" t="s">
        <v>2087</v>
      </c>
      <c r="F76" s="3200"/>
      <c r="G76" s="3200"/>
      <c r="H76" s="320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3398">
        <f>ROUND(IF(G77="个人住宅",0,IF(G77="2016年5月1日前购买",C75*D77,C75*D77)),0)</f>
        <v>82</v>
      </c>
      <c r="D77" s="2799">
        <f>'数据-取费表'!B48+'数据-取费表'!B49</f>
        <v>3.0499999999999999E-2</v>
      </c>
      <c r="E77" s="2545" t="s">
        <v>2089</v>
      </c>
      <c r="F77" s="192"/>
      <c r="G77" s="2009" t="s">
        <v>3091</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3397">
        <v>0</v>
      </c>
      <c r="D78" s="2801">
        <f>'数据-取费表'!B43</f>
        <v>6.000000000000001E-3</v>
      </c>
      <c r="E78" s="3193" t="s">
        <v>2091</v>
      </c>
      <c r="F78" s="3194"/>
      <c r="G78" s="3194"/>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2092</v>
      </c>
      <c r="C79" s="2792">
        <f ca="1">C72-C73</f>
        <v>3375</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1.0141225961538463</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2094</v>
      </c>
      <c r="C81" s="2803">
        <f ca="1">ROUND(IF(C79&lt;=0,0,IF(C80&gt;=200%,C79*60%-C73*35%,IF(C80&gt;=100%,C79*50%-C73*15%,IF(C80&gt;=50%,C79*40%-C73*5%,IF(C80&lt;50%,C79*30%,0))))),0)</f>
        <v>1188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04" t="s">
        <v>2095</v>
      </c>
      <c r="B83" s="3205"/>
      <c r="C83" s="3205"/>
      <c r="D83" s="3205"/>
      <c r="E83" s="3205"/>
      <c r="F83" s="3205"/>
      <c r="G83" s="3205"/>
      <c r="H83" s="320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196" t="s">
        <v>2060</v>
      </c>
      <c r="B84" s="3197"/>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2080</v>
      </c>
      <c r="C85" s="2792">
        <f ca="1">ROUND(D45/(1+'数据-取费表'!C42),0)</f>
        <v>6703</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2081</v>
      </c>
      <c r="C86" s="2792">
        <f ca="1">IF(H88="仅含出让金",C87+C90+C91+C92+C93+C94,C87+C91+C92+C93+C94)</f>
        <v>40</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2097</v>
      </c>
      <c r="C88" s="2806"/>
      <c r="D88" s="2801"/>
      <c r="E88" s="199" t="s">
        <v>2098</v>
      </c>
      <c r="F88" s="2548"/>
      <c r="G88" s="200" t="s">
        <v>2099</v>
      </c>
      <c r="H88" s="2011"/>
      <c r="I88" s="2008"/>
      <c r="J88" s="2745"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2101</v>
      </c>
      <c r="C90" s="2806"/>
      <c r="D90" s="2801"/>
      <c r="E90" s="199" t="str">
        <f>IF(H88="-","土地取得成本中已包含该笔费用"," ")</f>
        <v xml:space="preserve"> </v>
      </c>
      <c r="F90" s="2548"/>
      <c r="G90" s="3162" t="s">
        <v>2869</v>
      </c>
      <c r="H90" s="3163"/>
      <c r="I90" s="2008"/>
      <c r="J90" s="2745"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93" t="s">
        <v>2104</v>
      </c>
      <c r="F91" s="3194"/>
      <c r="G91" s="319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93" t="s">
        <v>2107</v>
      </c>
      <c r="F92" s="3194"/>
      <c r="G92" s="3194"/>
      <c r="H92" s="3195"/>
      <c r="I92" s="2008"/>
      <c r="J92" s="2746"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40</v>
      </c>
      <c r="D93" s="2801">
        <f>'数据-取费表'!B43</f>
        <v>6.000000000000001E-3</v>
      </c>
      <c r="E93" s="3193" t="s">
        <v>2091</v>
      </c>
      <c r="F93" s="3194"/>
      <c r="G93" s="3194"/>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241" t="s">
        <v>2111</v>
      </c>
      <c r="F94" s="3242"/>
      <c r="G94" s="3242"/>
      <c r="H94" s="324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2092</v>
      </c>
      <c r="C95" s="2792">
        <f ca="1">ROUND(C85-C86,0)</f>
        <v>6663</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166.57499999999999</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2094</v>
      </c>
      <c r="C97" s="2803">
        <f ca="1">ROUND(IF(C95&lt;=0,0,IF(C96&gt;=200%,C95*60%-C86*35%,IF(C96&gt;=100%,C95*50%-C86*15%,IF(C96&gt;=50%,C95*40%-C86*5%,IF(C96&lt;50%,C95*30%,0))))),0)</f>
        <v>3984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78"/>
      <c r="E100" s="3144" t="s">
        <v>2114</v>
      </c>
      <c r="F100" s="3144"/>
      <c r="G100" s="3144"/>
      <c r="H100" s="3178"/>
      <c r="I100" s="134"/>
    </row>
    <row r="101" spans="1:35" ht="18.75" customHeight="1">
      <c r="A101" s="3186" t="s">
        <v>2115</v>
      </c>
      <c r="B101" s="3187"/>
      <c r="C101" s="2809" t="str">
        <f>C4</f>
        <v>比较法-住宅</v>
      </c>
      <c r="D101" s="2810" t="str">
        <f>D4</f>
        <v>收益法</v>
      </c>
      <c r="E101" s="3156" t="s">
        <v>2116</v>
      </c>
      <c r="F101" s="3157"/>
      <c r="G101" s="2014" t="s">
        <v>2117</v>
      </c>
      <c r="H101" s="2819">
        <f ca="1">H118</f>
        <v>7038</v>
      </c>
      <c r="I101" s="134"/>
    </row>
    <row r="102" spans="1:35" ht="18.75" customHeight="1">
      <c r="A102" s="3188" t="s">
        <v>2118</v>
      </c>
      <c r="B102" s="2808" t="s">
        <v>2117</v>
      </c>
      <c r="C102" s="2809">
        <f ca="1">C19</f>
        <v>8960</v>
      </c>
      <c r="D102" s="2810">
        <f ca="1">D19</f>
        <v>4154</v>
      </c>
      <c r="E102" s="3156"/>
      <c r="F102" s="3157"/>
      <c r="G102" s="2014" t="s">
        <v>2119</v>
      </c>
      <c r="H102" s="2779">
        <f ca="1">I118</f>
        <v>134683</v>
      </c>
      <c r="I102" s="134"/>
    </row>
    <row r="103" spans="1:35" ht="42.75" customHeight="1">
      <c r="A103" s="3188"/>
      <c r="B103" s="2808" t="s">
        <v>2119</v>
      </c>
      <c r="C103" s="2811">
        <f ca="1">C20</f>
        <v>171461</v>
      </c>
      <c r="D103" s="2812">
        <f ca="1">D20</f>
        <v>79493</v>
      </c>
      <c r="E103" s="3149" t="s">
        <v>2120</v>
      </c>
      <c r="F103" s="3150"/>
      <c r="G103" s="2015" t="s">
        <v>2121</v>
      </c>
      <c r="H103" s="2819">
        <f>IF(D36="正常操作",H104+H105+H106,H105+H106)</f>
        <v>0</v>
      </c>
      <c r="I103" s="134"/>
    </row>
    <row r="104" spans="1:35" ht="18.75" customHeight="1">
      <c r="A104" s="3188" t="s">
        <v>2122</v>
      </c>
      <c r="B104" s="2813" t="s">
        <v>2117</v>
      </c>
      <c r="C104" s="2814">
        <f ca="1">H118</f>
        <v>7038</v>
      </c>
      <c r="D104" s="2815"/>
      <c r="E104" s="1861" t="s">
        <v>2123</v>
      </c>
      <c r="F104" s="1852"/>
      <c r="G104" s="2015" t="s">
        <v>2121</v>
      </c>
      <c r="H104" s="2820">
        <f>IF(D36="同一抵押权人同一抵押物续贷",C36&amp;"（续贷，未扣减，详见特别提示）",C36)</f>
        <v>0</v>
      </c>
      <c r="I104" s="134"/>
    </row>
    <row r="105" spans="1:35" ht="18.75" customHeight="1" thickBot="1">
      <c r="A105" s="3198"/>
      <c r="B105" s="2816" t="s">
        <v>2119</v>
      </c>
      <c r="C105" s="2817">
        <f ca="1">I118</f>
        <v>134683</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89" t="str">
        <f>IF(项目基本情况!E8="已注销","——","3.房地产抵押价值")</f>
        <v>3.房地产抵押价值</v>
      </c>
      <c r="F107" s="3157"/>
      <c r="G107" s="2014" t="s">
        <v>2117</v>
      </c>
      <c r="H107" s="2819">
        <f ca="1">IF(E107="——","——",H101-H103)</f>
        <v>7038</v>
      </c>
      <c r="I107" s="134"/>
    </row>
    <row r="108" spans="1:35" ht="18.75" customHeight="1">
      <c r="A108" s="134"/>
      <c r="B108" s="134"/>
      <c r="C108" s="134"/>
      <c r="D108" s="134"/>
      <c r="E108" s="3189"/>
      <c r="F108" s="3157"/>
      <c r="G108" s="2014" t="s">
        <v>2119</v>
      </c>
      <c r="H108" s="2779">
        <f ca="1">ROUND(H107*10000/'数据-汇总表'!E3,0)</f>
        <v>134683</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4" t="s">
        <v>2117</v>
      </c>
      <c r="H109" s="2822" t="str">
        <f>IF(E109="——","——",H101-H105-H106)</f>
        <v>——</v>
      </c>
      <c r="I109" s="134"/>
    </row>
    <row r="110" spans="1:35" ht="18.75" customHeight="1">
      <c r="A110" s="134"/>
      <c r="B110" s="134"/>
      <c r="C110" s="134"/>
      <c r="D110" s="134"/>
      <c r="E110" s="3189"/>
      <c r="F110" s="3157"/>
      <c r="G110" s="2014" t="s">
        <v>2119</v>
      </c>
      <c r="H110" s="2779"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4.抵押净值</v>
      </c>
      <c r="F111" s="3176"/>
      <c r="G111" s="2014" t="s">
        <v>2117</v>
      </c>
      <c r="H111" s="2819">
        <f ca="1">IF(E111="——","——",N59)</f>
        <v>5622</v>
      </c>
      <c r="I111" s="134"/>
    </row>
    <row r="112" spans="1:35" ht="18.75" customHeight="1" thickBot="1">
      <c r="A112" s="134"/>
      <c r="B112" s="134"/>
      <c r="C112" s="134"/>
      <c r="D112" s="134"/>
      <c r="E112" s="3191"/>
      <c r="F112" s="3192"/>
      <c r="G112" s="2017" t="s">
        <v>2119</v>
      </c>
      <c r="H112" s="2823">
        <f ca="1">IF(E111="——","——",N61)</f>
        <v>107586</v>
      </c>
      <c r="I112" s="134"/>
    </row>
    <row r="113" spans="1:27" ht="18.75" customHeight="1">
      <c r="A113" s="134"/>
      <c r="B113" s="134"/>
      <c r="C113" s="134"/>
      <c r="D113" s="134"/>
      <c r="E113" s="3199" t="s">
        <v>2125</v>
      </c>
      <c r="F113" s="3199"/>
      <c r="G113" s="3199"/>
      <c r="H113" s="3199"/>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4" t="s">
        <v>2128</v>
      </c>
      <c r="B116" s="3168" t="s">
        <v>2129</v>
      </c>
      <c r="C116" s="3168" t="s">
        <v>2130</v>
      </c>
      <c r="D116" s="3174" t="s">
        <v>2131</v>
      </c>
      <c r="E116" s="3175"/>
      <c r="F116" s="3206" t="s">
        <v>2132</v>
      </c>
      <c r="G116" s="3206"/>
      <c r="H116" s="3164" t="s">
        <v>2133</v>
      </c>
      <c r="I116" s="3164"/>
    </row>
    <row r="117" spans="1:27" ht="18.75" customHeight="1">
      <c r="A117" s="3164"/>
      <c r="B117" s="3169"/>
      <c r="C117" s="3169"/>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522.55999999999995</v>
      </c>
      <c r="C118" s="2550">
        <f>M19</f>
        <v>0</v>
      </c>
      <c r="D118" s="2550">
        <f ca="1">ROUND(IF(D32="总价",C34,E118*B118/10000),0)</f>
        <v>5750</v>
      </c>
      <c r="E118" s="2550">
        <f ca="1">ROUND(IF(C33="自定义",IF(D32="楼面单价",C34,D118*10000/B118),I118-G118),0)</f>
        <v>110035</v>
      </c>
      <c r="F118" s="2550">
        <f ca="1">ROUND(IF(D32="总价",C35,G118*B118/10000),0)</f>
        <v>1288</v>
      </c>
      <c r="G118" s="2550">
        <f ca="1">ROUND(IF(D32="楼面单价",C35,F118*10000/B118),0)</f>
        <v>24648</v>
      </c>
      <c r="H118" s="2550">
        <f ca="1">ROUND(IF(D32="总价",C32,I118*B118/10000),0)</f>
        <v>7038</v>
      </c>
      <c r="I118" s="2550">
        <f ca="1">ROUND(IF(D32="楼面单价",C32,H118*10000/B118),0)</f>
        <v>134683</v>
      </c>
    </row>
    <row r="119" spans="1:27" ht="18.75" customHeight="1">
      <c r="A119" s="3164" t="s">
        <v>2137</v>
      </c>
      <c r="B119" s="3164"/>
      <c r="C119" s="3164"/>
      <c r="D119" s="3170" t="str">
        <f ca="1">NUMBERSTRING(INT(D118*10000),2)&amp;"元整"</f>
        <v>伍仟柒佰伍拾万元整</v>
      </c>
      <c r="E119" s="3171"/>
      <c r="F119" s="3170" t="str">
        <f ca="1">NUMBERSTRING(INT(F118*10000),2)&amp;"元整"</f>
        <v>壹仟贰佰捌拾捌万元整</v>
      </c>
      <c r="G119" s="3171"/>
      <c r="H119" s="3170" t="str">
        <f ca="1">NUMBERSTRING(INT(H118*10000),2)&amp;"元整"</f>
        <v>柒仟零叁拾捌万元整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2137</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7038</v>
      </c>
      <c r="E122" s="3166"/>
      <c r="F122" s="3166"/>
      <c r="G122" s="3166"/>
      <c r="H122" s="3166"/>
      <c r="I122" s="3167"/>
      <c r="AA122" s="734"/>
    </row>
    <row r="123" spans="1:27" ht="18.75" customHeight="1">
      <c r="A123" s="3164" t="s">
        <v>2137</v>
      </c>
      <c r="B123" s="3164"/>
      <c r="C123" s="3164"/>
      <c r="D123" s="3170" t="str">
        <f ca="1">NUMBERSTRING(INT(D122*10000),2)&amp;"元整"</f>
        <v>柒仟零叁拾捌万元整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2137</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抵押净值</v>
      </c>
      <c r="B126" s="3176"/>
      <c r="C126" s="3176"/>
      <c r="D126" s="3165">
        <f ca="1">H111</f>
        <v>5622</v>
      </c>
      <c r="E126" s="3166"/>
      <c r="F126" s="3166"/>
      <c r="G126" s="3166"/>
      <c r="H126" s="3166"/>
      <c r="I126" s="3167"/>
      <c r="AA126" s="734"/>
    </row>
    <row r="127" spans="1:27" ht="18.75" customHeight="1">
      <c r="A127" s="3164" t="s">
        <v>2137</v>
      </c>
      <c r="B127" s="3164"/>
      <c r="C127" s="3164"/>
      <c r="D127" s="3170" t="str">
        <f ca="1">NUMBERSTRING(INT(D126*10000),2)&amp;"元整"</f>
        <v>伍仟陆佰贰拾贰万元整</v>
      </c>
      <c r="E127" s="3172"/>
      <c r="F127" s="3172"/>
      <c r="G127" s="3172"/>
      <c r="H127" s="3172"/>
      <c r="I127" s="3171"/>
      <c r="AA127" s="734"/>
    </row>
    <row r="128" spans="1:27" ht="21.75" customHeight="1">
      <c r="A128" s="3173" t="s">
        <v>2138</v>
      </c>
      <c r="B128" s="3173"/>
      <c r="C128" s="3173"/>
      <c r="D128" s="3173"/>
      <c r="E128" s="3173"/>
      <c r="F128" s="3173"/>
      <c r="G128" s="3173"/>
      <c r="H128" s="3173"/>
      <c r="I128" s="3173"/>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4" zoomScale="84" zoomScaleNormal="60" zoomScaleSheetLayoutView="84" workbookViewId="0">
      <selection activeCell="F63" sqref="F6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5" t="s">
        <v>2349</v>
      </c>
      <c r="C1" s="1406" t="s">
        <v>2350</v>
      </c>
      <c r="D1" s="1393" t="s">
        <v>3117</v>
      </c>
      <c r="E1" s="2542"/>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8960</v>
      </c>
      <c r="C2" s="2068" t="s">
        <v>70</v>
      </c>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171461</v>
      </c>
      <c r="C3" s="360" t="s">
        <v>2354</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4.4">
      <c r="A4" s="361" t="s">
        <v>2355</v>
      </c>
      <c r="B4" s="362"/>
      <c r="C4" s="3264" t="s">
        <v>2356</v>
      </c>
      <c r="D4" s="3265"/>
      <c r="E4" s="3266" t="s">
        <v>2357</v>
      </c>
      <c r="F4" s="3267"/>
      <c r="G4" s="3264" t="s">
        <v>2358</v>
      </c>
      <c r="H4" s="3265"/>
      <c r="I4" s="3264" t="s">
        <v>2359</v>
      </c>
      <c r="J4" s="3265"/>
      <c r="K4" s="2076" t="s">
        <v>2360</v>
      </c>
      <c r="L4" s="2942"/>
      <c r="M4" s="2943"/>
      <c r="N4" s="2943"/>
      <c r="O4" s="2943"/>
      <c r="P4" s="3268" t="s">
        <v>2361</v>
      </c>
      <c r="Q4" s="3269"/>
      <c r="R4" s="3251" t="s">
        <v>2357</v>
      </c>
      <c r="S4" s="3252"/>
      <c r="T4" s="3251" t="s">
        <v>2358</v>
      </c>
      <c r="U4" s="3252"/>
      <c r="V4" s="3276" t="s">
        <v>2359</v>
      </c>
      <c r="W4" s="3276"/>
      <c r="X4" s="1540"/>
      <c r="Y4" s="3251" t="s">
        <v>2361</v>
      </c>
      <c r="Z4" s="3252"/>
      <c r="AA4" s="3246" t="s">
        <v>2357</v>
      </c>
      <c r="AB4" s="3246" t="s">
        <v>2358</v>
      </c>
      <c r="AC4" s="3246" t="s">
        <v>2359</v>
      </c>
    </row>
    <row r="5" spans="1:29">
      <c r="A5" s="364"/>
      <c r="B5" s="365"/>
      <c r="C5" s="3257" t="s">
        <v>2362</v>
      </c>
      <c r="D5" s="3258"/>
      <c r="E5" s="3255" t="s">
        <v>3114</v>
      </c>
      <c r="F5" s="3256"/>
      <c r="G5" s="3255" t="s">
        <v>3114</v>
      </c>
      <c r="H5" s="3256"/>
      <c r="I5" s="3255" t="s">
        <v>3114</v>
      </c>
      <c r="J5" s="3256"/>
      <c r="K5" s="207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207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49" t="s">
        <v>2369</v>
      </c>
      <c r="Q7" s="3277"/>
      <c r="R7" s="710" t="s">
        <v>23</v>
      </c>
      <c r="S7" s="711">
        <f t="shared" ref="S7:S15" si="0">F7</f>
        <v>100</v>
      </c>
      <c r="T7" s="710" t="s">
        <v>23</v>
      </c>
      <c r="U7" s="711">
        <f t="shared" ref="U7:U15" si="1">H7</f>
        <v>100</v>
      </c>
      <c r="V7" s="710" t="s">
        <v>23</v>
      </c>
      <c r="W7" s="711">
        <f t="shared" ref="W7:W15" si="2">J7</f>
        <v>100</v>
      </c>
      <c r="X7" s="712"/>
      <c r="Y7" s="3249" t="s">
        <v>2369</v>
      </c>
      <c r="Z7" s="3250"/>
      <c r="AA7" s="713">
        <f>D7/F7</f>
        <v>1</v>
      </c>
      <c r="AB7" s="713">
        <f>D7/H7</f>
        <v>1</v>
      </c>
      <c r="AC7" s="713">
        <f>D7/J7</f>
        <v>1</v>
      </c>
    </row>
    <row r="8" spans="1:29" s="113" customFormat="1" ht="1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8"/>
      <c r="L8" s="2944"/>
      <c r="M8" s="2945"/>
      <c r="N8" s="2945"/>
      <c r="O8" s="2945"/>
      <c r="P8" s="3249" t="s">
        <v>2372</v>
      </c>
      <c r="Q8" s="3250"/>
      <c r="R8" s="710" t="s">
        <v>23</v>
      </c>
      <c r="S8" s="711">
        <f t="shared" si="0"/>
        <v>100</v>
      </c>
      <c r="T8" s="710" t="s">
        <v>23</v>
      </c>
      <c r="U8" s="711">
        <f t="shared" si="1"/>
        <v>100</v>
      </c>
      <c r="V8" s="710" t="s">
        <v>23</v>
      </c>
      <c r="W8" s="711">
        <f t="shared" si="2"/>
        <v>100</v>
      </c>
      <c r="X8" s="712"/>
      <c r="Y8" s="3249" t="s">
        <v>2372</v>
      </c>
      <c r="Z8" s="3250"/>
      <c r="AA8" s="713">
        <f t="shared" ref="AA8:AA19" si="3">D8/F8</f>
        <v>1</v>
      </c>
      <c r="AB8" s="713">
        <f t="shared" ref="AB8:AB19" si="4">D8/H8</f>
        <v>1</v>
      </c>
      <c r="AC8" s="713">
        <f t="shared" ref="AC8:AC19" si="5">D8/J8</f>
        <v>1</v>
      </c>
    </row>
    <row r="9" spans="1:29" s="113" customFormat="1" ht="14.4">
      <c r="A9" s="375" t="s">
        <v>2373</v>
      </c>
      <c r="B9" s="67" t="s">
        <v>2374</v>
      </c>
      <c r="C9" s="3052" t="s">
        <v>3097</v>
      </c>
      <c r="D9" s="131">
        <v>100</v>
      </c>
      <c r="E9" s="377" t="s">
        <v>3062</v>
      </c>
      <c r="F9" s="378">
        <f>SUMIF(63:63,E9,64:64)-SUMIF(63:63,C9,64:64)+100</f>
        <v>100</v>
      </c>
      <c r="G9" s="377" t="s">
        <v>3062</v>
      </c>
      <c r="H9" s="131">
        <f>SUMIF(63:63,G9,64:64)-SUMIF(63:63,C9,64:64)+100</f>
        <v>100</v>
      </c>
      <c r="I9" s="377" t="s">
        <v>3062</v>
      </c>
      <c r="J9" s="131">
        <f>SUMIF(63:63,I9,64:64)-SUMIF(63:63,C9,64:64)+100</f>
        <v>100</v>
      </c>
      <c r="K9" s="207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t="s">
        <v>3111</v>
      </c>
      <c r="D10" s="132">
        <v>100</v>
      </c>
      <c r="E10" s="382" t="s">
        <v>3111</v>
      </c>
      <c r="F10" s="384">
        <f>SUMIF(65:65,E10,66:66)-SUMIF(65:65,C10,66:66)+100</f>
        <v>100</v>
      </c>
      <c r="G10" s="382" t="s">
        <v>3111</v>
      </c>
      <c r="H10" s="132">
        <f>SUMIF(65:65,G10,66:66)-SUMIF(65:65,C10,66:66)+100</f>
        <v>100</v>
      </c>
      <c r="I10" s="382" t="s">
        <v>3111</v>
      </c>
      <c r="J10" s="132">
        <f>SUMIF(65:65,I10,66:66)-SUMIF(65:65,C10,66:66)+100</f>
        <v>100</v>
      </c>
      <c r="K10" s="385">
        <v>2</v>
      </c>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3"/>
      <c r="Q11" s="1528" t="str">
        <f t="shared" si="6"/>
        <v>容积率</v>
      </c>
      <c r="R11" s="710" t="s">
        <v>21</v>
      </c>
      <c r="S11" s="711">
        <f t="shared" si="0"/>
        <v>100</v>
      </c>
      <c r="T11" s="710" t="s">
        <v>21</v>
      </c>
      <c r="U11" s="711">
        <f t="shared" si="1"/>
        <v>100</v>
      </c>
      <c r="V11" s="710" t="s">
        <v>21</v>
      </c>
      <c r="W11" s="711">
        <f t="shared" si="2"/>
        <v>100</v>
      </c>
      <c r="X11" s="712"/>
      <c r="Y11" s="3222"/>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3"/>
      <c r="Q12" s="1528">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3"/>
      <c r="Q13" s="1528">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3"/>
      <c r="Q14" s="1528">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6.6">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90" t="s">
        <v>2380</v>
      </c>
      <c r="Q15" s="1537" t="str">
        <f t="shared" si="6"/>
        <v>居住社区成熟度</v>
      </c>
      <c r="R15" s="714" t="s">
        <v>21</v>
      </c>
      <c r="S15" s="715">
        <f t="shared" si="0"/>
        <v>100</v>
      </c>
      <c r="T15" s="714" t="s">
        <v>21</v>
      </c>
      <c r="U15" s="715">
        <f t="shared" si="1"/>
        <v>100</v>
      </c>
      <c r="V15" s="714" t="s">
        <v>21</v>
      </c>
      <c r="W15" s="715">
        <f t="shared" si="2"/>
        <v>100</v>
      </c>
      <c r="X15" s="1540"/>
      <c r="Y15" s="3283" t="s">
        <v>2380</v>
      </c>
      <c r="Z15" s="1541" t="str">
        <f t="shared" si="7"/>
        <v>居住社区成熟度</v>
      </c>
      <c r="AA15" s="1538">
        <f t="shared" si="3"/>
        <v>1</v>
      </c>
      <c r="AB15" s="1538">
        <f t="shared" si="4"/>
        <v>1</v>
      </c>
      <c r="AC15" s="1538">
        <f t="shared" si="5"/>
        <v>1</v>
      </c>
    </row>
    <row r="16" spans="1:29" ht="15">
      <c r="A16" s="387"/>
      <c r="B16" s="405"/>
      <c r="C16" s="406" t="s">
        <v>3098</v>
      </c>
      <c r="D16" s="407"/>
      <c r="E16" s="406" t="s">
        <v>3098</v>
      </c>
      <c r="F16" s="407"/>
      <c r="G16" s="406" t="s">
        <v>3098</v>
      </c>
      <c r="H16" s="409"/>
      <c r="I16" s="406" t="s">
        <v>3098</v>
      </c>
      <c r="J16" s="407"/>
      <c r="K16" s="2085"/>
      <c r="L16" s="2949"/>
      <c r="M16" s="2943"/>
      <c r="N16" s="2943"/>
      <c r="O16" s="2943"/>
      <c r="P16" s="3291"/>
      <c r="Q16" s="1537"/>
      <c r="R16" s="714"/>
      <c r="S16" s="715"/>
      <c r="T16" s="714"/>
      <c r="U16" s="715"/>
      <c r="V16" s="714"/>
      <c r="W16" s="715"/>
      <c r="X16" s="1540"/>
      <c r="Y16" s="3284"/>
      <c r="Z16" s="1541"/>
      <c r="AA16" s="1538">
        <v>1</v>
      </c>
      <c r="AB16" s="1538">
        <v>1</v>
      </c>
      <c r="AC16" s="1538">
        <v>1</v>
      </c>
    </row>
    <row r="17" spans="1:29" ht="82.8">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91"/>
      <c r="Q17" s="1537" t="str">
        <f>B17</f>
        <v>交通便捷度</v>
      </c>
      <c r="R17" s="714" t="s">
        <v>21</v>
      </c>
      <c r="S17" s="715">
        <f>F17</f>
        <v>100</v>
      </c>
      <c r="T17" s="714" t="s">
        <v>21</v>
      </c>
      <c r="U17" s="715">
        <f>H17</f>
        <v>100</v>
      </c>
      <c r="V17" s="714" t="s">
        <v>21</v>
      </c>
      <c r="W17" s="715">
        <f>J17</f>
        <v>100</v>
      </c>
      <c r="X17" s="1540"/>
      <c r="Y17" s="3284"/>
      <c r="Z17" s="1541" t="str">
        <f>Q17</f>
        <v>交通便捷度</v>
      </c>
      <c r="AA17" s="1538">
        <f t="shared" si="3"/>
        <v>1</v>
      </c>
      <c r="AB17" s="1538">
        <f t="shared" si="4"/>
        <v>1</v>
      </c>
      <c r="AC17" s="1538">
        <f t="shared" si="5"/>
        <v>1</v>
      </c>
    </row>
    <row r="18" spans="1:29" ht="15">
      <c r="A18" s="387"/>
      <c r="B18" s="415"/>
      <c r="C18" s="406" t="s">
        <v>3098</v>
      </c>
      <c r="D18" s="409"/>
      <c r="E18" s="406" t="s">
        <v>3098</v>
      </c>
      <c r="F18" s="409"/>
      <c r="G18" s="406" t="s">
        <v>3098</v>
      </c>
      <c r="H18" s="407"/>
      <c r="I18" s="406" t="s">
        <v>3098</v>
      </c>
      <c r="J18" s="407"/>
      <c r="K18" s="2085"/>
      <c r="L18" s="2949"/>
      <c r="M18" s="2943"/>
      <c r="N18" s="2943"/>
      <c r="O18" s="2943"/>
      <c r="P18" s="3291"/>
      <c r="Q18" s="1537"/>
      <c r="R18" s="714"/>
      <c r="S18" s="715"/>
      <c r="T18" s="714"/>
      <c r="U18" s="715"/>
      <c r="V18" s="714"/>
      <c r="W18" s="715"/>
      <c r="X18" s="1540"/>
      <c r="Y18" s="3284"/>
      <c r="Z18" s="1541"/>
      <c r="AA18" s="1538">
        <v>1</v>
      </c>
      <c r="AB18" s="1538">
        <v>1</v>
      </c>
      <c r="AC18" s="1538">
        <v>1</v>
      </c>
    </row>
    <row r="19" spans="1:29" ht="41.4">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91"/>
      <c r="Q19" s="1537" t="str">
        <f>B19</f>
        <v>公共配套设施</v>
      </c>
      <c r="R19" s="714" t="s">
        <v>21</v>
      </c>
      <c r="S19" s="715">
        <f>F19</f>
        <v>100</v>
      </c>
      <c r="T19" s="714" t="s">
        <v>21</v>
      </c>
      <c r="U19" s="715">
        <f>H19</f>
        <v>100</v>
      </c>
      <c r="V19" s="714" t="s">
        <v>21</v>
      </c>
      <c r="W19" s="715">
        <f>J19</f>
        <v>100</v>
      </c>
      <c r="X19" s="1540"/>
      <c r="Y19" s="3284"/>
      <c r="Z19" s="1541" t="str">
        <f>Q19</f>
        <v>公共配套设施</v>
      </c>
      <c r="AA19" s="1538">
        <f t="shared" si="3"/>
        <v>1</v>
      </c>
      <c r="AB19" s="1538">
        <f t="shared" si="4"/>
        <v>1</v>
      </c>
      <c r="AC19" s="1538">
        <f t="shared" si="5"/>
        <v>1</v>
      </c>
    </row>
    <row r="20" spans="1:29" ht="15">
      <c r="A20" s="387"/>
      <c r="B20" s="415"/>
      <c r="C20" s="406" t="s">
        <v>3098</v>
      </c>
      <c r="D20" s="407"/>
      <c r="E20" s="406" t="s">
        <v>3098</v>
      </c>
      <c r="F20" s="407"/>
      <c r="G20" s="406" t="s">
        <v>3098</v>
      </c>
      <c r="H20" s="407"/>
      <c r="I20" s="406" t="s">
        <v>3098</v>
      </c>
      <c r="J20" s="407"/>
      <c r="K20" s="2085"/>
      <c r="L20" s="2949"/>
      <c r="M20" s="2943"/>
      <c r="N20" s="2943"/>
      <c r="O20" s="2943"/>
      <c r="P20" s="3291"/>
      <c r="Q20" s="1537"/>
      <c r="R20" s="714"/>
      <c r="S20" s="715"/>
      <c r="T20" s="714"/>
      <c r="U20" s="715"/>
      <c r="V20" s="714"/>
      <c r="W20" s="715"/>
      <c r="X20" s="1540"/>
      <c r="Y20" s="3284"/>
      <c r="Z20" s="1541"/>
      <c r="AA20" s="1538">
        <v>1</v>
      </c>
      <c r="AB20" s="1538">
        <v>1</v>
      </c>
      <c r="AC20" s="1538">
        <v>1</v>
      </c>
    </row>
    <row r="21" spans="1:29" ht="27.6">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t="s">
        <v>3099</v>
      </c>
      <c r="D22" s="407"/>
      <c r="E22" s="2087" t="s">
        <v>3099</v>
      </c>
      <c r="F22" s="407"/>
      <c r="G22" s="2087" t="s">
        <v>3099</v>
      </c>
      <c r="H22" s="407"/>
      <c r="I22" s="2087" t="s">
        <v>3099</v>
      </c>
      <c r="J22" s="407"/>
      <c r="K22" s="2091"/>
      <c r="L22" s="2949"/>
      <c r="M22" s="2943"/>
      <c r="N22" s="2943"/>
      <c r="O22" s="2943"/>
      <c r="P22" s="3291"/>
      <c r="Q22" s="1537"/>
      <c r="R22" s="714"/>
      <c r="S22" s="715"/>
      <c r="T22" s="714"/>
      <c r="U22" s="715"/>
      <c r="V22" s="714"/>
      <c r="W22" s="715"/>
      <c r="X22" s="1540"/>
      <c r="Y22" s="3284"/>
      <c r="Z22" s="1541"/>
      <c r="AA22" s="1538">
        <v>1</v>
      </c>
      <c r="AB22" s="1538">
        <v>1</v>
      </c>
      <c r="AC22" s="1538">
        <v>1</v>
      </c>
    </row>
    <row r="23" spans="1:29" ht="55.2">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91"/>
      <c r="Q23" s="1537" t="str">
        <f>B23</f>
        <v>自然及人文环境</v>
      </c>
      <c r="R23" s="714" t="s">
        <v>21</v>
      </c>
      <c r="S23" s="715">
        <f>F23</f>
        <v>100</v>
      </c>
      <c r="T23" s="714" t="s">
        <v>21</v>
      </c>
      <c r="U23" s="715">
        <f>H23</f>
        <v>100</v>
      </c>
      <c r="V23" s="714" t="s">
        <v>21</v>
      </c>
      <c r="W23" s="715">
        <f>J23</f>
        <v>100</v>
      </c>
      <c r="X23" s="1540"/>
      <c r="Y23" s="3284"/>
      <c r="Z23" s="1541" t="str">
        <f>Q23</f>
        <v>自然及人文环境</v>
      </c>
      <c r="AA23" s="1538">
        <f>D23/F23</f>
        <v>1</v>
      </c>
      <c r="AB23" s="1538">
        <f>D23/H23</f>
        <v>1</v>
      </c>
      <c r="AC23" s="1538">
        <f>D23/J23</f>
        <v>1</v>
      </c>
    </row>
    <row r="24" spans="1:29" ht="15.6" thickBot="1">
      <c r="A24" s="387"/>
      <c r="B24" s="415"/>
      <c r="C24" s="406" t="s">
        <v>3098</v>
      </c>
      <c r="D24" s="407"/>
      <c r="E24" s="406" t="s">
        <v>3098</v>
      </c>
      <c r="F24" s="407"/>
      <c r="G24" s="406" t="s">
        <v>3098</v>
      </c>
      <c r="H24" s="407"/>
      <c r="I24" s="406" t="s">
        <v>3098</v>
      </c>
      <c r="J24" s="407"/>
      <c r="K24" s="2085"/>
      <c r="L24" s="2949"/>
      <c r="M24" s="2943"/>
      <c r="N24" s="2943"/>
      <c r="O24" s="2943"/>
      <c r="P24" s="3291"/>
      <c r="Q24" s="1537"/>
      <c r="R24" s="714"/>
      <c r="S24" s="715"/>
      <c r="T24" s="714"/>
      <c r="U24" s="715"/>
      <c r="V24" s="714"/>
      <c r="W24" s="715"/>
      <c r="X24" s="1540"/>
      <c r="Y24" s="3284"/>
      <c r="Z24" s="1541"/>
      <c r="AA24" s="1538">
        <v>1</v>
      </c>
      <c r="AB24" s="1538">
        <v>1</v>
      </c>
      <c r="AC24" s="1538">
        <v>1</v>
      </c>
    </row>
    <row r="25" spans="1:29" ht="15" hidden="1">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4"/>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1"/>
      <c r="Q26" s="1537" t="str">
        <f t="shared" si="11"/>
        <v>朝向</v>
      </c>
      <c r="R26" s="714" t="s">
        <v>21</v>
      </c>
      <c r="S26" s="715">
        <f t="shared" si="12"/>
        <v>100</v>
      </c>
      <c r="T26" s="714" t="s">
        <v>21</v>
      </c>
      <c r="U26" s="715">
        <f t="shared" si="13"/>
        <v>100</v>
      </c>
      <c r="V26" s="714" t="s">
        <v>21</v>
      </c>
      <c r="W26" s="715">
        <f t="shared" si="14"/>
        <v>100</v>
      </c>
      <c r="X26" s="1540"/>
      <c r="Y26" s="3284"/>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1"/>
      <c r="Q27" s="1528">
        <f t="shared" si="11"/>
        <v>111</v>
      </c>
      <c r="R27" s="710" t="s">
        <v>21</v>
      </c>
      <c r="S27" s="711">
        <f t="shared" si="12"/>
        <v>100</v>
      </c>
      <c r="T27" s="710" t="s">
        <v>21</v>
      </c>
      <c r="U27" s="711">
        <f t="shared" si="13"/>
        <v>100</v>
      </c>
      <c r="V27" s="710" t="s">
        <v>21</v>
      </c>
      <c r="W27" s="711">
        <f t="shared" si="14"/>
        <v>100</v>
      </c>
      <c r="X27" s="712"/>
      <c r="Y27" s="3284"/>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1"/>
      <c r="Q28" s="1537">
        <f t="shared" si="11"/>
        <v>111</v>
      </c>
      <c r="R28" s="714" t="s">
        <v>21</v>
      </c>
      <c r="S28" s="715">
        <f t="shared" si="12"/>
        <v>100</v>
      </c>
      <c r="T28" s="714" t="s">
        <v>21</v>
      </c>
      <c r="U28" s="715">
        <f t="shared" si="13"/>
        <v>100</v>
      </c>
      <c r="V28" s="714" t="s">
        <v>21</v>
      </c>
      <c r="W28" s="715">
        <f t="shared" si="14"/>
        <v>100</v>
      </c>
      <c r="X28" s="1540"/>
      <c r="Y28" s="3284"/>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1"/>
      <c r="Q29" s="1537">
        <f t="shared" si="11"/>
        <v>111</v>
      </c>
      <c r="R29" s="714" t="s">
        <v>21</v>
      </c>
      <c r="S29" s="715">
        <f t="shared" si="12"/>
        <v>100</v>
      </c>
      <c r="T29" s="714" t="s">
        <v>21</v>
      </c>
      <c r="U29" s="715">
        <f t="shared" si="13"/>
        <v>100</v>
      </c>
      <c r="V29" s="714" t="s">
        <v>21</v>
      </c>
      <c r="W29" s="715">
        <f t="shared" si="14"/>
        <v>100</v>
      </c>
      <c r="X29" s="1540"/>
      <c r="Y29" s="3284"/>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1"/>
      <c r="Q30" s="1537">
        <f t="shared" si="11"/>
        <v>111</v>
      </c>
      <c r="R30" s="714" t="s">
        <v>21</v>
      </c>
      <c r="S30" s="715">
        <f t="shared" si="12"/>
        <v>100</v>
      </c>
      <c r="T30" s="714" t="s">
        <v>21</v>
      </c>
      <c r="U30" s="715">
        <f t="shared" si="13"/>
        <v>100</v>
      </c>
      <c r="V30" s="714" t="s">
        <v>21</v>
      </c>
      <c r="W30" s="715">
        <f t="shared" si="14"/>
        <v>100</v>
      </c>
      <c r="X30" s="1540"/>
      <c r="Y30" s="3284"/>
      <c r="Z30" s="1541">
        <f t="shared" si="18"/>
        <v>111</v>
      </c>
      <c r="AA30" s="1538">
        <f t="shared" si="15"/>
        <v>1</v>
      </c>
      <c r="AB30" s="1538">
        <f t="shared" si="16"/>
        <v>1</v>
      </c>
      <c r="AC30" s="1538">
        <f t="shared" si="17"/>
        <v>1</v>
      </c>
    </row>
    <row r="31" spans="1:29" ht="15.6"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1"/>
      <c r="Q31" s="1537">
        <f t="shared" si="11"/>
        <v>111</v>
      </c>
      <c r="R31" s="714" t="s">
        <v>21</v>
      </c>
      <c r="S31" s="715">
        <f t="shared" si="12"/>
        <v>100</v>
      </c>
      <c r="T31" s="714" t="s">
        <v>21</v>
      </c>
      <c r="U31" s="715">
        <f t="shared" si="13"/>
        <v>100</v>
      </c>
      <c r="V31" s="714" t="s">
        <v>21</v>
      </c>
      <c r="W31" s="715">
        <f t="shared" si="14"/>
        <v>100</v>
      </c>
      <c r="X31" s="1540"/>
      <c r="Y31" s="3284"/>
      <c r="Z31" s="1541">
        <f t="shared" si="18"/>
        <v>111</v>
      </c>
      <c r="AA31" s="1538">
        <f t="shared" si="15"/>
        <v>1</v>
      </c>
      <c r="AB31" s="1538">
        <f t="shared" si="16"/>
        <v>1</v>
      </c>
      <c r="AC31" s="1538">
        <f t="shared" si="17"/>
        <v>1</v>
      </c>
    </row>
    <row r="32" spans="1:29" ht="15">
      <c r="A32" s="399" t="s">
        <v>2383</v>
      </c>
      <c r="B32" s="67" t="s">
        <v>2384</v>
      </c>
      <c r="C32" s="2096" t="s">
        <v>3100</v>
      </c>
      <c r="D32" s="426">
        <v>100</v>
      </c>
      <c r="E32" s="2096" t="s">
        <v>3100</v>
      </c>
      <c r="F32" s="420">
        <f>SUMIF(100:100,E32,101:101)-SUMIF(100:100,C32,101:101)+100</f>
        <v>100</v>
      </c>
      <c r="G32" s="2096" t="s">
        <v>3100</v>
      </c>
      <c r="H32" s="426">
        <f>SUMIF(100:100,G32,101:101)-SUMIF(100:100,C32,101:101)+100</f>
        <v>100</v>
      </c>
      <c r="I32" s="2096" t="s">
        <v>3119</v>
      </c>
      <c r="J32" s="394">
        <f>SUMIF(100:100,I32,101:101)-SUMIF(100:100,C32,101:101)+100</f>
        <v>80</v>
      </c>
      <c r="K32" s="385">
        <v>20</v>
      </c>
      <c r="L32" s="2949"/>
      <c r="M32" s="2943"/>
      <c r="N32" s="2943"/>
      <c r="O32" s="2943"/>
      <c r="P32" s="3285" t="s">
        <v>2385</v>
      </c>
      <c r="Q32" s="1537" t="str">
        <f t="shared" si="11"/>
        <v>建筑类型</v>
      </c>
      <c r="R32" s="714" t="s">
        <v>21</v>
      </c>
      <c r="S32" s="715">
        <f t="shared" si="12"/>
        <v>100</v>
      </c>
      <c r="T32" s="714" t="s">
        <v>21</v>
      </c>
      <c r="U32" s="715">
        <f t="shared" si="13"/>
        <v>100</v>
      </c>
      <c r="V32" s="714" t="s">
        <v>21</v>
      </c>
      <c r="W32" s="715">
        <f t="shared" si="14"/>
        <v>80</v>
      </c>
      <c r="X32" s="1540"/>
      <c r="Y32" s="3288" t="s">
        <v>2385</v>
      </c>
      <c r="Z32" s="1541" t="str">
        <f t="shared" si="18"/>
        <v>建筑类型</v>
      </c>
      <c r="AA32" s="1538">
        <f t="shared" si="15"/>
        <v>1</v>
      </c>
      <c r="AB32" s="1538">
        <f t="shared" si="16"/>
        <v>1</v>
      </c>
      <c r="AC32" s="1538">
        <f t="shared" si="17"/>
        <v>1.25</v>
      </c>
    </row>
    <row r="33" spans="1:29" s="430" customFormat="1" ht="15">
      <c r="A33" s="427"/>
      <c r="B33" s="381" t="s">
        <v>2386</v>
      </c>
      <c r="C33" s="428">
        <f>'数据-汇总表'!E3</f>
        <v>522.55999999999995</v>
      </c>
      <c r="D33" s="132">
        <v>100</v>
      </c>
      <c r="E33" s="389">
        <v>462</v>
      </c>
      <c r="F33" s="384">
        <f>LOOKUP(E33,103:103,104:104)-LOOKUP(C33,103:103,104:104)+100</f>
        <v>101</v>
      </c>
      <c r="G33" s="388">
        <v>495</v>
      </c>
      <c r="H33" s="132">
        <f>LOOKUP(G33,103:103,104:104)-LOOKUP(C33,103:103,104:104)+100</f>
        <v>101</v>
      </c>
      <c r="I33" s="389">
        <v>288.68</v>
      </c>
      <c r="J33" s="132">
        <f>LOOKUP(I33,103:103,104:104)-LOOKUP(C33,103:103,104:104)+100</f>
        <v>101</v>
      </c>
      <c r="K33" s="2080"/>
      <c r="L33" s="2948"/>
      <c r="M33" s="2950"/>
      <c r="N33" s="2950"/>
      <c r="O33" s="2950"/>
      <c r="P33" s="3286"/>
      <c r="Q33" s="716" t="str">
        <f t="shared" si="11"/>
        <v>项目建筑规模</v>
      </c>
      <c r="R33" s="717" t="s">
        <v>21</v>
      </c>
      <c r="S33" s="718">
        <f t="shared" si="12"/>
        <v>101</v>
      </c>
      <c r="T33" s="717" t="s">
        <v>21</v>
      </c>
      <c r="U33" s="718">
        <f t="shared" si="13"/>
        <v>101</v>
      </c>
      <c r="V33" s="717" t="s">
        <v>21</v>
      </c>
      <c r="W33" s="718">
        <f t="shared" si="14"/>
        <v>101</v>
      </c>
      <c r="X33" s="719"/>
      <c r="Y33" s="3288"/>
      <c r="Z33" s="720" t="str">
        <f t="shared" si="18"/>
        <v>项目建筑规模</v>
      </c>
      <c r="AA33" s="1538">
        <f t="shared" si="15"/>
        <v>0.99009900990099009</v>
      </c>
      <c r="AB33" s="1538">
        <f t="shared" si="16"/>
        <v>0.99009900990099009</v>
      </c>
      <c r="AC33" s="1538">
        <f t="shared" si="17"/>
        <v>0.99009900990099009</v>
      </c>
    </row>
    <row r="34" spans="1:29" ht="15">
      <c r="A34" s="431"/>
      <c r="B34" s="381" t="s">
        <v>2387</v>
      </c>
      <c r="C34" s="2097" t="s">
        <v>3081</v>
      </c>
      <c r="D34" s="394">
        <v>100</v>
      </c>
      <c r="E34" s="2097" t="s">
        <v>3081</v>
      </c>
      <c r="F34" s="420">
        <f>SUMIF(105:105,E34,106:106)-SUMIF(105:105,C34,106:106)+100</f>
        <v>100</v>
      </c>
      <c r="G34" s="2097" t="s">
        <v>3081</v>
      </c>
      <c r="H34" s="394">
        <f>SUMIF(105:105,G34,106:106)-SUMIF(105:105,C34,106:106)+100</f>
        <v>100</v>
      </c>
      <c r="I34" s="2097" t="s">
        <v>3081</v>
      </c>
      <c r="J34" s="394">
        <f>SUMIF(105:105,I34,106:106)-SUMIF(105:105,C34,106:106)+100</f>
        <v>100</v>
      </c>
      <c r="K34" s="385">
        <v>1</v>
      </c>
      <c r="L34" s="2949"/>
      <c r="M34" s="2943"/>
      <c r="N34" s="2943"/>
      <c r="O34" s="2943"/>
      <c r="P34" s="3286"/>
      <c r="Q34" s="1537" t="str">
        <f t="shared" si="11"/>
        <v>建筑结构</v>
      </c>
      <c r="R34" s="714" t="s">
        <v>21</v>
      </c>
      <c r="S34" s="715">
        <f t="shared" si="12"/>
        <v>100</v>
      </c>
      <c r="T34" s="714" t="s">
        <v>21</v>
      </c>
      <c r="U34" s="715">
        <f t="shared" si="13"/>
        <v>100</v>
      </c>
      <c r="V34" s="714" t="s">
        <v>21</v>
      </c>
      <c r="W34" s="715">
        <f t="shared" si="14"/>
        <v>100</v>
      </c>
      <c r="X34" s="1540"/>
      <c r="Y34" s="3288"/>
      <c r="Z34" s="1541" t="str">
        <f t="shared" si="18"/>
        <v>建筑结构</v>
      </c>
      <c r="AA34" s="1538">
        <f t="shared" si="15"/>
        <v>1</v>
      </c>
      <c r="AB34" s="1538">
        <f t="shared" si="16"/>
        <v>1</v>
      </c>
      <c r="AC34" s="1538">
        <f t="shared" si="17"/>
        <v>1</v>
      </c>
    </row>
    <row r="35" spans="1:29" ht="15">
      <c r="A35" s="431"/>
      <c r="B35" s="381" t="s">
        <v>2388</v>
      </c>
      <c r="C35" s="2092" t="s">
        <v>3103</v>
      </c>
      <c r="D35" s="394">
        <v>100</v>
      </c>
      <c r="E35" s="2092" t="s">
        <v>3103</v>
      </c>
      <c r="F35" s="420">
        <f>SUMIF(107:107,E35,108:108)-SUMIF(107:107,C35,108:108)+100</f>
        <v>100</v>
      </c>
      <c r="G35" s="2092" t="s">
        <v>3103</v>
      </c>
      <c r="H35" s="394">
        <f>SUMIF(107:107,G35,108:108)-SUMIF(107:107,C35,108:108)+100</f>
        <v>100</v>
      </c>
      <c r="I35" s="2092" t="s">
        <v>3103</v>
      </c>
      <c r="J35" s="394">
        <f>SUMIF(107:107,I35,108:108)-SUMIF(107:107,C35,108:108)+100</f>
        <v>100</v>
      </c>
      <c r="K35" s="385">
        <v>1</v>
      </c>
      <c r="L35" s="2949"/>
      <c r="M35" s="2943"/>
      <c r="N35" s="2943"/>
      <c r="O35" s="2943"/>
      <c r="P35" s="3286"/>
      <c r="Q35" s="1537" t="str">
        <f t="shared" si="11"/>
        <v>建筑品质</v>
      </c>
      <c r="R35" s="714" t="s">
        <v>21</v>
      </c>
      <c r="S35" s="715">
        <f t="shared" si="12"/>
        <v>100</v>
      </c>
      <c r="T35" s="714" t="s">
        <v>21</v>
      </c>
      <c r="U35" s="715">
        <f t="shared" si="13"/>
        <v>100</v>
      </c>
      <c r="V35" s="714" t="s">
        <v>21</v>
      </c>
      <c r="W35" s="715">
        <f t="shared" si="14"/>
        <v>100</v>
      </c>
      <c r="X35" s="1540"/>
      <c r="Y35" s="3288"/>
      <c r="Z35" s="1541" t="str">
        <f t="shared" si="18"/>
        <v>建筑品质</v>
      </c>
      <c r="AA35" s="1538">
        <f t="shared" si="15"/>
        <v>1</v>
      </c>
      <c r="AB35" s="1538">
        <f t="shared" si="16"/>
        <v>1</v>
      </c>
      <c r="AC35" s="1538">
        <f t="shared" si="17"/>
        <v>1</v>
      </c>
    </row>
    <row r="36" spans="1:29" ht="15">
      <c r="A36" s="431"/>
      <c r="B36" s="381" t="s">
        <v>2389</v>
      </c>
      <c r="C36" s="2092" t="s">
        <v>3105</v>
      </c>
      <c r="D36" s="394">
        <v>100</v>
      </c>
      <c r="E36" s="2092" t="s">
        <v>3105</v>
      </c>
      <c r="F36" s="420">
        <f>SUMIF(109:109,E36,110:110)-SUMIF(109:109,C36,110:110)+100</f>
        <v>100</v>
      </c>
      <c r="G36" s="2092" t="s">
        <v>3105</v>
      </c>
      <c r="H36" s="394">
        <f>SUMIF(109:109,G36,110:110)-SUMIF(109:109,C36,110:110)+100</f>
        <v>100</v>
      </c>
      <c r="I36" s="2092" t="s">
        <v>3105</v>
      </c>
      <c r="J36" s="394">
        <f>SUMIF(109:109,I36,110:110)-SUMIF(109:109,C36,110:110)+100</f>
        <v>100</v>
      </c>
      <c r="K36" s="385">
        <v>2</v>
      </c>
      <c r="L36" s="2949"/>
      <c r="M36" s="2943"/>
      <c r="N36" s="2943"/>
      <c r="O36" s="2943"/>
      <c r="P36" s="3286"/>
      <c r="Q36" s="1537" t="str">
        <f t="shared" si="11"/>
        <v>公共部分装修</v>
      </c>
      <c r="R36" s="714" t="s">
        <v>21</v>
      </c>
      <c r="S36" s="715">
        <f t="shared" si="12"/>
        <v>100</v>
      </c>
      <c r="T36" s="714" t="s">
        <v>21</v>
      </c>
      <c r="U36" s="715">
        <f t="shared" si="13"/>
        <v>100</v>
      </c>
      <c r="V36" s="714" t="s">
        <v>21</v>
      </c>
      <c r="W36" s="715">
        <f t="shared" si="14"/>
        <v>100</v>
      </c>
      <c r="X36" s="1540"/>
      <c r="Y36" s="3288"/>
      <c r="Z36" s="1541" t="str">
        <f t="shared" si="18"/>
        <v>公共部分装修</v>
      </c>
      <c r="AA36" s="1538">
        <f t="shared" si="15"/>
        <v>1</v>
      </c>
      <c r="AB36" s="1538">
        <f t="shared" si="16"/>
        <v>1</v>
      </c>
      <c r="AC36" s="1538">
        <f t="shared" si="17"/>
        <v>1</v>
      </c>
    </row>
    <row r="37" spans="1:29" s="113" customFormat="1" ht="15">
      <c r="A37" s="432"/>
      <c r="B37" s="381" t="s">
        <v>2390</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86"/>
      <c r="Q37" s="1528" t="str">
        <f t="shared" si="11"/>
        <v>成新度</v>
      </c>
      <c r="R37" s="710" t="s">
        <v>21</v>
      </c>
      <c r="S37" s="711">
        <f t="shared" si="12"/>
        <v>100</v>
      </c>
      <c r="T37" s="710" t="s">
        <v>21</v>
      </c>
      <c r="U37" s="711">
        <f t="shared" si="13"/>
        <v>100</v>
      </c>
      <c r="V37" s="710" t="s">
        <v>21</v>
      </c>
      <c r="W37" s="711">
        <f t="shared" si="14"/>
        <v>100</v>
      </c>
      <c r="X37" s="712"/>
      <c r="Y37" s="3288"/>
      <c r="Z37" s="55" t="str">
        <f t="shared" si="18"/>
        <v>成新度</v>
      </c>
      <c r="AA37" s="713">
        <f t="shared" si="15"/>
        <v>1</v>
      </c>
      <c r="AB37" s="713">
        <f t="shared" si="16"/>
        <v>1</v>
      </c>
      <c r="AC37" s="713">
        <f t="shared" si="17"/>
        <v>1</v>
      </c>
    </row>
    <row r="38" spans="1:29" ht="15">
      <c r="A38" s="431"/>
      <c r="B38" s="381" t="s">
        <v>2391</v>
      </c>
      <c r="C38" s="2092" t="s">
        <v>3107</v>
      </c>
      <c r="D38" s="394">
        <v>100</v>
      </c>
      <c r="E38" s="2092" t="s">
        <v>3107</v>
      </c>
      <c r="F38" s="420">
        <f>SUMIF(114:114,E38,115:115)-SUMIF(114:114,C38,115:115)+100</f>
        <v>100</v>
      </c>
      <c r="G38" s="2092" t="s">
        <v>3107</v>
      </c>
      <c r="H38" s="394">
        <f>SUMIF(114:114,G38,115:115)-SUMIF(114:114,C38,115:115)+100</f>
        <v>100</v>
      </c>
      <c r="I38" s="2092" t="s">
        <v>3107</v>
      </c>
      <c r="J38" s="394">
        <f>SUMIF(114:114,I38,115:115)-SUMIF(114:114,C38,115:115)+100</f>
        <v>100</v>
      </c>
      <c r="K38" s="385">
        <v>1</v>
      </c>
      <c r="L38" s="2949"/>
      <c r="M38" s="2943"/>
      <c r="N38" s="2943"/>
      <c r="O38" s="2943"/>
      <c r="P38" s="3286" t="s">
        <v>2385</v>
      </c>
      <c r="Q38" s="1537" t="str">
        <f t="shared" si="11"/>
        <v>物业管理</v>
      </c>
      <c r="R38" s="714" t="s">
        <v>21</v>
      </c>
      <c r="S38" s="715">
        <f t="shared" si="12"/>
        <v>100</v>
      </c>
      <c r="T38" s="714" t="s">
        <v>21</v>
      </c>
      <c r="U38" s="715">
        <f t="shared" si="13"/>
        <v>100</v>
      </c>
      <c r="V38" s="714" t="s">
        <v>21</v>
      </c>
      <c r="W38" s="715">
        <f t="shared" si="14"/>
        <v>100</v>
      </c>
      <c r="X38" s="1540"/>
      <c r="Y38" s="3288" t="s">
        <v>2385</v>
      </c>
      <c r="Z38" s="1541" t="str">
        <f t="shared" si="18"/>
        <v>物业管理</v>
      </c>
      <c r="AA38" s="1538">
        <f t="shared" si="15"/>
        <v>1</v>
      </c>
      <c r="AB38" s="1538">
        <f t="shared" si="16"/>
        <v>1</v>
      </c>
      <c r="AC38" s="1538">
        <f t="shared" si="17"/>
        <v>1</v>
      </c>
    </row>
    <row r="39" spans="1:29" ht="15">
      <c r="A39" s="431"/>
      <c r="B39" s="381" t="s">
        <v>2392</v>
      </c>
      <c r="C39" s="2092" t="s">
        <v>3099</v>
      </c>
      <c r="D39" s="394">
        <v>100</v>
      </c>
      <c r="E39" s="2092" t="s">
        <v>3099</v>
      </c>
      <c r="F39" s="420">
        <f>SUMIF(116:116,E39,117:117)-SUMIF(116:116,C39,117:117)+100</f>
        <v>100</v>
      </c>
      <c r="G39" s="2092" t="s">
        <v>3099</v>
      </c>
      <c r="H39" s="394">
        <f>SUMIF(116:116,G39,117:117)-SUMIF(116:116,C39,117:117)+100</f>
        <v>100</v>
      </c>
      <c r="I39" s="2092" t="s">
        <v>3099</v>
      </c>
      <c r="J39" s="394">
        <f>SUMIF(116:116,I39,117:117)-SUMIF(116:116,C39,117:117)+100</f>
        <v>100</v>
      </c>
      <c r="K39" s="385">
        <v>1</v>
      </c>
      <c r="L39" s="2949"/>
      <c r="M39" s="2943"/>
      <c r="N39" s="2943"/>
      <c r="O39" s="2943"/>
      <c r="P39" s="3286"/>
      <c r="Q39" s="1537" t="str">
        <f t="shared" si="11"/>
        <v>市政基础设施</v>
      </c>
      <c r="R39" s="714" t="s">
        <v>21</v>
      </c>
      <c r="S39" s="715">
        <f t="shared" si="12"/>
        <v>100</v>
      </c>
      <c r="T39" s="714" t="s">
        <v>21</v>
      </c>
      <c r="U39" s="715">
        <f t="shared" si="13"/>
        <v>100</v>
      </c>
      <c r="V39" s="714" t="s">
        <v>21</v>
      </c>
      <c r="W39" s="715">
        <f t="shared" si="14"/>
        <v>100</v>
      </c>
      <c r="X39" s="1540"/>
      <c r="Y39" s="3288"/>
      <c r="Z39" s="1541" t="str">
        <f t="shared" si="18"/>
        <v>市政基础设施</v>
      </c>
      <c r="AA39" s="1538">
        <f t="shared" si="15"/>
        <v>1</v>
      </c>
      <c r="AB39" s="1538">
        <f t="shared" si="16"/>
        <v>1</v>
      </c>
      <c r="AC39" s="1538">
        <f t="shared" si="17"/>
        <v>1</v>
      </c>
    </row>
    <row r="40" spans="1:29" ht="15" hidden="1">
      <c r="A40" s="431"/>
      <c r="B40" s="381" t="s">
        <v>2393</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86"/>
      <c r="Q40" s="1537" t="str">
        <f t="shared" si="11"/>
        <v>房型</v>
      </c>
      <c r="R40" s="714" t="s">
        <v>21</v>
      </c>
      <c r="S40" s="715">
        <f t="shared" si="12"/>
        <v>100</v>
      </c>
      <c r="T40" s="714" t="s">
        <v>21</v>
      </c>
      <c r="U40" s="715">
        <f t="shared" si="13"/>
        <v>100</v>
      </c>
      <c r="V40" s="714" t="s">
        <v>21</v>
      </c>
      <c r="W40" s="715">
        <f t="shared" si="14"/>
        <v>100</v>
      </c>
      <c r="X40" s="1540"/>
      <c r="Y40" s="3288"/>
      <c r="Z40" s="1541" t="str">
        <f t="shared" si="18"/>
        <v>房型</v>
      </c>
      <c r="AA40" s="1538">
        <f t="shared" si="15"/>
        <v>1</v>
      </c>
      <c r="AB40" s="1538">
        <f t="shared" si="16"/>
        <v>1</v>
      </c>
      <c r="AC40" s="1538">
        <f t="shared" si="17"/>
        <v>1</v>
      </c>
    </row>
    <row r="41" spans="1:29" s="430" customFormat="1" ht="28.8" hidden="1">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86"/>
      <c r="Q41" s="716" t="str">
        <f t="shared" si="11"/>
        <v>单套/主力户型建筑面积</v>
      </c>
      <c r="R41" s="717" t="s">
        <v>21</v>
      </c>
      <c r="S41" s="718">
        <f t="shared" si="12"/>
        <v>100</v>
      </c>
      <c r="T41" s="717" t="s">
        <v>21</v>
      </c>
      <c r="U41" s="718">
        <f t="shared" si="13"/>
        <v>100</v>
      </c>
      <c r="V41" s="717" t="s">
        <v>21</v>
      </c>
      <c r="W41" s="718">
        <f t="shared" si="14"/>
        <v>100</v>
      </c>
      <c r="X41" s="719"/>
      <c r="Y41" s="3288"/>
      <c r="Z41" s="720" t="str">
        <f t="shared" si="18"/>
        <v>单套/主力户型建筑面积</v>
      </c>
      <c r="AA41" s="1538">
        <f t="shared" si="15"/>
        <v>1</v>
      </c>
      <c r="AB41" s="1538">
        <f t="shared" si="16"/>
        <v>1</v>
      </c>
      <c r="AC41" s="1538">
        <f t="shared" si="17"/>
        <v>1</v>
      </c>
    </row>
    <row r="42" spans="1:29" ht="15">
      <c r="A42" s="431"/>
      <c r="B42" s="381" t="s">
        <v>2395</v>
      </c>
      <c r="C42" s="2092" t="s">
        <v>3105</v>
      </c>
      <c r="D42" s="394">
        <v>100</v>
      </c>
      <c r="E42" s="2092" t="s">
        <v>3105</v>
      </c>
      <c r="F42" s="420">
        <f>SUMIF(122:122,E42,123:123)-SUMIF(122:122,C42,123:123)+100</f>
        <v>100</v>
      </c>
      <c r="G42" s="2092" t="s">
        <v>3105</v>
      </c>
      <c r="H42" s="394">
        <f>SUMIF(122:122,G42,123:123)-SUMIF(122:122,C42,123:123)+100</f>
        <v>100</v>
      </c>
      <c r="I42" s="2092" t="s">
        <v>3105</v>
      </c>
      <c r="J42" s="394">
        <f>SUMIF(122:122,I42,123:123)-SUMIF(122:122,C42,123:123)+100</f>
        <v>100</v>
      </c>
      <c r="K42" s="385">
        <v>2</v>
      </c>
      <c r="L42" s="2949"/>
      <c r="M42" s="2943">
        <f>I47*0.02</f>
        <v>2802.76</v>
      </c>
      <c r="N42" s="2943">
        <v>1500</v>
      </c>
      <c r="O42" s="2943"/>
      <c r="P42" s="3286"/>
      <c r="Q42" s="1537" t="str">
        <f t="shared" si="11"/>
        <v>内部装修</v>
      </c>
      <c r="R42" s="714" t="s">
        <v>21</v>
      </c>
      <c r="S42" s="715">
        <f t="shared" si="12"/>
        <v>100</v>
      </c>
      <c r="T42" s="714" t="s">
        <v>21</v>
      </c>
      <c r="U42" s="715">
        <f t="shared" si="13"/>
        <v>100</v>
      </c>
      <c r="V42" s="714" t="s">
        <v>21</v>
      </c>
      <c r="W42" s="715">
        <f t="shared" si="14"/>
        <v>100</v>
      </c>
      <c r="X42" s="1540"/>
      <c r="Y42" s="3288"/>
      <c r="Z42" s="1541" t="str">
        <f t="shared" si="18"/>
        <v>内部装修</v>
      </c>
      <c r="AA42" s="1538">
        <f t="shared" si="15"/>
        <v>1</v>
      </c>
      <c r="AB42" s="1538">
        <f t="shared" si="16"/>
        <v>1</v>
      </c>
      <c r="AC42" s="1538">
        <f t="shared" si="17"/>
        <v>1</v>
      </c>
    </row>
    <row r="43" spans="1:29" ht="28.8">
      <c r="A43" s="431"/>
      <c r="B43" s="381" t="s">
        <v>2396</v>
      </c>
      <c r="C43" s="2092" t="s">
        <v>3098</v>
      </c>
      <c r="D43" s="394">
        <v>100</v>
      </c>
      <c r="E43" s="2092" t="s">
        <v>3098</v>
      </c>
      <c r="F43" s="420">
        <f>SUMIF(124:124,E43,125:125)-SUMIF(124:124,C43,125:125)+100</f>
        <v>100</v>
      </c>
      <c r="G43" s="2092" t="s">
        <v>3098</v>
      </c>
      <c r="H43" s="394">
        <f>SUMIF(124:124,G43,125:125)-SUMIF(124:124,C43,125:125)+100</f>
        <v>100</v>
      </c>
      <c r="I43" s="2092" t="s">
        <v>3098</v>
      </c>
      <c r="J43" s="394">
        <f>SUMIF(124:124,I43,125:125)-SUMIF(124:124,C43,125:125)+100</f>
        <v>100</v>
      </c>
      <c r="K43" s="385">
        <v>2</v>
      </c>
      <c r="L43" s="2949"/>
      <c r="M43" s="2943">
        <f>N43-N42</f>
        <v>3000</v>
      </c>
      <c r="N43" s="2943">
        <v>4500</v>
      </c>
      <c r="O43" s="2943"/>
      <c r="P43" s="3286"/>
      <c r="Q43" s="1537" t="str">
        <f t="shared" si="11"/>
        <v>内部装修维护情况</v>
      </c>
      <c r="R43" s="714" t="s">
        <v>21</v>
      </c>
      <c r="S43" s="715">
        <f t="shared" si="12"/>
        <v>100</v>
      </c>
      <c r="T43" s="714" t="s">
        <v>21</v>
      </c>
      <c r="U43" s="715">
        <f t="shared" si="13"/>
        <v>100</v>
      </c>
      <c r="V43" s="714" t="s">
        <v>21</v>
      </c>
      <c r="W43" s="715">
        <f t="shared" si="14"/>
        <v>100</v>
      </c>
      <c r="X43" s="1540"/>
      <c r="Y43" s="3288"/>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86"/>
      <c r="Q44" s="1528">
        <f t="shared" si="11"/>
        <v>111</v>
      </c>
      <c r="R44" s="710" t="s">
        <v>21</v>
      </c>
      <c r="S44" s="711">
        <f t="shared" si="12"/>
        <v>100</v>
      </c>
      <c r="T44" s="710" t="s">
        <v>21</v>
      </c>
      <c r="U44" s="711">
        <f t="shared" si="13"/>
        <v>100</v>
      </c>
      <c r="V44" s="710" t="s">
        <v>21</v>
      </c>
      <c r="W44" s="711">
        <f t="shared" si="14"/>
        <v>100</v>
      </c>
      <c r="X44" s="712"/>
      <c r="Y44" s="32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86"/>
      <c r="Q45" s="1537">
        <f t="shared" si="11"/>
        <v>111</v>
      </c>
      <c r="R45" s="714" t="s">
        <v>21</v>
      </c>
      <c r="S45" s="715">
        <f t="shared" si="12"/>
        <v>100</v>
      </c>
      <c r="T45" s="714" t="s">
        <v>21</v>
      </c>
      <c r="U45" s="715">
        <f t="shared" si="13"/>
        <v>100</v>
      </c>
      <c r="V45" s="714" t="s">
        <v>21</v>
      </c>
      <c r="W45" s="715">
        <f t="shared" si="14"/>
        <v>100</v>
      </c>
      <c r="X45" s="1540"/>
      <c r="Y45" s="3288"/>
      <c r="Z45" s="1541">
        <f t="shared" si="18"/>
        <v>111</v>
      </c>
      <c r="AA45" s="1538">
        <f t="shared" si="15"/>
        <v>1</v>
      </c>
      <c r="AB45" s="1538">
        <f t="shared" si="16"/>
        <v>1</v>
      </c>
      <c r="AC45" s="1538">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87"/>
      <c r="Q46" s="1537">
        <f t="shared" si="11"/>
        <v>111</v>
      </c>
      <c r="R46" s="714" t="s">
        <v>20</v>
      </c>
      <c r="S46" s="715">
        <f t="shared" si="12"/>
        <v>100</v>
      </c>
      <c r="T46" s="714" t="s">
        <v>20</v>
      </c>
      <c r="U46" s="715">
        <f t="shared" si="13"/>
        <v>100</v>
      </c>
      <c r="V46" s="714" t="s">
        <v>20</v>
      </c>
      <c r="W46" s="715">
        <f t="shared" si="14"/>
        <v>100</v>
      </c>
      <c r="X46" s="1540"/>
      <c r="Y46" s="3289"/>
      <c r="Z46" s="1541">
        <f t="shared" si="18"/>
        <v>111</v>
      </c>
      <c r="AA46" s="1538">
        <f t="shared" si="15"/>
        <v>1</v>
      </c>
      <c r="AB46" s="1538">
        <f t="shared" si="16"/>
        <v>1</v>
      </c>
      <c r="AC46" s="1538">
        <f t="shared" si="17"/>
        <v>1</v>
      </c>
    </row>
    <row r="47" spans="1:29" ht="14.4">
      <c r="A47" s="438" t="s">
        <v>2397</v>
      </c>
      <c r="B47" s="439"/>
      <c r="C47" s="1316" t="s">
        <v>19</v>
      </c>
      <c r="D47" s="1317"/>
      <c r="E47" s="1318">
        <f>ROUND(E50/E33*10000*B50,0)</f>
        <v>177143</v>
      </c>
      <c r="F47" s="1319"/>
      <c r="G47" s="1320">
        <f>ROUND(G50/G33*10000*B50,0)</f>
        <v>167212</v>
      </c>
      <c r="H47" s="1321"/>
      <c r="I47" s="1318">
        <f>ROUND(150686*B50,0)</f>
        <v>140138</v>
      </c>
      <c r="J47" s="1321"/>
      <c r="K47" s="2098"/>
      <c r="L47" s="2951"/>
      <c r="M47" s="2952"/>
      <c r="N47" s="2943"/>
      <c r="O47" s="2952"/>
      <c r="P47" s="3281" t="str">
        <f>A47</f>
        <v>成交单价（元/平方米）</v>
      </c>
      <c r="Q47" s="3281"/>
      <c r="R47" s="3282">
        <f>E47</f>
        <v>177143</v>
      </c>
      <c r="S47" s="3282"/>
      <c r="T47" s="3282">
        <f>G47</f>
        <v>167212</v>
      </c>
      <c r="U47" s="3282"/>
      <c r="V47" s="3282">
        <f>I47</f>
        <v>140138</v>
      </c>
      <c r="W47" s="3282"/>
      <c r="X47" s="699"/>
      <c r="Y47" s="721"/>
      <c r="Z47" s="699"/>
      <c r="AA47" s="699"/>
      <c r="AB47" s="699"/>
      <c r="AC47" s="699"/>
    </row>
    <row r="48" spans="1:29" ht="15" thickBot="1">
      <c r="A48" s="445" t="s">
        <v>2398</v>
      </c>
      <c r="B48" s="446"/>
      <c r="C48" s="1322">
        <f>R49</f>
        <v>171461</v>
      </c>
      <c r="D48" s="2536" t="s">
        <v>2878</v>
      </c>
      <c r="E48" s="1323">
        <f>R48</f>
        <v>175389</v>
      </c>
      <c r="F48" s="2537"/>
      <c r="G48" s="1322">
        <f>T48</f>
        <v>165556</v>
      </c>
      <c r="H48" s="2537"/>
      <c r="I48" s="1323">
        <f>V48</f>
        <v>173438</v>
      </c>
      <c r="J48" s="2537"/>
      <c r="K48" s="2538">
        <f>F48+H48+J48</f>
        <v>0</v>
      </c>
      <c r="L48" s="2951"/>
      <c r="M48" s="2952">
        <v>50000</v>
      </c>
      <c r="N48" s="2952"/>
      <c r="O48" s="2952"/>
      <c r="P48" s="3281" t="str">
        <f>A48</f>
        <v>比较价值（元/平方米）</v>
      </c>
      <c r="Q48" s="3281"/>
      <c r="R48" s="3282">
        <f>IF(F1="售价",ROUND(PRODUCT(R47,AA7:AA46),0),ROUND(PRODUCT(R47,AA7:AA46),1))</f>
        <v>175389</v>
      </c>
      <c r="S48" s="3282"/>
      <c r="T48" s="3282">
        <f>IF(F1="售价",ROUND(PRODUCT(T47,AB7:AB46),0),ROUND(PRODUCT(T47,AB7:AB46),1))</f>
        <v>165556</v>
      </c>
      <c r="U48" s="3282"/>
      <c r="V48" s="3282">
        <f>IF(F1="售价",ROUND(PRODUCT(V47,AC7:AC46),0),ROUND(PRODUCT(V47,AC7:AC46),1))</f>
        <v>173438</v>
      </c>
      <c r="W48" s="3282"/>
      <c r="X48" s="699"/>
      <c r="Y48" s="699"/>
      <c r="Z48" s="699"/>
      <c r="AA48" s="699"/>
      <c r="AB48" s="699"/>
      <c r="AC48" s="699"/>
    </row>
    <row r="49" spans="1:29" ht="15" thickBot="1">
      <c r="A49" s="449" t="s">
        <v>2399</v>
      </c>
      <c r="B49" s="450"/>
      <c r="C49" s="1324">
        <f>R49</f>
        <v>171461</v>
      </c>
      <c r="D49" s="1325"/>
      <c r="E49" s="1325"/>
      <c r="F49" s="1325"/>
      <c r="G49" s="1325"/>
      <c r="H49" s="1325"/>
      <c r="I49" s="1325"/>
      <c r="J49" s="1325"/>
      <c r="K49" s="2099"/>
      <c r="L49" s="2951"/>
      <c r="M49" s="2952">
        <v>40000</v>
      </c>
      <c r="N49" s="2952"/>
      <c r="O49" s="2952"/>
      <c r="P49" s="3278" t="str">
        <f>A49</f>
        <v>估价对象XX用房的比较价值（楼面单价，元/平方米）</v>
      </c>
      <c r="Q49" s="3279"/>
      <c r="R49" s="3280">
        <f>IF(F1="售价",ROUND(IF(D48="简单平均",AVERAGE(R48:V48),R48*F48+T48*H48+V48*J48),0),ROUND(IF(D48="简单平均",AVERAGE(R48:V48),R48*F48+T48*H48+V48*J48),1))</f>
        <v>171461</v>
      </c>
      <c r="S49" s="3280"/>
      <c r="T49" s="3280"/>
      <c r="U49" s="3280"/>
      <c r="V49" s="3280"/>
      <c r="W49" s="3280"/>
      <c r="X49" s="699"/>
      <c r="Y49" s="699"/>
      <c r="Z49" s="699"/>
      <c r="AA49" s="699"/>
      <c r="AB49" s="699"/>
      <c r="AC49" s="699"/>
    </row>
    <row r="50" spans="1:29">
      <c r="A50" s="2952"/>
      <c r="B50" s="2952">
        <v>0.93</v>
      </c>
      <c r="C50" s="2952"/>
      <c r="D50" s="2952"/>
      <c r="E50" s="2952">
        <v>8800</v>
      </c>
      <c r="F50" s="2952"/>
      <c r="G50" s="3053">
        <v>8900</v>
      </c>
      <c r="H50" s="2952"/>
      <c r="I50" s="2952"/>
      <c r="J50" s="2952"/>
      <c r="K50" s="2957"/>
      <c r="L50" s="2953"/>
      <c r="M50" s="2952">
        <f>M48/M49</f>
        <v>1.25</v>
      </c>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f>IF(E47&lt;E48,E48/E47-1,E47/E48-1)</f>
        <v>1.000062717730299E-2</v>
      </c>
      <c r="F52" s="457" t="str">
        <f>IF(OR(E52&gt;=0.3,E52&lt;=-0.3),"超过30%","")</f>
        <v/>
      </c>
      <c r="G52" s="456">
        <f>IF(G47&lt;G48,G48/G47-1,G47/G48-1)</f>
        <v>1.0002657710985963E-2</v>
      </c>
      <c r="H52" s="457" t="str">
        <f>IF(OR(G52&gt;=0.3,G52&lt;=-0.3),"超过30%","")</f>
        <v/>
      </c>
      <c r="I52" s="456">
        <f>IF(I47&lt;I48,I48/I47-1,I47/I48-1)</f>
        <v>0.23762291455565232</v>
      </c>
      <c r="J52" s="457" t="str">
        <f>IF(OR(I52&gt;=0.3,I52&lt;=-0.3),"超过30%","")</f>
        <v/>
      </c>
      <c r="K52" s="2957"/>
      <c r="L52" s="2953"/>
      <c r="M52" s="2952"/>
      <c r="N52" s="2952"/>
      <c r="O52" s="2952"/>
    </row>
    <row r="53" spans="1:29" ht="13.5" customHeight="1">
      <c r="A53" s="2952"/>
      <c r="B53" s="2952"/>
      <c r="C53" s="454" t="s">
        <v>2401</v>
      </c>
      <c r="D53" s="458"/>
      <c r="E53" s="456">
        <f>IF(E48&lt;G48,G48/E48-1,E48/G48-1)</f>
        <v>5.9393800285099996E-2</v>
      </c>
      <c r="F53" s="457" t="str">
        <f>IF(OR(E53&gt;=0.2,E53&lt;=-0.2),"超过20%","")</f>
        <v/>
      </c>
      <c r="G53" s="456">
        <f>IF(G48&lt;I48,I48/G48-1,G48/I48-1)</f>
        <v>4.7609268163038454E-2</v>
      </c>
      <c r="H53" s="457" t="str">
        <f>IF(OR(G53&gt;=0.2,G53&lt;=-0.2),"超过20%","")</f>
        <v/>
      </c>
      <c r="I53" s="456">
        <f>IF(I48&lt;E48,E48/I48-1,I48/E48-1)</f>
        <v>1.1248976579526948E-2</v>
      </c>
      <c r="J53" s="457" t="str">
        <f>IF(OR(I53&gt;=0.2,I53&lt;=-0.2),"超过20%","")</f>
        <v/>
      </c>
      <c r="K53" s="2957"/>
      <c r="L53" s="2953"/>
      <c r="M53" s="2952"/>
      <c r="N53" s="2952"/>
      <c r="O53" s="2952"/>
    </row>
    <row r="54" spans="1:29" s="459" customFormat="1" ht="13.5" customHeight="1">
      <c r="A54" s="2955"/>
      <c r="B54" s="2955"/>
      <c r="C54" s="454" t="s">
        <v>2402</v>
      </c>
      <c r="D54" s="458"/>
      <c r="E54" s="456">
        <f>IF(E47&lt;G47,G47/E47-1,E47/G47-1)</f>
        <v>5.9391670454273626E-2</v>
      </c>
      <c r="F54" s="457" t="str">
        <f>IF(OR(E54&gt;=0.3,E54&lt;=-0.3),"超过30%","")</f>
        <v/>
      </c>
      <c r="G54" s="456">
        <f>IF(G47&lt;I47,I47/G47-1,G47/I47-1)</f>
        <v>0.19319527893933119</v>
      </c>
      <c r="H54" s="457" t="str">
        <f>IF(OR(G54&gt;=0.3,G54&lt;=-0.3),"超过30%","")</f>
        <v/>
      </c>
      <c r="I54" s="456">
        <f>IF(I47&lt;E47,E47/I47-1,I47/E47-1)</f>
        <v>0.26406113973369116</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2.2" thickBot="1">
      <c r="A57" s="703" t="s">
        <v>2403</v>
      </c>
      <c r="B57" s="699"/>
      <c r="C57" s="704"/>
      <c r="D57" s="704"/>
      <c r="E57" s="704"/>
      <c r="F57" s="705"/>
      <c r="G57" s="705"/>
      <c r="H57" s="704"/>
      <c r="I57" s="704"/>
      <c r="J57" s="704"/>
      <c r="K57" s="1072"/>
      <c r="L57" s="1073"/>
      <c r="M57" s="1071"/>
      <c r="N57" s="1071"/>
      <c r="O57" s="1071"/>
      <c r="P57" s="2102"/>
      <c r="Q57" s="461"/>
    </row>
    <row r="58" spans="1:29" s="465" customFormat="1" ht="14.4">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c r="A59" s="466"/>
      <c r="B59" s="2103"/>
      <c r="C59" s="1345">
        <v>100</v>
      </c>
      <c r="D59" s="468"/>
      <c r="E59" s="469"/>
      <c r="F59" s="469"/>
      <c r="G59" s="469"/>
      <c r="H59" s="469"/>
      <c r="I59" s="469"/>
      <c r="J59" s="469"/>
      <c r="K59" s="469"/>
      <c r="L59" s="469"/>
      <c r="M59" s="470"/>
      <c r="N59" s="469"/>
      <c r="O59" s="470"/>
      <c r="P59" s="2104"/>
    </row>
    <row r="60" spans="1:29" s="113" customFormat="1" ht="15" thickBot="1">
      <c r="A60" s="472" t="s">
        <v>2405</v>
      </c>
      <c r="B60" s="473"/>
      <c r="C60" s="474"/>
      <c r="D60" s="475"/>
      <c r="E60" s="475"/>
      <c r="F60" s="475"/>
      <c r="G60" s="475"/>
      <c r="H60" s="475"/>
      <c r="I60" s="475"/>
      <c r="J60" s="475"/>
      <c r="K60" s="475"/>
      <c r="L60" s="475"/>
      <c r="M60" s="476"/>
      <c r="N60" s="475"/>
      <c r="O60" s="476"/>
      <c r="P60" s="2104"/>
      <c r="Q60" s="461"/>
    </row>
    <row r="61" spans="1:29" s="113" customFormat="1" ht="14.4">
      <c r="A61" s="478" t="s">
        <v>2406</v>
      </c>
      <c r="B61" s="467"/>
      <c r="C61" s="479" t="s">
        <v>2407</v>
      </c>
      <c r="D61" s="480"/>
      <c r="E61" s="480"/>
      <c r="F61" s="480"/>
      <c r="G61" s="480"/>
      <c r="H61" s="480"/>
      <c r="I61" s="480"/>
      <c r="J61" s="480"/>
      <c r="K61" s="480"/>
      <c r="L61" s="481"/>
      <c r="M61" s="482"/>
      <c r="N61" s="1063"/>
      <c r="O61" s="1063"/>
      <c r="P61" s="2105"/>
      <c r="Q61" s="461"/>
    </row>
    <row r="62" spans="1:29" s="113" customFormat="1" ht="14.4" thickBot="1">
      <c r="A62" s="478"/>
      <c r="B62" s="467"/>
      <c r="C62" s="468">
        <v>100</v>
      </c>
      <c r="D62" s="469"/>
      <c r="E62" s="469"/>
      <c r="F62" s="469"/>
      <c r="G62" s="469"/>
      <c r="H62" s="469"/>
      <c r="I62" s="469"/>
      <c r="J62" s="469"/>
      <c r="K62" s="469"/>
      <c r="L62" s="469"/>
      <c r="M62" s="471"/>
      <c r="N62" s="1063"/>
      <c r="O62" s="1063"/>
      <c r="P62" s="2104"/>
      <c r="Q62" s="461"/>
    </row>
    <row r="63" spans="1:29" ht="14.4">
      <c r="A63" s="484" t="s">
        <v>2408</v>
      </c>
      <c r="B63" s="485" t="s">
        <v>2374</v>
      </c>
      <c r="C63" s="486" t="str">
        <f>C9</f>
        <v>住宅</v>
      </c>
      <c r="D63" s="487"/>
      <c r="E63" s="487"/>
      <c r="F63" s="487"/>
      <c r="G63" s="487"/>
      <c r="H63" s="487"/>
      <c r="I63" s="487"/>
      <c r="J63" s="487"/>
      <c r="K63" s="488"/>
      <c r="L63" s="489"/>
      <c r="M63" s="490"/>
      <c r="N63" s="1064"/>
      <c r="O63" s="1064"/>
      <c r="P63" s="2106"/>
      <c r="Q63" s="461"/>
    </row>
    <row r="64" spans="1:29" ht="14.4" thickBot="1">
      <c r="A64" s="491"/>
      <c r="B64" s="492"/>
      <c r="C64" s="493">
        <v>100</v>
      </c>
      <c r="D64" s="493"/>
      <c r="E64" s="493"/>
      <c r="F64" s="493"/>
      <c r="G64" s="493"/>
      <c r="H64" s="493"/>
      <c r="I64" s="493"/>
      <c r="J64" s="493"/>
      <c r="K64" s="493"/>
      <c r="L64" s="493"/>
      <c r="M64" s="494"/>
      <c r="N64" s="1065"/>
      <c r="O64" s="1065"/>
      <c r="P64" s="2106"/>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4.4"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 thickTop="1">
      <c r="A67" s="491"/>
      <c r="B67" s="503" t="s">
        <v>2378</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c r="A68" s="491"/>
      <c r="B68" s="505"/>
      <c r="C68" s="506">
        <v>0</v>
      </c>
      <c r="D68" s="506">
        <v>1</v>
      </c>
      <c r="E68" s="506">
        <v>2</v>
      </c>
      <c r="F68" s="506">
        <v>3</v>
      </c>
      <c r="G68" s="506"/>
      <c r="H68" s="506"/>
      <c r="I68" s="506"/>
      <c r="J68" s="506"/>
      <c r="K68" s="507"/>
      <c r="L68" s="508"/>
      <c r="M68" s="509"/>
      <c r="N68" s="1064"/>
      <c r="O68" s="1064"/>
      <c r="P68" s="210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4.4" thickTop="1">
      <c r="A70" s="510"/>
      <c r="B70" s="495">
        <f>B12</f>
        <v>111</v>
      </c>
      <c r="C70" s="511"/>
      <c r="D70" s="511"/>
      <c r="E70" s="511"/>
      <c r="F70" s="511"/>
      <c r="G70" s="511"/>
      <c r="H70" s="512"/>
      <c r="I70" s="512"/>
      <c r="J70" s="512"/>
      <c r="K70" s="512"/>
      <c r="L70" s="513"/>
      <c r="M70" s="514"/>
      <c r="N70" s="1066"/>
      <c r="O70" s="1066"/>
      <c r="P70" s="2107"/>
      <c r="Q70" s="516"/>
    </row>
    <row r="71" spans="1:17" s="430" customFormat="1" ht="14.4" thickBot="1">
      <c r="A71" s="510"/>
      <c r="B71" s="500"/>
      <c r="C71" s="517"/>
      <c r="D71" s="493"/>
      <c r="E71" s="493"/>
      <c r="F71" s="493"/>
      <c r="G71" s="493"/>
      <c r="H71" s="493"/>
      <c r="I71" s="493"/>
      <c r="J71" s="493"/>
      <c r="K71" s="493"/>
      <c r="L71" s="493"/>
      <c r="M71" s="494"/>
      <c r="N71" s="1065"/>
      <c r="O71" s="1065"/>
      <c r="P71" s="2107"/>
      <c r="Q71" s="516"/>
    </row>
    <row r="72" spans="1:17" s="430" customFormat="1" ht="14.4" thickTop="1">
      <c r="A72" s="510"/>
      <c r="B72" s="495">
        <f>B13</f>
        <v>111</v>
      </c>
      <c r="C72" s="511"/>
      <c r="D72" s="511"/>
      <c r="E72" s="511"/>
      <c r="F72" s="511"/>
      <c r="G72" s="511"/>
      <c r="H72" s="512"/>
      <c r="I72" s="512"/>
      <c r="J72" s="512"/>
      <c r="K72" s="512"/>
      <c r="L72" s="513"/>
      <c r="M72" s="514"/>
      <c r="N72" s="1066"/>
      <c r="O72" s="1066"/>
      <c r="P72" s="2108"/>
      <c r="Q72" s="518"/>
    </row>
    <row r="73" spans="1:17" s="430" customFormat="1" ht="14.4" thickBot="1">
      <c r="A73" s="510"/>
      <c r="B73" s="500"/>
      <c r="C73" s="517"/>
      <c r="D73" s="517"/>
      <c r="E73" s="517"/>
      <c r="F73" s="517"/>
      <c r="G73" s="517"/>
      <c r="H73" s="519"/>
      <c r="I73" s="519"/>
      <c r="J73" s="519"/>
      <c r="K73" s="519"/>
      <c r="L73" s="519"/>
      <c r="M73" s="520"/>
      <c r="N73" s="1066"/>
      <c r="O73" s="1066"/>
      <c r="P73" s="2107"/>
      <c r="Q73" s="516"/>
    </row>
    <row r="74" spans="1:17" s="430" customFormat="1" ht="14.4" thickTop="1">
      <c r="A74" s="510"/>
      <c r="B74" s="503">
        <f>B14</f>
        <v>111</v>
      </c>
      <c r="C74" s="511"/>
      <c r="D74" s="511"/>
      <c r="E74" s="511"/>
      <c r="F74" s="511"/>
      <c r="G74" s="480"/>
      <c r="H74" s="521"/>
      <c r="I74" s="521"/>
      <c r="J74" s="521"/>
      <c r="K74" s="521"/>
      <c r="L74" s="522"/>
      <c r="M74" s="523"/>
      <c r="N74" s="1066"/>
      <c r="O74" s="1066"/>
      <c r="P74" s="2109"/>
      <c r="Q74" s="516"/>
    </row>
    <row r="75" spans="1:17" s="430" customFormat="1" ht="14.4" thickBot="1">
      <c r="A75" s="525"/>
      <c r="B75" s="526"/>
      <c r="C75" s="527"/>
      <c r="D75" s="527"/>
      <c r="E75" s="527"/>
      <c r="F75" s="527"/>
      <c r="G75" s="527"/>
      <c r="H75" s="528"/>
      <c r="I75" s="528"/>
      <c r="J75" s="528"/>
      <c r="K75" s="528"/>
      <c r="L75" s="528"/>
      <c r="M75" s="529"/>
      <c r="N75" s="1066"/>
      <c r="O75" s="1066"/>
      <c r="P75" s="2107"/>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4.4"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4.4"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4.4"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4.4"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4.4"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 thickTop="1">
      <c r="A86" s="536"/>
      <c r="B86" s="495" t="s">
        <v>2430</v>
      </c>
      <c r="C86" s="511"/>
      <c r="D86" s="511"/>
      <c r="E86" s="511"/>
      <c r="F86" s="511"/>
      <c r="G86" s="511"/>
      <c r="H86" s="511"/>
      <c r="I86" s="511"/>
      <c r="J86" s="511"/>
      <c r="K86" s="511"/>
      <c r="L86" s="537"/>
      <c r="M86" s="538"/>
      <c r="N86" s="1063"/>
      <c r="O86" s="1063"/>
      <c r="P86" s="210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 thickTop="1">
      <c r="A88" s="536"/>
      <c r="B88" s="495" t="s">
        <v>2431</v>
      </c>
      <c r="C88" s="511"/>
      <c r="D88" s="511"/>
      <c r="E88" s="511"/>
      <c r="F88" s="2111"/>
      <c r="G88" s="511"/>
      <c r="H88" s="511"/>
      <c r="I88" s="511"/>
      <c r="J88" s="511"/>
      <c r="K88" s="511"/>
      <c r="L88" s="511"/>
      <c r="M88" s="538"/>
      <c r="N88" s="1063"/>
      <c r="O88" s="1063"/>
      <c r="P88" s="210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4.4" thickTop="1">
      <c r="A90" s="510"/>
      <c r="B90" s="495">
        <f>B27</f>
        <v>111</v>
      </c>
      <c r="C90" s="511"/>
      <c r="D90" s="511"/>
      <c r="E90" s="511"/>
      <c r="F90" s="511"/>
      <c r="G90" s="511"/>
      <c r="H90" s="512"/>
      <c r="I90" s="512"/>
      <c r="J90" s="512"/>
      <c r="K90" s="512"/>
      <c r="L90" s="513"/>
      <c r="M90" s="514"/>
      <c r="N90" s="1066"/>
      <c r="O90" s="1066"/>
      <c r="P90" s="2107"/>
      <c r="Q90" s="516"/>
    </row>
    <row r="91" spans="1:17" s="430" customFormat="1" ht="14.4" thickBot="1">
      <c r="A91" s="510"/>
      <c r="B91" s="500"/>
      <c r="C91" s="517"/>
      <c r="D91" s="517"/>
      <c r="E91" s="517"/>
      <c r="F91" s="517"/>
      <c r="G91" s="517"/>
      <c r="H91" s="519"/>
      <c r="I91" s="519"/>
      <c r="J91" s="519"/>
      <c r="K91" s="519"/>
      <c r="L91" s="519"/>
      <c r="M91" s="520"/>
      <c r="N91" s="1066"/>
      <c r="O91" s="1066"/>
      <c r="P91" s="2107"/>
      <c r="Q91" s="516"/>
    </row>
    <row r="92" spans="1:17" ht="14.4" thickTop="1">
      <c r="A92" s="491"/>
      <c r="B92" s="495">
        <f>B28</f>
        <v>111</v>
      </c>
      <c r="C92" s="511"/>
      <c r="D92" s="511"/>
      <c r="E92" s="511"/>
      <c r="F92" s="511"/>
      <c r="G92" s="540"/>
      <c r="H92" s="540"/>
      <c r="I92" s="540"/>
      <c r="J92" s="540"/>
      <c r="K92" s="541"/>
      <c r="L92" s="542"/>
      <c r="M92" s="543"/>
      <c r="N92" s="1064"/>
      <c r="O92" s="1064"/>
      <c r="P92" s="2106"/>
      <c r="Q92" s="461"/>
    </row>
    <row r="93" spans="1:17" ht="14.4" thickBot="1">
      <c r="A93" s="491"/>
      <c r="B93" s="500"/>
      <c r="C93" s="517"/>
      <c r="D93" s="493"/>
      <c r="E93" s="493"/>
      <c r="F93" s="493"/>
      <c r="G93" s="493"/>
      <c r="H93" s="493"/>
      <c r="I93" s="493"/>
      <c r="J93" s="493"/>
      <c r="K93" s="493"/>
      <c r="L93" s="493"/>
      <c r="M93" s="494"/>
      <c r="N93" s="1065"/>
      <c r="O93" s="1065"/>
      <c r="P93" s="2106"/>
      <c r="Q93" s="461"/>
    </row>
    <row r="94" spans="1:17" ht="14.4" thickTop="1">
      <c r="A94" s="491"/>
      <c r="B94" s="495">
        <f>B29</f>
        <v>111</v>
      </c>
      <c r="C94" s="511"/>
      <c r="D94" s="511"/>
      <c r="E94" s="511"/>
      <c r="F94" s="511"/>
      <c r="G94" s="540"/>
      <c r="H94" s="540"/>
      <c r="I94" s="540"/>
      <c r="J94" s="540"/>
      <c r="K94" s="541"/>
      <c r="L94" s="542"/>
      <c r="M94" s="543"/>
      <c r="N94" s="1064"/>
      <c r="O94" s="1064"/>
      <c r="P94" s="2106"/>
      <c r="Q94" s="461"/>
    </row>
    <row r="95" spans="1:17" ht="14.4" thickBot="1">
      <c r="A95" s="491"/>
      <c r="B95" s="500"/>
      <c r="C95" s="517"/>
      <c r="D95" s="517"/>
      <c r="E95" s="517"/>
      <c r="F95" s="517"/>
      <c r="G95" s="493"/>
      <c r="H95" s="493"/>
      <c r="I95" s="493"/>
      <c r="J95" s="493"/>
      <c r="K95" s="493"/>
      <c r="L95" s="493"/>
      <c r="M95" s="494"/>
      <c r="N95" s="1065"/>
      <c r="O95" s="1065"/>
      <c r="P95" s="2106"/>
      <c r="Q95" s="461"/>
    </row>
    <row r="96" spans="1:17" ht="14.4" thickTop="1">
      <c r="A96" s="491"/>
      <c r="B96" s="495">
        <f>B30</f>
        <v>111</v>
      </c>
      <c r="C96" s="511"/>
      <c r="D96" s="511"/>
      <c r="E96" s="511"/>
      <c r="F96" s="511"/>
      <c r="G96" s="540"/>
      <c r="H96" s="540"/>
      <c r="I96" s="540"/>
      <c r="J96" s="540"/>
      <c r="K96" s="541"/>
      <c r="L96" s="542"/>
      <c r="M96" s="543"/>
      <c r="N96" s="1064"/>
      <c r="O96" s="1064"/>
      <c r="P96" s="2106"/>
      <c r="Q96" s="461"/>
    </row>
    <row r="97" spans="1:17" ht="14.4" thickBot="1">
      <c r="A97" s="491"/>
      <c r="B97" s="500"/>
      <c r="C97" s="527"/>
      <c r="D97" s="527"/>
      <c r="E97" s="527"/>
      <c r="F97" s="527"/>
      <c r="G97" s="493"/>
      <c r="H97" s="493"/>
      <c r="I97" s="493"/>
      <c r="J97" s="493"/>
      <c r="K97" s="493"/>
      <c r="L97" s="493"/>
      <c r="M97" s="494"/>
      <c r="N97" s="1065"/>
      <c r="O97" s="1065"/>
      <c r="P97" s="2106"/>
      <c r="Q97" s="461"/>
    </row>
    <row r="98" spans="1:17" ht="14.4" thickTop="1">
      <c r="A98" s="491"/>
      <c r="B98" s="503">
        <f>B31</f>
        <v>111</v>
      </c>
      <c r="C98" s="544"/>
      <c r="D98" s="544"/>
      <c r="E98" s="544"/>
      <c r="F98" s="544"/>
      <c r="G98" s="544"/>
      <c r="H98" s="544"/>
      <c r="I98" s="544"/>
      <c r="J98" s="544"/>
      <c r="K98" s="545"/>
      <c r="L98" s="546"/>
      <c r="M98" s="547"/>
      <c r="N98" s="1064"/>
      <c r="O98" s="1064"/>
      <c r="P98" s="2106"/>
      <c r="Q98" s="461"/>
    </row>
    <row r="99" spans="1:17" ht="14.4" thickBot="1">
      <c r="A99" s="2112"/>
      <c r="B99" s="526"/>
      <c r="C99" s="548"/>
      <c r="D99" s="548"/>
      <c r="E99" s="548"/>
      <c r="F99" s="548"/>
      <c r="G99" s="548"/>
      <c r="H99" s="548"/>
      <c r="I99" s="548"/>
      <c r="J99" s="548"/>
      <c r="K99" s="548"/>
      <c r="L99" s="548"/>
      <c r="M99" s="549"/>
      <c r="N99" s="1065"/>
      <c r="O99" s="1065"/>
      <c r="P99" s="2106"/>
      <c r="Q99" s="461"/>
    </row>
    <row r="100" spans="1:17" ht="14.4">
      <c r="A100" s="484" t="s">
        <v>2383</v>
      </c>
      <c r="B100" s="485" t="s">
        <v>2432</v>
      </c>
      <c r="C100" s="3054" t="s">
        <v>3101</v>
      </c>
      <c r="D100" s="3054" t="s">
        <v>3120</v>
      </c>
      <c r="E100" s="487"/>
      <c r="F100" s="487"/>
      <c r="G100" s="487"/>
      <c r="H100" s="487"/>
      <c r="I100" s="487"/>
      <c r="J100" s="487"/>
      <c r="K100" s="488"/>
      <c r="L100" s="489"/>
      <c r="M100" s="490"/>
      <c r="N100" s="1064"/>
      <c r="O100" s="1064"/>
      <c r="P100" s="2106"/>
      <c r="Q100" s="461"/>
    </row>
    <row r="101" spans="1:17" ht="14.4" thickBot="1">
      <c r="A101" s="491"/>
      <c r="B101" s="500"/>
      <c r="C101" s="501">
        <v>100</v>
      </c>
      <c r="D101" s="501">
        <f t="shared" ref="D101:M101" si="26">C101-$K32</f>
        <v>80</v>
      </c>
      <c r="E101" s="501">
        <f t="shared" si="26"/>
        <v>60</v>
      </c>
      <c r="F101" s="501">
        <f t="shared" si="26"/>
        <v>40</v>
      </c>
      <c r="G101" s="501">
        <f t="shared" si="26"/>
        <v>20</v>
      </c>
      <c r="H101" s="501">
        <f t="shared" si="26"/>
        <v>0</v>
      </c>
      <c r="I101" s="501">
        <f t="shared" si="26"/>
        <v>-20</v>
      </c>
      <c r="J101" s="501">
        <f t="shared" si="26"/>
        <v>-40</v>
      </c>
      <c r="K101" s="501">
        <f t="shared" si="26"/>
        <v>-60</v>
      </c>
      <c r="L101" s="501">
        <f t="shared" si="26"/>
        <v>-80</v>
      </c>
      <c r="M101" s="501">
        <f t="shared" si="26"/>
        <v>-100</v>
      </c>
      <c r="N101" s="1065"/>
      <c r="O101" s="1065"/>
      <c r="P101" s="2106"/>
      <c r="Q101" s="461"/>
    </row>
    <row r="102" spans="1:17" ht="28.2" thickTop="1">
      <c r="A102" s="491"/>
      <c r="B102" s="495" t="s">
        <v>2433</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4.4"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2434</v>
      </c>
      <c r="C105" s="3055" t="s">
        <v>3102</v>
      </c>
      <c r="D105" s="511"/>
      <c r="E105" s="540"/>
      <c r="F105" s="540"/>
      <c r="G105" s="540"/>
      <c r="H105" s="540"/>
      <c r="I105" s="540"/>
      <c r="J105" s="540"/>
      <c r="K105" s="541"/>
      <c r="L105" s="542"/>
      <c r="M105" s="543"/>
      <c r="N105" s="1064"/>
      <c r="O105" s="1064"/>
      <c r="P105" s="2106"/>
      <c r="Q105" s="461"/>
    </row>
    <row r="106" spans="1:17" ht="14.4"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2435</v>
      </c>
      <c r="C107" s="3056" t="s">
        <v>3104</v>
      </c>
      <c r="D107" s="540"/>
      <c r="E107" s="540"/>
      <c r="F107" s="540"/>
      <c r="G107" s="540"/>
      <c r="H107" s="540"/>
      <c r="I107" s="540"/>
      <c r="J107" s="540"/>
      <c r="K107" s="541"/>
      <c r="L107" s="542"/>
      <c r="M107" s="543"/>
      <c r="N107" s="1064"/>
      <c r="O107" s="1064"/>
      <c r="P107" s="2106"/>
      <c r="Q107" s="461"/>
    </row>
    <row r="108" spans="1:17" ht="14.4"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2436</v>
      </c>
      <c r="C109" s="3055" t="s">
        <v>3106</v>
      </c>
      <c r="D109" s="511"/>
      <c r="E109" s="511"/>
      <c r="F109" s="540"/>
      <c r="G109" s="540"/>
      <c r="H109" s="540"/>
      <c r="I109" s="540"/>
      <c r="J109" s="540"/>
      <c r="K109" s="541"/>
      <c r="L109" s="542"/>
      <c r="M109" s="543"/>
      <c r="N109" s="1064"/>
      <c r="O109" s="1064"/>
      <c r="P109" s="2106"/>
      <c r="Q109" s="461"/>
    </row>
    <row r="110" spans="1:17" ht="14.4"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4.4"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2437</v>
      </c>
      <c r="C114" s="3055" t="s">
        <v>3108</v>
      </c>
      <c r="D114" s="511"/>
      <c r="E114" s="540"/>
      <c r="F114" s="540"/>
      <c r="G114" s="540"/>
      <c r="H114" s="540"/>
      <c r="I114" s="540"/>
      <c r="J114" s="540"/>
      <c r="K114" s="541"/>
      <c r="L114" s="542"/>
      <c r="M114" s="543"/>
      <c r="N114" s="1064"/>
      <c r="O114" s="1064"/>
      <c r="P114" s="2106"/>
      <c r="Q114" s="461"/>
    </row>
    <row r="115" spans="1:17" ht="14.4"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2438</v>
      </c>
      <c r="C116" s="3055" t="s">
        <v>3109</v>
      </c>
      <c r="D116" s="511"/>
      <c r="E116" s="511"/>
      <c r="F116" s="511"/>
      <c r="G116" s="511"/>
      <c r="H116" s="540"/>
      <c r="I116" s="540"/>
      <c r="J116" s="540"/>
      <c r="K116" s="541"/>
      <c r="L116" s="542"/>
      <c r="M116" s="543"/>
      <c r="N116" s="1064"/>
      <c r="O116" s="1064"/>
      <c r="P116" s="2106"/>
      <c r="Q116" s="461"/>
    </row>
    <row r="117" spans="1:17" ht="14.4"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9.4"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3055" t="s">
        <v>3110</v>
      </c>
      <c r="D122" s="3055" t="s">
        <v>3112</v>
      </c>
      <c r="E122" s="3055" t="s">
        <v>3113</v>
      </c>
      <c r="F122" s="540"/>
      <c r="G122" s="540"/>
      <c r="H122" s="540"/>
      <c r="I122" s="540"/>
      <c r="J122" s="540"/>
      <c r="K122" s="541"/>
      <c r="L122" s="542"/>
      <c r="M122" s="543"/>
      <c r="N122" s="1064"/>
      <c r="O122" s="1064"/>
      <c r="P122" s="2106"/>
      <c r="Q122" s="461"/>
    </row>
    <row r="123" spans="1:17" ht="14.4"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6"/>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4.4"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7"/>
      <c r="Q127" s="516"/>
    </row>
    <row r="128" spans="1:17" ht="14.4" thickTop="1">
      <c r="A128" s="556"/>
      <c r="B128" s="495">
        <f>B45</f>
        <v>111</v>
      </c>
      <c r="C128" s="511"/>
      <c r="D128" s="511"/>
      <c r="E128" s="511"/>
      <c r="F128" s="511"/>
      <c r="G128" s="540"/>
      <c r="H128" s="540"/>
      <c r="I128" s="540"/>
      <c r="J128" s="540"/>
      <c r="K128" s="541"/>
      <c r="L128" s="542"/>
      <c r="M128" s="543"/>
      <c r="N128" s="1064"/>
      <c r="O128" s="1064"/>
      <c r="P128" s="2106"/>
      <c r="Q128" s="461"/>
    </row>
    <row r="129" spans="1:17" ht="14.4" thickBot="1">
      <c r="A129" s="491"/>
      <c r="B129" s="500"/>
      <c r="C129" s="517"/>
      <c r="D129" s="517"/>
      <c r="E129" s="517"/>
      <c r="F129" s="517"/>
      <c r="G129" s="493"/>
      <c r="H129" s="493"/>
      <c r="I129" s="493"/>
      <c r="J129" s="493"/>
      <c r="K129" s="493"/>
      <c r="L129" s="493"/>
      <c r="M129" s="494"/>
      <c r="N129" s="1065"/>
      <c r="O129" s="1065"/>
      <c r="P129" s="2106"/>
      <c r="Q129" s="461"/>
    </row>
    <row r="130" spans="1:17" ht="14.4" thickTop="1">
      <c r="A130" s="556"/>
      <c r="B130" s="503">
        <f>B46</f>
        <v>111</v>
      </c>
      <c r="C130" s="511"/>
      <c r="D130" s="511"/>
      <c r="E130" s="511"/>
      <c r="F130" s="511"/>
      <c r="G130" s="544"/>
      <c r="H130" s="544"/>
      <c r="I130" s="544"/>
      <c r="J130" s="544"/>
      <c r="K130" s="480"/>
      <c r="L130" s="481"/>
      <c r="M130" s="547"/>
      <c r="N130" s="1064"/>
      <c r="O130" s="1064"/>
      <c r="P130" s="2106"/>
      <c r="Q130" s="461"/>
    </row>
    <row r="131" spans="1:17" ht="14.4"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6.2"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ht="14.4">
      <c r="B147" s="2113" t="s">
        <v>2460</v>
      </c>
    </row>
    <row r="148" spans="2:11" ht="14.4">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I40" sqref="I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1553</v>
      </c>
      <c r="B1" s="722"/>
      <c r="C1" s="1564" t="s">
        <v>3117</v>
      </c>
      <c r="D1" s="1547" t="s">
        <v>70</v>
      </c>
      <c r="E1" s="1548" t="s">
        <v>1352</v>
      </c>
      <c r="F1" s="1193">
        <f ca="1">J53</f>
        <v>58.11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4154</v>
      </c>
      <c r="C2" s="1572" t="s">
        <v>1481</v>
      </c>
      <c r="D2" s="1572"/>
      <c r="E2" s="1573"/>
      <c r="F2" s="1574"/>
      <c r="G2" s="2933"/>
      <c r="H2" s="2922"/>
      <c r="I2" s="2922"/>
      <c r="J2" s="2922"/>
      <c r="K2" s="2923"/>
      <c r="L2" s="2922"/>
      <c r="M2" s="2922"/>
    </row>
    <row r="3" spans="1:37" ht="18" customHeight="1" thickBot="1">
      <c r="A3" s="1575" t="s">
        <v>1482</v>
      </c>
      <c r="B3" s="1576">
        <f ca="1">IF(ISERROR(B2*10000/F43),0,ROUND(B2*10000/F43,0))</f>
        <v>79493</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194</v>
      </c>
      <c r="D5" s="1549" t="s">
        <v>1367</v>
      </c>
      <c r="E5" s="1203"/>
      <c r="F5" s="1204"/>
      <c r="G5" s="1569"/>
      <c r="H5" s="305">
        <v>1</v>
      </c>
      <c r="I5" s="306" t="s">
        <v>1366</v>
      </c>
      <c r="J5" s="1202">
        <f ca="1">J6+J10+J12</f>
        <v>0</v>
      </c>
      <c r="K5" s="1549" t="s">
        <v>1367</v>
      </c>
      <c r="L5" s="1203"/>
      <c r="M5" s="1204"/>
    </row>
    <row r="6" spans="1:37" ht="18" customHeight="1">
      <c r="A6" s="1201" t="s">
        <v>1003</v>
      </c>
      <c r="B6" s="3294" t="s">
        <v>1368</v>
      </c>
      <c r="C6" s="1206">
        <f ca="1">ROUND(F6*F8*F7*(1-F9)/10000,0)</f>
        <v>194</v>
      </c>
      <c r="D6" s="160" t="s">
        <v>2848</v>
      </c>
      <c r="E6" s="308" t="s">
        <v>1370</v>
      </c>
      <c r="F6" s="309">
        <f ca="1">INDIRECT("'数据-取费表'!u"&amp;$G$1)</f>
        <v>180000</v>
      </c>
      <c r="G6" s="1569"/>
      <c r="H6" s="1201" t="s">
        <v>1003</v>
      </c>
      <c r="I6" s="3294" t="s">
        <v>1368</v>
      </c>
      <c r="J6" s="307">
        <f ca="1">ROUND(M6*M8*M7*(1-M9)/10000,0)</f>
        <v>0</v>
      </c>
      <c r="K6" s="160" t="s">
        <v>2847</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1</v>
      </c>
      <c r="G7" s="1569"/>
      <c r="H7" s="310"/>
      <c r="I7" s="3295"/>
      <c r="J7" s="312"/>
      <c r="K7" s="313"/>
      <c r="L7" s="308" t="s">
        <v>1371</v>
      </c>
      <c r="M7" s="309">
        <f ca="1">F7</f>
        <v>1</v>
      </c>
    </row>
    <row r="8" spans="1:37" ht="18" customHeight="1">
      <c r="A8" s="310"/>
      <c r="B8" s="3295"/>
      <c r="C8" s="312"/>
      <c r="D8" s="313"/>
      <c r="E8" s="308" t="s">
        <v>1372</v>
      </c>
      <c r="F8" s="309">
        <f ca="1">INDIRECT("'数据-取费表'!ai"&amp;$G$1)</f>
        <v>12</v>
      </c>
      <c r="G8" s="1569"/>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3079</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329</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261</v>
      </c>
      <c r="D14" s="1530" t="s">
        <v>1383</v>
      </c>
      <c r="E14" s="1527"/>
      <c r="F14" s="325"/>
      <c r="G14" s="1569"/>
      <c r="H14" s="1113" t="s">
        <v>1003</v>
      </c>
      <c r="I14" s="308" t="s">
        <v>1384</v>
      </c>
      <c r="J14" s="24">
        <f ca="1">C29</f>
        <v>387</v>
      </c>
      <c r="K14" s="15"/>
      <c r="L14" s="916"/>
      <c r="M14" s="917"/>
    </row>
    <row r="15" spans="1:37" s="1582" customFormat="1" ht="18" customHeight="1" thickBot="1">
      <c r="A15" s="1113" t="s">
        <v>1004</v>
      </c>
      <c r="B15" s="308" t="s">
        <v>1385</v>
      </c>
      <c r="C15" s="24">
        <f ca="1">ROUND(C14*F15,0)</f>
        <v>8</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13</v>
      </c>
      <c r="D16" s="308" t="s">
        <v>1386</v>
      </c>
      <c r="E16" s="308" t="s">
        <v>1387</v>
      </c>
      <c r="F16" s="328">
        <f ca="1">IF(INDIRECT("'数据-取费表'!c"&amp;$G$1)="住宅",'数据-取费表'!B34,0)</f>
        <v>0.05</v>
      </c>
      <c r="G16" s="1569"/>
      <c r="H16" s="1239" t="s">
        <v>998</v>
      </c>
      <c r="I16" s="1240" t="s">
        <v>1389</v>
      </c>
      <c r="J16" s="316">
        <f ca="1">ROUND(J17+J22+J23+J24,0)</f>
        <v>7</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3</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296</v>
      </c>
      <c r="D19" s="136" t="s">
        <v>1401</v>
      </c>
      <c r="E19" s="1545"/>
      <c r="F19" s="26"/>
      <c r="G19" s="1569"/>
      <c r="H19" s="1113" t="s">
        <v>1004</v>
      </c>
      <c r="I19" s="308" t="s">
        <v>1402</v>
      </c>
      <c r="J19" s="24">
        <f ca="1">IF(K19="按租金收入计税",ROUND(J6*M19/(1+'数据-取费表'!C42),2),ROUND(C29*M19*0.7,2))</f>
        <v>3.25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3.9</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-7</v>
      </c>
      <c r="K25" s="1255" t="s">
        <v>1429</v>
      </c>
      <c r="L25" s="1256"/>
      <c r="M25" s="1257"/>
    </row>
    <row r="26" spans="1:37">
      <c r="A26" s="1113" t="s">
        <v>1002</v>
      </c>
      <c r="B26" s="308" t="s">
        <v>1430</v>
      </c>
      <c r="C26" s="24">
        <f ca="1">ROUND((C19+C20)*F26,0)</f>
        <v>45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387</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41</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33</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IF(项目基本情况!B11="自然人","——",ROUND(C6*F32/(1+'数据-取费表'!C42),2))</f>
        <v>10.35</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22.17</v>
      </c>
      <c r="D33" s="1555" t="s">
        <v>3080</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3.9</v>
      </c>
      <c r="D36" s="1529" t="s">
        <v>1447</v>
      </c>
      <c r="E36" s="308" t="s">
        <v>1387</v>
      </c>
      <c r="F36" s="334">
        <f ca="1">INDIRECT("'数据-取费表'!Ak"&amp;$G$1)</f>
        <v>0.01</v>
      </c>
      <c r="G36" s="1569"/>
      <c r="H36" s="2927"/>
      <c r="I36" s="1583"/>
      <c r="J36" s="1584"/>
      <c r="K36" s="2768"/>
      <c r="L36" s="2927"/>
      <c r="M36" s="2927"/>
    </row>
    <row r="37" spans="1:18" ht="18" customHeight="1">
      <c r="A37" s="1113" t="s">
        <v>1043</v>
      </c>
      <c r="B37" s="308" t="s">
        <v>1418</v>
      </c>
      <c r="C37" s="24">
        <f ca="1">ROUND(C13*F37,1)</f>
        <v>0.5</v>
      </c>
      <c r="D37" s="1529" t="s">
        <v>1419</v>
      </c>
      <c r="E37" s="308" t="s">
        <v>1420</v>
      </c>
      <c r="F37" s="336">
        <f ca="1">INDIRECT("'数据-取费表'!Al"&amp;$G$1)</f>
        <v>1.5E-3</v>
      </c>
      <c r="G37" s="1569"/>
      <c r="H37" s="2927">
        <v>10</v>
      </c>
      <c r="I37" s="1583">
        <f ca="1">H37*12*F43</f>
        <v>62707.199999999997</v>
      </c>
      <c r="J37" s="1584"/>
      <c r="K37" s="2768"/>
      <c r="L37" s="2927"/>
      <c r="M37" s="2927"/>
    </row>
    <row r="38" spans="1:18" ht="18" customHeight="1" thickBot="1">
      <c r="A38" s="1249" t="s">
        <v>1358</v>
      </c>
      <c r="B38" s="1250" t="s">
        <v>1404</v>
      </c>
      <c r="C38" s="1251">
        <f ca="1">ROUND(C5*F38,1)</f>
        <v>3.9</v>
      </c>
      <c r="D38" s="1252" t="s">
        <v>1424</v>
      </c>
      <c r="E38" s="1250" t="s">
        <v>1420</v>
      </c>
      <c r="F38" s="1246">
        <f ca="1">INDIRECT("'数据-取费表'!Am"&amp;$G$1)</f>
        <v>0.02</v>
      </c>
      <c r="G38" s="1569"/>
      <c r="H38" s="2927"/>
      <c r="I38" s="1583"/>
      <c r="J38" s="1584"/>
      <c r="K38" s="2931"/>
      <c r="L38" s="2927"/>
      <c r="M38" s="2927"/>
    </row>
    <row r="39" spans="1:18" ht="24.6" customHeight="1" thickTop="1">
      <c r="A39" s="1239" t="s">
        <v>999</v>
      </c>
      <c r="B39" s="1254" t="s">
        <v>1448</v>
      </c>
      <c r="C39" s="316">
        <f ca="1">C5-C30</f>
        <v>153</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4154</v>
      </c>
      <c r="D40" s="330" t="s">
        <v>1434</v>
      </c>
      <c r="E40" s="308" t="s">
        <v>1435</v>
      </c>
      <c r="F40" s="318">
        <f ca="1">INDIRECT("'数据-取费表'!I"&amp;$G$1)</f>
        <v>0.05</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58.11</v>
      </c>
      <c r="G41" s="1569"/>
      <c r="H41" s="1353"/>
      <c r="I41" s="1583"/>
      <c r="J41" s="1584"/>
      <c r="K41" s="2768"/>
      <c r="L41" s="1353"/>
      <c r="M41" s="1353"/>
    </row>
    <row r="42" spans="1:18" ht="18" customHeight="1">
      <c r="A42" s="314"/>
      <c r="B42" s="315"/>
      <c r="C42" s="316"/>
      <c r="D42" s="333"/>
      <c r="E42" s="308" t="s">
        <v>1442</v>
      </c>
      <c r="F42" s="318">
        <f ca="1">INDIRECT("'数据-取费表'!v"&amp;$G$1)</f>
        <v>0.02</v>
      </c>
      <c r="G42" s="1569"/>
      <c r="H42" s="1353"/>
      <c r="I42" s="1583"/>
      <c r="J42" s="1584"/>
      <c r="K42" s="2768"/>
      <c r="L42" s="1353"/>
      <c r="M42" s="1353"/>
    </row>
    <row r="43" spans="1:18" ht="18" customHeight="1" thickBot="1">
      <c r="A43" s="340" t="s">
        <v>1001</v>
      </c>
      <c r="B43" s="341" t="s">
        <v>1452</v>
      </c>
      <c r="C43" s="342">
        <f ca="1">ROUND(C40*10000/F43,0)</f>
        <v>79493</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8" thickBot="1">
      <c r="A46" s="1589" t="s">
        <v>1485</v>
      </c>
      <c r="C46" s="1590">
        <f ca="1">C68-C40</f>
        <v>-4851</v>
      </c>
      <c r="D46" s="1591" t="str">
        <f>C2</f>
        <v>万元</v>
      </c>
      <c r="E46" s="1585"/>
      <c r="F46" s="1585"/>
      <c r="I46" s="1592" t="s">
        <v>1486</v>
      </c>
      <c r="J46" s="1593"/>
      <c r="K46" s="1594"/>
      <c r="L46" s="1595">
        <f>IF(M47="住宅",0,IF(L48&gt;J51,L60,J60))</f>
        <v>0</v>
      </c>
      <c r="O46" s="1596" t="s">
        <v>1487</v>
      </c>
      <c r="P46" s="1597" t="s">
        <v>1488</v>
      </c>
      <c r="Q46" s="1598" t="s">
        <v>1489</v>
      </c>
      <c r="R46" s="1598" t="s">
        <v>1490</v>
      </c>
    </row>
    <row r="47" spans="1:18" s="1569" customFormat="1" ht="13.8"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70</v>
      </c>
      <c r="M47" s="1565" t="str">
        <f>IF(ISNUMBER(FIND("住宅",C1)),"住宅","非住宅")</f>
        <v>住宅</v>
      </c>
      <c r="O47" s="1603" t="s">
        <v>1008</v>
      </c>
      <c r="P47" s="1604" t="s">
        <v>1493</v>
      </c>
      <c r="Q47" s="1605">
        <f ca="1">C40+J29</f>
        <v>4154</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t="s">
        <v>3082</v>
      </c>
      <c r="K48" s="1608" t="s">
        <v>1496</v>
      </c>
      <c r="L48" s="1609">
        <f ca="1">INDIRECT("'数据-取费表'!f"&amp;$G$1)</f>
        <v>58.11</v>
      </c>
      <c r="O48" s="1603" t="s">
        <v>1009</v>
      </c>
      <c r="P48" s="1604" t="s">
        <v>1497</v>
      </c>
      <c r="Q48" s="1605" t="str">
        <f ca="1">J60</f>
        <v>0</v>
      </c>
      <c r="R48" s="1605" t="s">
        <v>1498</v>
      </c>
    </row>
    <row r="49" spans="1:18" s="1569" customFormat="1" ht="13.8" thickBot="1">
      <c r="A49" s="1106" t="s">
        <v>1104</v>
      </c>
      <c r="B49" s="1556" t="s">
        <v>1455</v>
      </c>
      <c r="C49" s="1274">
        <f ca="1">ROUND(F49*F51*F50*(1-F52)/10000,0)</f>
        <v>0</v>
      </c>
      <c r="D49" s="1186" t="s">
        <v>2849</v>
      </c>
      <c r="E49" s="1557" t="s">
        <v>1456</v>
      </c>
      <c r="F49" s="1191"/>
      <c r="G49" s="1610"/>
      <c r="H49" s="732"/>
      <c r="I49" s="1606" t="s">
        <v>1499</v>
      </c>
      <c r="J49" s="1611">
        <v>2012</v>
      </c>
      <c r="K49" s="1608" t="s">
        <v>1500</v>
      </c>
      <c r="L49" s="1612"/>
      <c r="O49" s="1613" t="s">
        <v>1010</v>
      </c>
      <c r="P49" s="1604" t="s">
        <v>1501</v>
      </c>
      <c r="Q49" s="1605">
        <f ca="1">C29</f>
        <v>387</v>
      </c>
      <c r="R49" s="1605" t="s">
        <v>1494</v>
      </c>
    </row>
    <row r="50" spans="1:18" s="1569" customFormat="1" ht="13.8"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2484</v>
      </c>
      <c r="M51" s="1621"/>
      <c r="O51" s="1613" t="s">
        <v>1012</v>
      </c>
      <c r="P51" s="1604" t="s">
        <v>1507</v>
      </c>
      <c r="Q51" s="1616">
        <f>J52</f>
        <v>0.09</v>
      </c>
      <c r="R51" s="1605"/>
    </row>
    <row r="52" spans="1:18" s="1569" customFormat="1" ht="13.8"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58.11</v>
      </c>
      <c r="R52" s="1605" t="s">
        <v>1511</v>
      </c>
    </row>
    <row r="53" spans="1:18" s="1569" customFormat="1" ht="36.6" thickBot="1">
      <c r="A53" s="1314" t="s">
        <v>1105</v>
      </c>
      <c r="B53" s="1558"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58.11</v>
      </c>
      <c r="K53" s="3292" t="s">
        <v>1513</v>
      </c>
      <c r="L53" s="3293"/>
      <c r="O53" s="1603" t="s">
        <v>1014</v>
      </c>
      <c r="P53" s="1604" t="s">
        <v>1514</v>
      </c>
      <c r="Q53" s="1605">
        <f ca="1">Q47+Q48</f>
        <v>4154</v>
      </c>
      <c r="R53" s="1605" t="s">
        <v>1015</v>
      </c>
    </row>
    <row r="54" spans="1:18" s="1569" customFormat="1" ht="24.6" thickBot="1">
      <c r="A54" s="1315"/>
      <c r="B54" s="1552" t="s">
        <v>1353</v>
      </c>
      <c r="C54" s="1090"/>
      <c r="D54" s="1551"/>
      <c r="E54" s="1559"/>
      <c r="F54" s="1625"/>
      <c r="I54" s="16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#VALUE!</v>
      </c>
      <c r="K55" s="1630" t="s">
        <v>1517</v>
      </c>
      <c r="L55" s="1631" t="s">
        <v>3096</v>
      </c>
      <c r="O55" s="1596" t="s">
        <v>1487</v>
      </c>
      <c r="P55" s="1597" t="s">
        <v>1488</v>
      </c>
      <c r="Q55" s="1598" t="s">
        <v>1489</v>
      </c>
      <c r="R55" s="1598" t="s">
        <v>1490</v>
      </c>
    </row>
    <row r="56" spans="1:18" s="1569" customFormat="1" ht="37.200000000000003" thickTop="1" thickBot="1">
      <c r="A56" s="1088">
        <v>2</v>
      </c>
      <c r="B56" s="1089" t="s">
        <v>1379</v>
      </c>
      <c r="C56" s="238">
        <f ca="1">C13</f>
        <v>329</v>
      </c>
      <c r="D56" s="1632"/>
      <c r="E56" s="1633"/>
      <c r="F56" s="1625"/>
      <c r="I56" s="1634" t="s">
        <v>1518</v>
      </c>
      <c r="J56" s="1635" t="s">
        <v>3060</v>
      </c>
      <c r="K56" s="1606" t="s">
        <v>1519</v>
      </c>
      <c r="L56" s="1609">
        <f ca="1">IF(L48&lt;J51,"——",L48-J53)</f>
        <v>0</v>
      </c>
      <c r="O56" s="1603" t="s">
        <v>1008</v>
      </c>
      <c r="P56" s="1604" t="s">
        <v>1493</v>
      </c>
      <c r="Q56" s="1605">
        <f ca="1">C40+J29</f>
        <v>4154</v>
      </c>
      <c r="R56" s="1605" t="s">
        <v>1494</v>
      </c>
    </row>
    <row r="57" spans="1:18" s="1569" customFormat="1" ht="24.6" thickBot="1">
      <c r="A57" s="1636"/>
      <c r="B57" s="1081" t="s">
        <v>1443</v>
      </c>
      <c r="C57" s="244">
        <f ca="1">C29</f>
        <v>387</v>
      </c>
      <c r="D57" s="1637"/>
      <c r="E57" s="1638"/>
      <c r="F57" s="1639"/>
      <c r="I57" s="1640" t="s">
        <v>1520</v>
      </c>
      <c r="J57" s="1641" t="str">
        <f ca="1">IF(OR(M47="住宅",J51&lt;L48,J56="是"),"——",J51-L48)</f>
        <v>——</v>
      </c>
      <c r="K57" s="1606" t="s">
        <v>1521</v>
      </c>
      <c r="L57" s="1609">
        <f ca="1">IF(L48&lt;J51,"——",IF(L55="比较法",L49,IF(L55="基准地价",L50,L51)))</f>
        <v>2484</v>
      </c>
      <c r="O57" s="1603" t="s">
        <v>1009</v>
      </c>
      <c r="P57" s="1604" t="s">
        <v>1522</v>
      </c>
      <c r="Q57" s="1605">
        <f ca="1">L60</f>
        <v>0</v>
      </c>
      <c r="R57" s="1605" t="s">
        <v>1523</v>
      </c>
    </row>
    <row r="58" spans="1:18" s="1569" customFormat="1" ht="24.6" thickBot="1">
      <c r="A58" s="321" t="s">
        <v>998</v>
      </c>
      <c r="B58" s="1089" t="s">
        <v>1389</v>
      </c>
      <c r="C58" s="322">
        <f ca="1">ROUND(C59+C64+C65+C66,0)</f>
        <v>37</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6" thickBot="1">
      <c r="A59" s="1113" t="s">
        <v>1003</v>
      </c>
      <c r="B59" s="1081" t="s">
        <v>1394</v>
      </c>
      <c r="C59" s="2532">
        <f ca="1">ROUND(IF(AND(项目基本情况!B11="自然人",项目基本情况!B10="北京市"),C49*F59/(1+'数据-取费表'!C42),C60+C61+C62),0)</f>
        <v>33</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f ca="1">L58</f>
        <v>0.99460000000000004</v>
      </c>
      <c r="R60" s="1605" t="s">
        <v>1532</v>
      </c>
    </row>
    <row r="61" spans="1:18" s="1569" customFormat="1" ht="13.8" thickBot="1">
      <c r="A61" s="1113" t="s">
        <v>1457</v>
      </c>
      <c r="B61" s="1081" t="s">
        <v>1458</v>
      </c>
      <c r="C61" s="24">
        <f ca="1">IF(项目基本情况!B11="自然人","——",IF(D61="按租金收入计税",ROUND(C48*F61,2),IF(D61="按房产原值计税",ROUND(C57*F61*0.7,2),INDIRECT("'数据-取费表'!Aj"&amp;$G$1))))</f>
        <v>32.51</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8"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4154</v>
      </c>
      <c r="R62" s="1605" t="s">
        <v>1015</v>
      </c>
    </row>
    <row r="63" spans="1:18" s="1569" customFormat="1" ht="13.8"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8" thickBot="1">
      <c r="A64" s="1113" t="s">
        <v>1465</v>
      </c>
      <c r="B64" s="1081" t="s">
        <v>1466</v>
      </c>
      <c r="C64" s="24">
        <f ca="1">ROUND(C57*F64,1)</f>
        <v>3.9</v>
      </c>
      <c r="D64" s="1095" t="s">
        <v>1467</v>
      </c>
      <c r="E64" s="1081" t="s">
        <v>1459</v>
      </c>
      <c r="F64" s="334">
        <f t="shared" ca="1" si="0"/>
        <v>0.01</v>
      </c>
      <c r="I64" s="1647" t="s">
        <v>1542</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ROUND(C56*F65,1)</f>
        <v>0.5</v>
      </c>
      <c r="D65" s="1095" t="s">
        <v>1419</v>
      </c>
      <c r="E65" s="1081" t="s">
        <v>1420</v>
      </c>
      <c r="F65" s="336">
        <f t="shared" ca="1" si="0"/>
        <v>1.5E-3</v>
      </c>
      <c r="I65" s="1647" t="s">
        <v>1543</v>
      </c>
      <c r="J65" s="1648">
        <v>40</v>
      </c>
      <c r="K65" s="1648">
        <v>30</v>
      </c>
      <c r="L65" s="1648">
        <v>50</v>
      </c>
      <c r="M65" s="1650">
        <v>0.02</v>
      </c>
      <c r="O65" s="1603" t="s">
        <v>1008</v>
      </c>
      <c r="P65" s="1604" t="s">
        <v>1544</v>
      </c>
      <c r="Q65" s="1605">
        <f ca="1">C40+J29</f>
        <v>4154</v>
      </c>
      <c r="R65" s="1605" t="s">
        <v>1494</v>
      </c>
    </row>
    <row r="66" spans="1:18" s="1569" customFormat="1" ht="16.2" thickBot="1">
      <c r="A66" s="1113" t="s">
        <v>1469</v>
      </c>
      <c r="B66" s="1081" t="s">
        <v>1404</v>
      </c>
      <c r="C66" s="24">
        <f ca="1">ROUND(C48*F66,1)</f>
        <v>0</v>
      </c>
      <c r="D66" s="1095" t="s">
        <v>1470</v>
      </c>
      <c r="E66" s="1081" t="s">
        <v>1387</v>
      </c>
      <c r="F66" s="318">
        <f t="shared" ca="1" si="0"/>
        <v>0.02</v>
      </c>
      <c r="O66" s="1603" t="s">
        <v>1009</v>
      </c>
      <c r="P66" s="1604" t="s">
        <v>1522</v>
      </c>
      <c r="Q66" s="1605">
        <f ca="1">L60</f>
        <v>0</v>
      </c>
      <c r="R66" s="1605" t="s">
        <v>1545</v>
      </c>
    </row>
    <row r="67" spans="1:18" s="1569" customFormat="1" ht="24.6" thickBot="1">
      <c r="A67" s="1088" t="s">
        <v>999</v>
      </c>
      <c r="B67" s="1098" t="s">
        <v>1428</v>
      </c>
      <c r="C67" s="322">
        <f ca="1">C48-C58</f>
        <v>-37</v>
      </c>
      <c r="D67" s="1094" t="s">
        <v>1429</v>
      </c>
      <c r="E67" s="1099"/>
      <c r="F67" s="1100"/>
      <c r="O67" s="1613" t="s">
        <v>1010</v>
      </c>
      <c r="P67" s="1604" t="s">
        <v>1526</v>
      </c>
      <c r="Q67" s="1651">
        <f ca="1">L51</f>
        <v>2484</v>
      </c>
      <c r="R67" s="1605" t="s">
        <v>1546</v>
      </c>
    </row>
    <row r="68" spans="1:18" s="1569" customFormat="1" ht="16.2" thickBot="1">
      <c r="A68" s="1078" t="s">
        <v>1000</v>
      </c>
      <c r="B68" s="1079" t="s">
        <v>1450</v>
      </c>
      <c r="C68" s="307">
        <f ca="1">ROUND(C67*(1-((1+F70)/(1+F68))^F69)/(F68-F70),0)</f>
        <v>-697</v>
      </c>
      <c r="D68" s="1096" t="s">
        <v>1434</v>
      </c>
      <c r="E68" s="1081" t="s">
        <v>1435</v>
      </c>
      <c r="F68" s="318">
        <f ca="1">F40</f>
        <v>0.05</v>
      </c>
      <c r="O68" s="1613" t="s">
        <v>1011</v>
      </c>
      <c r="P68" s="1652" t="s">
        <v>1547</v>
      </c>
      <c r="Q68" s="1605">
        <f ca="1">ROUND(Q69-Q70*Q71,0)</f>
        <v>125</v>
      </c>
      <c r="R68" s="1605" t="s">
        <v>1019</v>
      </c>
    </row>
    <row r="69" spans="1:18" s="1569" customFormat="1" ht="13.8" thickBot="1">
      <c r="A69" s="1082"/>
      <c r="B69" s="1083"/>
      <c r="C69" s="312"/>
      <c r="D69" s="1101" t="s">
        <v>1438</v>
      </c>
      <c r="E69" s="1081" t="s">
        <v>1439</v>
      </c>
      <c r="F69" s="339">
        <f ca="1">F41</f>
        <v>58.11</v>
      </c>
      <c r="O69" s="1613" t="s">
        <v>1016</v>
      </c>
      <c r="P69" s="1652" t="s">
        <v>1548</v>
      </c>
      <c r="Q69" s="1605">
        <f ca="1">C39</f>
        <v>153</v>
      </c>
      <c r="R69" s="1605" t="s">
        <v>1494</v>
      </c>
    </row>
    <row r="70" spans="1:18" s="1569" customFormat="1" ht="13.8" thickBot="1">
      <c r="A70" s="1085"/>
      <c r="B70" s="1086"/>
      <c r="C70" s="316"/>
      <c r="D70" s="1097"/>
      <c r="E70" s="1081" t="s">
        <v>1442</v>
      </c>
      <c r="F70" s="1185"/>
      <c r="O70" s="1613" t="s">
        <v>1017</v>
      </c>
      <c r="P70" s="1652" t="s">
        <v>1549</v>
      </c>
      <c r="Q70" s="1605">
        <f ca="1">C13</f>
        <v>329</v>
      </c>
      <c r="R70" s="1605" t="s">
        <v>1494</v>
      </c>
    </row>
    <row r="71" spans="1:18" s="1569" customFormat="1" ht="13.8" thickBot="1">
      <c r="A71" s="1102" t="s">
        <v>1001</v>
      </c>
      <c r="B71" s="1103" t="s">
        <v>1452</v>
      </c>
      <c r="C71" s="342">
        <f ca="1">ROUND(C68*10000/F71,0)</f>
        <v>-13338</v>
      </c>
      <c r="D71" s="1104" t="s">
        <v>1453</v>
      </c>
      <c r="E71" s="1105" t="s">
        <v>1454</v>
      </c>
      <c r="F71" s="345">
        <f ca="1">F43</f>
        <v>522.55999999999995</v>
      </c>
      <c r="O71" s="1613" t="s">
        <v>1018</v>
      </c>
      <c r="P71" s="1652" t="s">
        <v>1550</v>
      </c>
      <c r="Q71" s="1616">
        <f ca="1">C76</f>
        <v>8.5000000000000006E-2</v>
      </c>
      <c r="R71" s="1605"/>
    </row>
    <row r="72" spans="1:18" s="1569" customFormat="1" ht="13.8" thickBot="1">
      <c r="B72" s="735"/>
      <c r="C72" s="735"/>
      <c r="O72" s="1613" t="s">
        <v>1012</v>
      </c>
      <c r="P72" s="1604" t="s">
        <v>1528</v>
      </c>
      <c r="Q72" s="1616">
        <f>L52</f>
        <v>8.5000000000000006E-2</v>
      </c>
      <c r="R72" s="1605"/>
    </row>
    <row r="73" spans="1:18" ht="16.2" thickBot="1">
      <c r="A73" s="1569"/>
      <c r="B73" s="735"/>
      <c r="C73" s="735"/>
      <c r="D73" s="1569"/>
      <c r="E73" s="1569"/>
      <c r="F73" s="1569"/>
      <c r="O73" s="1613" t="s">
        <v>1013</v>
      </c>
      <c r="P73" s="1604" t="s">
        <v>1531</v>
      </c>
      <c r="Q73" s="1605">
        <f ca="1">L58</f>
        <v>0.99460000000000004</v>
      </c>
      <c r="R73" s="1605" t="s">
        <v>1532</v>
      </c>
    </row>
    <row r="74" spans="1:18" ht="13.8"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8" thickBot="1">
      <c r="A75" s="1569"/>
      <c r="B75" s="346" t="s">
        <v>1471</v>
      </c>
      <c r="C75" s="347">
        <f ca="1">ROUND(C13*C76,0)</f>
        <v>28</v>
      </c>
      <c r="D75" s="1569"/>
      <c r="E75" s="1569"/>
      <c r="F75" s="1569"/>
      <c r="K75" s="1587"/>
      <c r="L75" s="1569"/>
      <c r="O75" s="1603" t="s">
        <v>1014</v>
      </c>
      <c r="P75" s="1604" t="s">
        <v>1514</v>
      </c>
      <c r="Q75" s="1605">
        <f ca="1">Q65+Q66</f>
        <v>4154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0.81699999999999995</v>
      </c>
    </row>
    <row r="80" spans="1:18">
      <c r="B80" s="346" t="s">
        <v>1476</v>
      </c>
      <c r="C80" s="280">
        <f ca="1">ROUND(C75/C39,3)</f>
        <v>0.183</v>
      </c>
    </row>
    <row r="81" spans="2:3">
      <c r="B81" s="276" t="s">
        <v>1477</v>
      </c>
      <c r="C81" s="244"/>
    </row>
    <row r="82" spans="2:3">
      <c r="B82" s="279" t="s">
        <v>1478</v>
      </c>
      <c r="C82" s="281">
        <f ca="1">1-C83</f>
        <v>0.92100000000000004</v>
      </c>
    </row>
    <row r="83" spans="2:3">
      <c r="B83" s="279" t="s">
        <v>1479</v>
      </c>
      <c r="C83" s="280">
        <f ca="1">ROUND(C13/C40,3)</f>
        <v>7.9000000000000001E-2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27" sqref="G2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55"/>
      <c r="C1" s="204"/>
      <c r="D1" s="204"/>
      <c r="E1" s="204"/>
      <c r="F1" s="204"/>
      <c r="G1" s="1288">
        <f>MATCH(B1,'数据-取费表'!A6:A16,0)+5</f>
        <v>7</v>
      </c>
    </row>
    <row r="2" spans="1:9" s="206" customFormat="1" ht="18" customHeight="1">
      <c r="A2" s="207" t="s">
        <v>2147</v>
      </c>
      <c r="B2" s="208">
        <f ca="1">IF(D2="——",C52,C52-E2)</f>
        <v>3772</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72183</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 ca="1">C6+C7+C8</f>
        <v>2564</v>
      </c>
      <c r="D5" s="217" t="s">
        <v>2154</v>
      </c>
      <c r="E5" s="218" t="s">
        <v>2155</v>
      </c>
      <c r="F5" s="218" t="s">
        <v>2156</v>
      </c>
      <c r="G5" s="219"/>
    </row>
    <row r="6" spans="1:9" s="220" customFormat="1" ht="13.5" customHeight="1">
      <c r="A6" s="886" t="s">
        <v>2157</v>
      </c>
      <c r="B6" s="221" t="s">
        <v>2158</v>
      </c>
      <c r="C6" s="222">
        <f ca="1">基准地价修正!B2</f>
        <v>2478</v>
      </c>
      <c r="D6" s="223"/>
      <c r="E6" s="224"/>
      <c r="F6" s="224"/>
      <c r="G6" s="225"/>
    </row>
    <row r="7" spans="1:9" s="220" customFormat="1" ht="13.5" customHeight="1">
      <c r="A7" s="886" t="s">
        <v>2159</v>
      </c>
      <c r="B7" s="221" t="s">
        <v>2160</v>
      </c>
      <c r="C7" s="226">
        <f ca="1">ROUND(C6*F7,0)</f>
        <v>76</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10</v>
      </c>
      <c r="D8" s="228"/>
      <c r="E8" s="226"/>
      <c r="F8" s="227"/>
      <c r="G8" s="2043" t="s">
        <v>3083</v>
      </c>
    </row>
    <row r="9" spans="1:9" s="220" customFormat="1" ht="13.5" customHeight="1">
      <c r="A9" s="887" t="s">
        <v>800</v>
      </c>
      <c r="B9" s="230" t="s">
        <v>2163</v>
      </c>
      <c r="C9" s="231">
        <f ca="1">ROUND(D9*E9/10000,0)</f>
        <v>10</v>
      </c>
      <c r="D9" s="954">
        <f ca="1">IF(B1="",'数据-汇总表'!E5,IF(INDIRECT("'数据-取费表'!c"&amp;$G$1)="住宅",INDIRECT("'数据-取费表'!k"&amp;$G$1),0))</f>
        <v>522.55999999999995</v>
      </c>
      <c r="E9" s="231">
        <f>'数据-取费表'!B27</f>
        <v>200</v>
      </c>
      <c r="F9" s="227"/>
      <c r="G9" s="2044" t="s">
        <v>3084</v>
      </c>
      <c r="H9" s="1299"/>
      <c r="I9" s="2045"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522.55999999999995</v>
      </c>
      <c r="E19" s="217">
        <f>'数据-取费表'!B31</f>
        <v>200</v>
      </c>
      <c r="F19" s="237"/>
      <c r="G19" s="2043" t="s">
        <v>3085</v>
      </c>
    </row>
    <row r="20" spans="1:7" s="220" customFormat="1" ht="13.5" customHeight="1">
      <c r="A20" s="261" t="s">
        <v>2178</v>
      </c>
      <c r="B20" s="216" t="s">
        <v>2179</v>
      </c>
      <c r="C20" s="238">
        <f ca="1">ROUND((C5+C19)*F20,0)</f>
        <v>51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171</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169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6.4">
      <c r="A27" s="261" t="s">
        <v>2197</v>
      </c>
      <c r="B27" s="250" t="s">
        <v>2198</v>
      </c>
      <c r="C27" s="251">
        <f ca="1">C28</f>
        <v>392</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392</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3443</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296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261</v>
      </c>
      <c r="D34" s="223"/>
      <c r="E34" s="226"/>
      <c r="F34" s="263">
        <f ca="1">IF('数据-取费表'!B24=0,1,IF(B1="",'数据-取费表'!N16,INDIRECT("'数据-取费表'!n"&amp;$G$1)))</f>
        <v>1</v>
      </c>
      <c r="G34" s="225" t="s">
        <v>2211</v>
      </c>
    </row>
    <row r="35" spans="1:7" ht="13.5" customHeight="1">
      <c r="A35" s="888" t="s">
        <v>796</v>
      </c>
      <c r="B35" s="221" t="s">
        <v>2212</v>
      </c>
      <c r="C35" s="226">
        <f ca="1">ROUND(C34*F35,0)</f>
        <v>8</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13</v>
      </c>
      <c r="D36" s="226"/>
      <c r="E36" s="226"/>
      <c r="F36" s="265">
        <f>'数据-取费表'!B34</f>
        <v>0.05</v>
      </c>
      <c r="G36" s="266" t="s">
        <v>2215</v>
      </c>
    </row>
    <row r="37" spans="1:7" s="264" customFormat="1" ht="13.5" customHeight="1">
      <c r="A37" s="888" t="s">
        <v>798</v>
      </c>
      <c r="B37" s="221" t="s">
        <v>2216</v>
      </c>
      <c r="C37" s="255">
        <f ca="1">ROUND(E37*D37*F34/10000,0)</f>
        <v>10</v>
      </c>
      <c r="D37" s="223">
        <f ca="1">D19</f>
        <v>522.55999999999995</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6</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10</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10</v>
      </c>
      <c r="D42" s="244"/>
      <c r="E42" s="244"/>
      <c r="F42" s="245"/>
      <c r="G42" s="3297" t="s">
        <v>2229</v>
      </c>
    </row>
    <row r="43" spans="1:7" ht="13.5" customHeight="1">
      <c r="A43" s="888" t="s">
        <v>792</v>
      </c>
      <c r="B43" s="221" t="s">
        <v>2230</v>
      </c>
      <c r="C43" s="244">
        <f ca="1">ROUND(IF('数据-取费表'!B22&lt;=1,C39*F22*'数据-取费表'!B21/2,C39*(POWER((1+F22),'数据-取费表'!B21/2)-1)),0)</f>
        <v>0</v>
      </c>
      <c r="D43" s="244"/>
      <c r="E43" s="244"/>
      <c r="F43" s="245"/>
      <c r="G43" s="3298"/>
    </row>
    <row r="44" spans="1:7" ht="13.5" customHeight="1">
      <c r="A44" s="888" t="s">
        <v>793</v>
      </c>
      <c r="B44" s="221" t="s">
        <v>2231</v>
      </c>
      <c r="C44" s="244">
        <f ca="1">ROUND(IF('数据-取费表'!B22&lt;=1,C40*F22*'数据-取费表'!B21/2,C40*(POWER((1+F22),'数据-取费表'!B21/2)-1)),4)</f>
        <v>5.9999999999999995E-4</v>
      </c>
      <c r="D44" s="244"/>
      <c r="E44" s="244"/>
      <c r="F44" s="245"/>
      <c r="G44" s="3299"/>
    </row>
    <row r="45" spans="1:7" s="220" customFormat="1" ht="13.5" customHeight="1">
      <c r="A45" s="261" t="s">
        <v>2232</v>
      </c>
      <c r="B45" s="250" t="s">
        <v>2198</v>
      </c>
      <c r="C45" s="251">
        <f ca="1">C46</f>
        <v>45</v>
      </c>
      <c r="D45" s="241">
        <f ca="1">C47</f>
        <v>3.0000000000000001E-3</v>
      </c>
      <c r="E45" s="242" t="s">
        <v>2224</v>
      </c>
      <c r="F45" s="2535">
        <f ca="1">F27</f>
        <v>0.15</v>
      </c>
      <c r="G45" s="253" t="s">
        <v>2233</v>
      </c>
    </row>
    <row r="46" spans="1:7" s="220" customFormat="1" ht="13.5" customHeight="1">
      <c r="A46" s="888" t="s">
        <v>791</v>
      </c>
      <c r="B46" s="254" t="s">
        <v>2234</v>
      </c>
      <c r="C46" s="255">
        <f ca="1">ROUND((C33+C39)*F27,0)</f>
        <v>45</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387</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329</v>
      </c>
      <c r="D51" s="238"/>
      <c r="E51" s="238"/>
      <c r="F51" s="270"/>
      <c r="G51" s="240" t="s">
        <v>2245</v>
      </c>
    </row>
    <row r="52" spans="1:7" s="214" customFormat="1" ht="16.8" thickBot="1">
      <c r="A52" s="271" t="s">
        <v>2246</v>
      </c>
      <c r="B52" s="272"/>
      <c r="C52" s="273">
        <f ca="1">C31+C51</f>
        <v>3772</v>
      </c>
      <c r="D52" s="272"/>
      <c r="E52" s="272"/>
      <c r="F52" s="272"/>
      <c r="G52" s="274"/>
    </row>
    <row r="55" spans="1:7" ht="15">
      <c r="B55" s="276" t="s">
        <v>2247</v>
      </c>
      <c r="C55" s="277"/>
    </row>
    <row r="56" spans="1:7">
      <c r="B56" s="279" t="s">
        <v>1478</v>
      </c>
      <c r="C56" s="281">
        <f ca="1">1-C57</f>
        <v>0.91300000000000003</v>
      </c>
    </row>
    <row r="57" spans="1:7">
      <c r="B57" s="279" t="s">
        <v>1479</v>
      </c>
      <c r="C57" s="280">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357</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6832</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104512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104512</v>
      </c>
      <c r="D8" s="228"/>
      <c r="E8" s="226"/>
      <c r="F8" s="227"/>
      <c r="G8" s="2043"/>
    </row>
    <row r="9" spans="1:8" s="220" customFormat="1" ht="13.5" customHeight="1">
      <c r="A9" s="887" t="s">
        <v>800</v>
      </c>
      <c r="B9" s="230" t="s">
        <v>2163</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104512</v>
      </c>
      <c r="D19" s="958">
        <f ca="1">D9+D10</f>
        <v>522.55999999999995</v>
      </c>
      <c r="E19" s="217">
        <f>'数据-取费表'!B31</f>
        <v>200</v>
      </c>
      <c r="F19" s="237"/>
      <c r="G19" s="2043"/>
    </row>
    <row r="20" spans="1:7" s="220" customFormat="1" ht="13.5" customHeight="1">
      <c r="A20" s="261" t="s">
        <v>2259</v>
      </c>
      <c r="B20" s="216" t="s">
        <v>2260</v>
      </c>
      <c r="C20" s="238">
        <f ca="1">ROUND((C5+C19)*F20,0)</f>
        <v>4180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13922</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6893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6893</v>
      </c>
      <c r="D24" s="244"/>
      <c r="E24" s="244"/>
      <c r="F24" s="245"/>
      <c r="G24" s="246" t="s">
        <v>2271</v>
      </c>
    </row>
    <row r="25" spans="1:7" s="220" customFormat="1" ht="24">
      <c r="A25" s="888" t="s">
        <v>2161</v>
      </c>
      <c r="B25" s="221" t="s">
        <v>2272</v>
      </c>
      <c r="C25" s="1290">
        <f ca="1">ROUND(IF('数据-取费表'!B22&lt;=1,C20*F22*'数据-取费表'!B22/2,C20*(POWER((1+F22),'数据-取费表'!B22/2)-1)),0)</f>
        <v>136</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6.4">
      <c r="A27" s="261" t="s">
        <v>2197</v>
      </c>
      <c r="B27" s="250" t="s">
        <v>2198</v>
      </c>
      <c r="C27" s="251">
        <f ca="1">C28</f>
        <v>31981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31981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280692</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2965528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2612800</v>
      </c>
      <c r="D34" s="223"/>
      <c r="E34" s="226"/>
      <c r="F34" s="263"/>
      <c r="G34" s="225"/>
    </row>
    <row r="35" spans="1:7" ht="13.5" customHeight="1">
      <c r="A35" s="888" t="s">
        <v>796</v>
      </c>
      <c r="B35" s="221" t="s">
        <v>2212</v>
      </c>
      <c r="C35" s="226">
        <f ca="1">ROUND(C34*F35,0)</f>
        <v>78384</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130640</v>
      </c>
      <c r="D36" s="226"/>
      <c r="E36" s="226"/>
      <c r="F36" s="265">
        <f>'数据-取费表'!B34</f>
        <v>0.05</v>
      </c>
      <c r="G36" s="266" t="s">
        <v>2215</v>
      </c>
    </row>
    <row r="37" spans="1:7" s="264" customFormat="1" ht="13.5" customHeight="1">
      <c r="A37" s="888" t="s">
        <v>798</v>
      </c>
      <c r="B37" s="221" t="s">
        <v>2216</v>
      </c>
      <c r="C37" s="255">
        <f ca="1">ROUND(E37*D37,0)</f>
        <v>104512</v>
      </c>
      <c r="D37" s="223">
        <f ca="1">D19</f>
        <v>522.55999999999995</v>
      </c>
      <c r="E37" s="255">
        <f>'数据-取费表'!B35</f>
        <v>200</v>
      </c>
      <c r="F37" s="265"/>
      <c r="G37" s="267"/>
    </row>
    <row r="38" spans="1:7" ht="13.5" customHeight="1">
      <c r="A38" s="888" t="s">
        <v>799</v>
      </c>
      <c r="B38" s="221" t="s">
        <v>2218</v>
      </c>
      <c r="C38" s="226">
        <f ca="1">ROUND(C34*F38,0)</f>
        <v>39192</v>
      </c>
      <c r="D38" s="226"/>
      <c r="E38" s="226"/>
      <c r="F38" s="265">
        <f>'数据-取费表'!B36</f>
        <v>1.4999999999999999E-2</v>
      </c>
      <c r="G38" s="225" t="s">
        <v>2213</v>
      </c>
    </row>
    <row r="39" spans="1:7" s="220" customFormat="1" ht="13.5" customHeight="1">
      <c r="A39" s="261" t="s">
        <v>2219</v>
      </c>
      <c r="B39" s="216" t="s">
        <v>2220</v>
      </c>
      <c r="C39" s="238">
        <f ca="1">ROUND(C33*F20,0)</f>
        <v>59311</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98159</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96234</v>
      </c>
      <c r="D42" s="244"/>
      <c r="E42" s="244"/>
      <c r="F42" s="245"/>
      <c r="G42" s="3297" t="s">
        <v>2276</v>
      </c>
    </row>
    <row r="43" spans="1:7" ht="13.5" customHeight="1">
      <c r="A43" s="888" t="s">
        <v>792</v>
      </c>
      <c r="B43" s="221" t="s">
        <v>2230</v>
      </c>
      <c r="C43" s="244">
        <f ca="1">ROUND(IF('数据-取费表'!B22&lt;=1,C39*F22*'数据-取费表'!B20/2,C39*(POWER((1+F22),'数据-取费表'!B20/2)-1)),0)</f>
        <v>1925</v>
      </c>
      <c r="D43" s="244"/>
      <c r="E43" s="244"/>
      <c r="F43" s="245"/>
      <c r="G43" s="3298"/>
    </row>
    <row r="44" spans="1:7" ht="13.5" customHeight="1">
      <c r="A44" s="888" t="s">
        <v>793</v>
      </c>
      <c r="B44" s="221" t="s">
        <v>2231</v>
      </c>
      <c r="C44" s="244">
        <f ca="1">ROUND(IF('数据-取费表'!B22&lt;=1,C40*F22*'数据-取费表'!B20/2,C40*(POWER((1+F22),'数据-取费表'!B20/2)-1)),4)</f>
        <v>5.9999999999999995E-4</v>
      </c>
      <c r="D44" s="244"/>
      <c r="E44" s="244"/>
      <c r="F44" s="245"/>
      <c r="G44" s="3299"/>
    </row>
    <row r="45" spans="1:7" s="220" customFormat="1" ht="13.5" customHeight="1">
      <c r="A45" s="261" t="s">
        <v>2232</v>
      </c>
      <c r="B45" s="250" t="s">
        <v>2198</v>
      </c>
      <c r="C45" s="251">
        <f ca="1">C46</f>
        <v>453726</v>
      </c>
      <c r="D45" s="241">
        <f ca="1">C47</f>
        <v>3.0000000000000001E-3</v>
      </c>
      <c r="E45" s="242" t="s">
        <v>2224</v>
      </c>
      <c r="F45" s="2535">
        <f ca="1">F27</f>
        <v>0.15</v>
      </c>
      <c r="G45" s="253" t="s">
        <v>2233</v>
      </c>
    </row>
    <row r="46" spans="1:7" s="220" customFormat="1" ht="13.5" customHeight="1">
      <c r="A46" s="888" t="s">
        <v>791</v>
      </c>
      <c r="B46" s="254" t="s">
        <v>2234</v>
      </c>
      <c r="C46" s="255">
        <f ca="1">ROUND((C33+C39)*F27,0)</f>
        <v>453726</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3874687</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3293484</v>
      </c>
      <c r="D51" s="238"/>
      <c r="E51" s="238"/>
      <c r="F51" s="270"/>
      <c r="G51" s="240" t="s">
        <v>2245</v>
      </c>
    </row>
    <row r="52" spans="1:7" s="214" customFormat="1" ht="16.8" thickBot="1">
      <c r="A52" s="271" t="s">
        <v>2246</v>
      </c>
      <c r="B52" s="272"/>
      <c r="C52" s="273">
        <f ca="1">C31+C51</f>
        <v>3574176</v>
      </c>
      <c r="D52" s="272"/>
      <c r="E52" s="272"/>
      <c r="F52" s="272"/>
      <c r="G52" s="274"/>
    </row>
    <row r="55" spans="1:7" ht="15">
      <c r="B55" s="276" t="s">
        <v>2247</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5.2">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522.55999999999995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522.55999999999995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4" t="s">
        <v>1368</v>
      </c>
      <c r="C6" s="1206">
        <f ca="1">ROUND(F6*F8*F7*(1-F9),0)</f>
        <v>0</v>
      </c>
      <c r="D6" s="160" t="s">
        <v>2845</v>
      </c>
      <c r="E6" s="308" t="s">
        <v>1370</v>
      </c>
      <c r="F6" s="309">
        <f ca="1">INDIRECT("'数据-取费表'!u"&amp;$G$1)</f>
        <v>0</v>
      </c>
      <c r="G6" s="1569"/>
      <c r="H6" s="1201" t="s">
        <v>1003</v>
      </c>
      <c r="I6" s="3294" t="s">
        <v>1368</v>
      </c>
      <c r="J6" s="307">
        <f ca="1">ROUND(M6*M8*M7*(1-M9),0)</f>
        <v>0</v>
      </c>
      <c r="K6" s="1561" t="s">
        <v>2846</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9"/>
      <c r="H7" s="310"/>
      <c r="I7" s="3295"/>
      <c r="J7" s="312"/>
      <c r="K7" s="313"/>
      <c r="L7" s="308" t="s">
        <v>1371</v>
      </c>
      <c r="M7" s="309">
        <f ca="1">F7</f>
        <v>0</v>
      </c>
    </row>
    <row r="8" spans="1:37" ht="18" customHeight="1">
      <c r="A8" s="310"/>
      <c r="B8" s="3295"/>
      <c r="C8" s="312"/>
      <c r="D8" s="313"/>
      <c r="E8" s="308" t="s">
        <v>1372</v>
      </c>
      <c r="F8" s="309">
        <f ca="1">INDIRECT("'数据-取费表'!ai"&amp;$G$1)</f>
        <v>0</v>
      </c>
      <c r="G8" s="1569"/>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8"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8"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8"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8"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8"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8"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4">
        <f ca="1">IF(M47="住宅",IF(D1="——",MAX(J51,L48),MAX(J51,L48-'数据-取费表'!B24)),IF(D1="——",MIN(J51,L48),MIN(J51,L48-'数据-取费表'!B24)))</f>
        <v>0</v>
      </c>
      <c r="K53" s="3292" t="s">
        <v>1513</v>
      </c>
      <c r="L53" s="3293"/>
      <c r="O53" s="1603" t="s">
        <v>1014</v>
      </c>
      <c r="P53" s="1604" t="s">
        <v>1514</v>
      </c>
      <c r="Q53" s="1605" t="e">
        <f ca="1">Q47+Q48</f>
        <v>#DIV/0!</v>
      </c>
      <c r="R53" s="1605" t="s">
        <v>1015</v>
      </c>
    </row>
    <row r="54" spans="1:18" s="1569" customFormat="1" ht="13.8"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6"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6"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6"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8"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8"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8"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8"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2"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24.6"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2"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8" thickBot="1">
      <c r="A69" s="1082"/>
      <c r="B69" s="1083"/>
      <c r="C69" s="312"/>
      <c r="D69" s="1101" t="s">
        <v>1438</v>
      </c>
      <c r="E69" s="1081" t="s">
        <v>1439</v>
      </c>
      <c r="F69" s="339">
        <f ca="1">F41</f>
        <v>0</v>
      </c>
      <c r="O69" s="1613" t="s">
        <v>1016</v>
      </c>
      <c r="P69" s="1652" t="s">
        <v>1548</v>
      </c>
      <c r="Q69" s="1605">
        <f ca="1">C39</f>
        <v>0</v>
      </c>
      <c r="R69" s="1605" t="s">
        <v>1494</v>
      </c>
    </row>
    <row r="70" spans="1:18" s="1569" customFormat="1" ht="13.8" thickBot="1">
      <c r="A70" s="1085"/>
      <c r="B70" s="1086"/>
      <c r="C70" s="316"/>
      <c r="D70" s="1097"/>
      <c r="E70" s="1081" t="s">
        <v>1442</v>
      </c>
      <c r="F70" s="1185">
        <f ca="1">F42</f>
        <v>0</v>
      </c>
      <c r="O70" s="1613" t="s">
        <v>1017</v>
      </c>
      <c r="P70" s="1652" t="s">
        <v>1549</v>
      </c>
      <c r="Q70" s="1605">
        <f ca="1">C13</f>
        <v>0</v>
      </c>
      <c r="R70" s="1605" t="s">
        <v>1494</v>
      </c>
    </row>
    <row r="71" spans="1:18" s="1569" customFormat="1" ht="13.8"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8" thickBot="1">
      <c r="B72" s="735"/>
      <c r="C72" s="735"/>
      <c r="O72" s="1613" t="s">
        <v>1012</v>
      </c>
      <c r="P72" s="1604" t="s">
        <v>1528</v>
      </c>
      <c r="Q72" s="1616">
        <f>L52</f>
        <v>0</v>
      </c>
      <c r="R72" s="1605"/>
    </row>
    <row r="73" spans="1:18" ht="16.2" thickBot="1">
      <c r="A73" s="1569"/>
      <c r="B73" s="735"/>
      <c r="C73" s="735"/>
      <c r="D73" s="1569"/>
      <c r="E73" s="1569"/>
      <c r="F73" s="1569"/>
      <c r="O73" s="1613" t="s">
        <v>1013</v>
      </c>
      <c r="P73" s="1604" t="s">
        <v>1531</v>
      </c>
      <c r="Q73" s="1605" t="e">
        <f ca="1">L58</f>
        <v>#DIV/0!</v>
      </c>
      <c r="R73" s="1605" t="s">
        <v>1532</v>
      </c>
    </row>
    <row r="74" spans="1:18" ht="13.8"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8"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3" customWidth="1"/>
    <col min="2" max="2" width="12" style="1663" customWidth="1"/>
    <col min="3" max="3" width="9" style="1663"/>
    <col min="4" max="4" width="14.109375" style="1663" customWidth="1"/>
    <col min="5" max="5" width="9" style="1663"/>
    <col min="6" max="6" width="12.88671875" style="1663" customWidth="1"/>
    <col min="7" max="16384" width="9" style="1663"/>
  </cols>
  <sheetData>
    <row r="1" spans="1:22" ht="21.6">
      <c r="A1" s="2054" t="s">
        <v>2346</v>
      </c>
      <c r="B1" s="2055"/>
      <c r="C1" s="2055"/>
      <c r="D1" s="2055"/>
      <c r="E1" s="2056"/>
      <c r="F1" s="2934"/>
      <c r="G1" s="1675"/>
      <c r="H1" s="1675"/>
      <c r="I1" s="1675"/>
      <c r="J1" s="1675"/>
      <c r="K1" s="1675"/>
      <c r="L1" s="1675"/>
      <c r="M1" s="1675"/>
      <c r="N1" s="1675"/>
      <c r="O1" s="1675"/>
      <c r="P1" s="1675"/>
      <c r="Q1" s="1675"/>
      <c r="R1" s="1675"/>
      <c r="S1" s="1675"/>
    </row>
    <row r="2" spans="1:22" ht="15.6">
      <c r="A2" s="2057" t="s">
        <v>2147</v>
      </c>
      <c r="B2" s="2058">
        <f ca="1">SUMIF(B6:B13,"&lt;&gt;#ref!",B6:B13)</f>
        <v>4154</v>
      </c>
      <c r="C2" s="2059" t="s">
        <v>2339</v>
      </c>
      <c r="D2" s="2060" t="s">
        <v>2340</v>
      </c>
      <c r="E2" s="2831">
        <f>SUM(E6:E13)</f>
        <v>522.55999999999995</v>
      </c>
      <c r="F2" s="2934"/>
      <c r="G2" s="1675"/>
      <c r="H2" s="1675"/>
      <c r="I2" s="1675"/>
      <c r="J2" s="1675"/>
      <c r="K2" s="1675"/>
      <c r="L2" s="1675"/>
      <c r="M2" s="1675"/>
      <c r="N2" s="1675"/>
      <c r="O2" s="1675"/>
      <c r="P2" s="1675"/>
      <c r="Q2" s="1675"/>
      <c r="R2" s="1675"/>
      <c r="S2" s="1675"/>
    </row>
    <row r="3" spans="1:22" ht="15.6">
      <c r="A3" s="2057" t="s">
        <v>1360</v>
      </c>
      <c r="B3" s="2825">
        <f ca="1">ROUND(B2*10000/E2,0)</f>
        <v>79493</v>
      </c>
      <c r="C3" s="2059" t="s">
        <v>2347</v>
      </c>
      <c r="D3" s="2936"/>
      <c r="E3" s="2938"/>
      <c r="F3" s="2934"/>
      <c r="G3" s="1675"/>
      <c r="H3" s="1675"/>
      <c r="I3" s="1675"/>
      <c r="J3" s="1675"/>
      <c r="K3" s="1675"/>
      <c r="L3" s="1675"/>
      <c r="M3" s="1675"/>
      <c r="N3" s="1675"/>
      <c r="O3" s="1675"/>
      <c r="P3" s="1675"/>
      <c r="Q3" s="1675"/>
      <c r="R3" s="1675"/>
      <c r="S3" s="1675"/>
    </row>
    <row r="4" spans="1:22" ht="15.6">
      <c r="A4" s="2939"/>
      <c r="B4" s="2936"/>
      <c r="C4" s="2936"/>
      <c r="D4" s="2936"/>
      <c r="E4" s="2938"/>
      <c r="F4" s="2934"/>
      <c r="G4" s="1675"/>
      <c r="H4" s="1675"/>
      <c r="I4" s="1675"/>
      <c r="J4" s="1675"/>
      <c r="K4" s="1675"/>
      <c r="L4" s="1675"/>
      <c r="M4" s="1675"/>
      <c r="N4" s="1675"/>
      <c r="O4" s="1675"/>
      <c r="P4" s="1675"/>
      <c r="Q4" s="1675"/>
      <c r="R4" s="1675"/>
      <c r="S4" s="1675"/>
    </row>
    <row r="5" spans="1:22" ht="14.4">
      <c r="A5" s="2827" t="s">
        <v>2341</v>
      </c>
      <c r="B5" s="3300" t="s">
        <v>2342</v>
      </c>
      <c r="C5" s="3301"/>
      <c r="D5" s="2935"/>
      <c r="E5" s="2061" t="s">
        <v>2343</v>
      </c>
      <c r="F5" s="2062" t="s">
        <v>2344</v>
      </c>
      <c r="G5" s="1675"/>
      <c r="H5" s="1675"/>
      <c r="I5" s="1675"/>
      <c r="J5" s="1675"/>
      <c r="K5" s="1675"/>
      <c r="L5" s="1675"/>
      <c r="M5" s="1675"/>
      <c r="N5" s="1675"/>
      <c r="O5" s="1675"/>
      <c r="P5" s="1675"/>
      <c r="Q5" s="1675"/>
      <c r="R5" s="1675"/>
      <c r="S5" s="1675"/>
    </row>
    <row r="6" spans="1:22" ht="14.4">
      <c r="A6" s="2828" t="str">
        <f>'数据-取费表'!AN6</f>
        <v>收益法</v>
      </c>
      <c r="B6" s="2826">
        <f ca="1">IF(F6="是",'数据-取费表'!AO6,0)</f>
        <v>4154</v>
      </c>
      <c r="C6" s="2059" t="s">
        <v>2339</v>
      </c>
      <c r="D6" s="2936"/>
      <c r="E6" s="2830">
        <f>IF(OR(A6=0,F6="否"),0,'数据-取费表'!K6+'数据-取费表'!S6)</f>
        <v>522.55999999999995</v>
      </c>
      <c r="F6" s="2063" t="s">
        <v>2345</v>
      </c>
      <c r="G6" s="1675"/>
      <c r="H6" s="1675"/>
      <c r="I6" s="1675"/>
      <c r="J6" s="1675"/>
      <c r="K6" s="1675"/>
      <c r="L6" s="1675"/>
      <c r="M6" s="1675"/>
      <c r="N6" s="1675"/>
      <c r="O6" s="1675"/>
      <c r="P6" s="1675"/>
      <c r="Q6" s="1675"/>
      <c r="R6" s="1675"/>
      <c r="S6" s="1675"/>
    </row>
    <row r="7" spans="1:22" ht="14.4">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ht="14.4">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ht="14.4">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ht="14.4">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ht="14.4">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ht="14.4">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2" t="s">
        <v>1044</v>
      </c>
      <c r="B1" s="3303"/>
      <c r="C1" s="3304"/>
      <c r="D1" s="3305">
        <f>SUM(I10,I15,I20,I21,I23)</f>
        <v>0</v>
      </c>
      <c r="E1" s="3305"/>
      <c r="F1" s="3305"/>
      <c r="G1" s="3305"/>
      <c r="H1" s="3305"/>
      <c r="I1" s="3306"/>
    </row>
    <row r="2" spans="1:9">
      <c r="A2" s="3307" t="s">
        <v>1045</v>
      </c>
      <c r="B2" s="3308" t="s">
        <v>1046</v>
      </c>
      <c r="C2" s="3308"/>
      <c r="D2" s="1211" t="s">
        <v>1047</v>
      </c>
      <c r="E2" s="1211" t="s">
        <v>1048</v>
      </c>
      <c r="F2" s="1211" t="s">
        <v>1049</v>
      </c>
      <c r="G2" s="1211" t="s">
        <v>1050</v>
      </c>
      <c r="H2" s="1211" t="s">
        <v>1051</v>
      </c>
      <c r="I2" s="1212" t="s">
        <v>1052</v>
      </c>
    </row>
    <row r="3" spans="1:9">
      <c r="A3" s="3307"/>
      <c r="B3" s="3308" t="s">
        <v>1053</v>
      </c>
      <c r="C3" s="3308"/>
      <c r="D3" s="1213"/>
      <c r="E3" s="1211"/>
      <c r="F3" s="1214"/>
      <c r="G3" s="1214"/>
      <c r="H3" s="1215"/>
      <c r="I3" s="1216">
        <f>ROUND(D3*E3*F3*G3*H3/10000,0)</f>
        <v>0</v>
      </c>
    </row>
    <row r="4" spans="1:9">
      <c r="A4" s="3307"/>
      <c r="B4" s="3308" t="s">
        <v>1054</v>
      </c>
      <c r="C4" s="3308"/>
      <c r="D4" s="1213"/>
      <c r="E4" s="1211"/>
      <c r="F4" s="1214"/>
      <c r="G4" s="1214"/>
      <c r="H4" s="1215"/>
      <c r="I4" s="1216">
        <f t="shared" ref="I4:I9" si="0">ROUND(D4*E4*F4*G4*H4/10000,0)</f>
        <v>0</v>
      </c>
    </row>
    <row r="5" spans="1:9">
      <c r="A5" s="3307"/>
      <c r="B5" s="3308" t="s">
        <v>1055</v>
      </c>
      <c r="C5" s="3308"/>
      <c r="D5" s="1213"/>
      <c r="E5" s="1211"/>
      <c r="F5" s="1214"/>
      <c r="G5" s="1214"/>
      <c r="H5" s="1215"/>
      <c r="I5" s="1216">
        <f t="shared" si="0"/>
        <v>0</v>
      </c>
    </row>
    <row r="6" spans="1:9">
      <c r="A6" s="3307"/>
      <c r="B6" s="3308" t="s">
        <v>1056</v>
      </c>
      <c r="C6" s="3308"/>
      <c r="D6" s="1213"/>
      <c r="E6" s="1211"/>
      <c r="F6" s="1214"/>
      <c r="G6" s="1214"/>
      <c r="H6" s="1215"/>
      <c r="I6" s="1216">
        <f t="shared" si="0"/>
        <v>0</v>
      </c>
    </row>
    <row r="7" spans="1:9">
      <c r="A7" s="3307"/>
      <c r="B7" s="3308" t="s">
        <v>1057</v>
      </c>
      <c r="C7" s="3308"/>
      <c r="D7" s="1213"/>
      <c r="E7" s="1211"/>
      <c r="F7" s="1214"/>
      <c r="G7" s="1214"/>
      <c r="H7" s="1215"/>
      <c r="I7" s="1216">
        <f t="shared" si="0"/>
        <v>0</v>
      </c>
    </row>
    <row r="8" spans="1:9">
      <c r="A8" s="3307"/>
      <c r="B8" s="3308" t="s">
        <v>1058</v>
      </c>
      <c r="C8" s="3308"/>
      <c r="D8" s="1213"/>
      <c r="E8" s="1211"/>
      <c r="F8" s="1214"/>
      <c r="G8" s="1214"/>
      <c r="H8" s="1215"/>
      <c r="I8" s="1216">
        <f t="shared" si="0"/>
        <v>0</v>
      </c>
    </row>
    <row r="9" spans="1:9">
      <c r="A9" s="3307"/>
      <c r="B9" s="3308" t="s">
        <v>1059</v>
      </c>
      <c r="C9" s="3308"/>
      <c r="D9" s="1213"/>
      <c r="E9" s="1211"/>
      <c r="F9" s="1214"/>
      <c r="G9" s="1214"/>
      <c r="H9" s="1215"/>
      <c r="I9" s="1216">
        <f t="shared" si="0"/>
        <v>0</v>
      </c>
    </row>
    <row r="10" spans="1:9">
      <c r="A10" s="3307"/>
      <c r="B10" s="3309" t="s">
        <v>1060</v>
      </c>
      <c r="C10" s="3309"/>
      <c r="D10" s="1217"/>
      <c r="E10" s="1217" t="e">
        <f>ROUND(D1*10000/D10/H9,0)</f>
        <v>#DIV/0!</v>
      </c>
      <c r="F10" s="1218"/>
      <c r="G10" s="1218"/>
      <c r="H10" s="1219"/>
      <c r="I10" s="1220">
        <f>SUM(I3:I9)</f>
        <v>0</v>
      </c>
    </row>
    <row r="11" spans="1:9" ht="15.6">
      <c r="A11" s="3307" t="s">
        <v>1061</v>
      </c>
      <c r="B11" s="3308" t="s">
        <v>1062</v>
      </c>
      <c r="C11" s="3308"/>
      <c r="D11" s="1213" t="s">
        <v>1063</v>
      </c>
      <c r="E11" s="1213" t="s">
        <v>1064</v>
      </c>
      <c r="F11" s="1214" t="s">
        <v>1065</v>
      </c>
      <c r="G11" s="1214" t="s">
        <v>1051</v>
      </c>
      <c r="H11" s="1221" t="s">
        <v>1066</v>
      </c>
      <c r="I11" s="1212" t="s">
        <v>1052</v>
      </c>
    </row>
    <row r="12" spans="1:9">
      <c r="A12" s="3307"/>
      <c r="B12" s="3308" t="s">
        <v>1067</v>
      </c>
      <c r="C12" s="3308"/>
      <c r="D12" s="1213"/>
      <c r="E12" s="1213"/>
      <c r="F12" s="1214"/>
      <c r="G12" s="1215"/>
      <c r="H12" s="1222"/>
      <c r="I12" s="1212">
        <f>ROUND(D12*E12*F12*G12/10000,0)</f>
        <v>0</v>
      </c>
    </row>
    <row r="13" spans="1:9">
      <c r="A13" s="3307"/>
      <c r="B13" s="3308" t="s">
        <v>1068</v>
      </c>
      <c r="C13" s="3308"/>
      <c r="D13" s="1213"/>
      <c r="E13" s="1213"/>
      <c r="F13" s="1214"/>
      <c r="G13" s="1215"/>
      <c r="H13" s="1222"/>
      <c r="I13" s="1212">
        <f>ROUND(D13*E13*F13*G13/10000,0)</f>
        <v>0</v>
      </c>
    </row>
    <row r="14" spans="1:9">
      <c r="A14" s="3307"/>
      <c r="B14" s="3308" t="s">
        <v>1069</v>
      </c>
      <c r="C14" s="3308"/>
      <c r="D14" s="1213"/>
      <c r="E14" s="1213"/>
      <c r="F14" s="1214"/>
      <c r="G14" s="1215"/>
      <c r="H14" s="1222"/>
      <c r="I14" s="1212">
        <f>ROUND(D14*E14*F14*G14/10000,0)</f>
        <v>0</v>
      </c>
    </row>
    <row r="15" spans="1:9">
      <c r="A15" s="3307"/>
      <c r="B15" s="3309" t="s">
        <v>1060</v>
      </c>
      <c r="C15" s="3309"/>
      <c r="D15" s="1217"/>
      <c r="E15" s="1217">
        <f>SUM(E12:E14)</f>
        <v>0</v>
      </c>
      <c r="F15" s="1218"/>
      <c r="G15" s="1215"/>
      <c r="H15" s="1222"/>
      <c r="I15" s="1223">
        <f>SUM(I12:I14)</f>
        <v>0</v>
      </c>
    </row>
    <row r="16" spans="1:9" ht="24">
      <c r="A16" s="3307" t="s">
        <v>1070</v>
      </c>
      <c r="B16" s="3308" t="s">
        <v>1071</v>
      </c>
      <c r="C16" s="3308"/>
      <c r="D16" s="1213" t="s">
        <v>1047</v>
      </c>
      <c r="E16" s="1224" t="s">
        <v>1072</v>
      </c>
      <c r="F16" s="1214" t="s">
        <v>1073</v>
      </c>
      <c r="G16" s="1215" t="s">
        <v>1051</v>
      </c>
      <c r="H16" s="1221" t="s">
        <v>1066</v>
      </c>
      <c r="I16" s="1212" t="s">
        <v>1052</v>
      </c>
    </row>
    <row r="17" spans="1:9" ht="15.6">
      <c r="A17" s="3307"/>
      <c r="B17" s="3308" t="s">
        <v>1074</v>
      </c>
      <c r="C17" s="3308"/>
      <c r="D17" s="1213"/>
      <c r="E17" s="1213"/>
      <c r="F17" s="1214"/>
      <c r="G17" s="1215"/>
      <c r="H17" s="1225"/>
      <c r="I17" s="1226">
        <f>ROUND(D17*E17*F17*G17/10000,0)</f>
        <v>0</v>
      </c>
    </row>
    <row r="18" spans="1:9" ht="15.6">
      <c r="A18" s="3307"/>
      <c r="B18" s="3308" t="s">
        <v>1075</v>
      </c>
      <c r="C18" s="3308"/>
      <c r="D18" s="1213"/>
      <c r="E18" s="1213"/>
      <c r="F18" s="1214"/>
      <c r="G18" s="1215"/>
      <c r="H18" s="1225"/>
      <c r="I18" s="1226">
        <f>ROUND(D18*E18*F18*G18/10000,0)</f>
        <v>0</v>
      </c>
    </row>
    <row r="19" spans="1:9" ht="15.6">
      <c r="A19" s="3307"/>
      <c r="B19" s="3308" t="s">
        <v>1076</v>
      </c>
      <c r="C19" s="3308"/>
      <c r="D19" s="1213"/>
      <c r="E19" s="1213"/>
      <c r="F19" s="1214"/>
      <c r="G19" s="1215"/>
      <c r="H19" s="1225"/>
      <c r="I19" s="1226">
        <f>ROUND(D19*E19*F19*G19/10000,0)</f>
        <v>0</v>
      </c>
    </row>
    <row r="20" spans="1:9">
      <c r="A20" s="3307"/>
      <c r="B20" s="3309" t="s">
        <v>1060</v>
      </c>
      <c r="C20" s="3309"/>
      <c r="D20" s="1217">
        <f>SUM(D17:D19)</f>
        <v>0</v>
      </c>
      <c r="E20" s="1217"/>
      <c r="F20" s="1218"/>
      <c r="G20" s="1215"/>
      <c r="H20" s="1222"/>
      <c r="I20" s="1223">
        <f>SUM(I17:I19)</f>
        <v>0</v>
      </c>
    </row>
    <row r="21" spans="1:9">
      <c r="A21" s="3307" t="s">
        <v>1077</v>
      </c>
      <c r="B21" s="3311"/>
      <c r="C21" s="3311"/>
      <c r="D21" s="3311"/>
      <c r="E21" s="3311"/>
      <c r="F21" s="3311"/>
      <c r="G21" s="3311"/>
      <c r="H21" s="1503">
        <v>0.1</v>
      </c>
      <c r="I21" s="1220">
        <f>ROUND(I10*H21,0)</f>
        <v>0</v>
      </c>
    </row>
    <row r="22" spans="1:9" ht="15.6">
      <c r="A22" s="3312" t="s">
        <v>1078</v>
      </c>
      <c r="B22" s="3313"/>
      <c r="C22" s="3314"/>
      <c r="D22" s="1227" t="s">
        <v>1079</v>
      </c>
      <c r="E22" s="1227" t="s">
        <v>1080</v>
      </c>
      <c r="F22" s="1228" t="s">
        <v>1081</v>
      </c>
      <c r="G22" s="1228" t="s">
        <v>1082</v>
      </c>
      <c r="H22" s="1221" t="s">
        <v>1083</v>
      </c>
      <c r="I22" s="1212" t="s">
        <v>1084</v>
      </c>
    </row>
    <row r="23" spans="1:9" ht="15" thickBot="1">
      <c r="A23" s="3315"/>
      <c r="B23" s="3316"/>
      <c r="C23" s="3317"/>
      <c r="D23" s="1229"/>
      <c r="E23" s="1229"/>
      <c r="F23" s="1229"/>
      <c r="G23" s="1230"/>
      <c r="H23" s="1231"/>
      <c r="I23" s="1232">
        <f>ROUND(E23*D23*F23*(1-G23)/10000,0)</f>
        <v>0</v>
      </c>
    </row>
    <row r="26" spans="1:9">
      <c r="A26" s="1233" t="s">
        <v>1085</v>
      </c>
      <c r="B26" s="1233"/>
      <c r="C26" s="1233"/>
      <c r="D26" s="1233"/>
      <c r="E26" s="3318">
        <f>C27-C30-C31-C32</f>
        <v>0</v>
      </c>
      <c r="F26" s="3318"/>
      <c r="G26" s="3318"/>
      <c r="H26" s="1500"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20" t="s">
        <v>1097</v>
      </c>
      <c r="B33" s="3321"/>
      <c r="C33" s="3321"/>
      <c r="D33" s="3322"/>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5" t="s">
        <v>2462</v>
      </c>
      <c r="C1" s="1406" t="s">
        <v>2350</v>
      </c>
      <c r="D1" s="1393"/>
      <c r="E1" s="2541"/>
      <c r="F1" s="2066"/>
      <c r="G1" s="1403" t="s">
        <v>2463</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76"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76"/>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76"/>
      <c r="AC6" s="3248"/>
    </row>
    <row r="7" spans="1:29" s="113" customFormat="1" ht="15" thickBot="1">
      <c r="A7" s="368" t="s">
        <v>2368</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0" t="s">
        <v>2380</v>
      </c>
      <c r="Q15" s="1537" t="str">
        <f t="shared" si="6"/>
        <v>商业繁华度</v>
      </c>
      <c r="R15" s="714" t="s">
        <v>17</v>
      </c>
      <c r="S15" s="715">
        <f t="shared" si="0"/>
        <v>100</v>
      </c>
      <c r="T15" s="714" t="s">
        <v>17</v>
      </c>
      <c r="U15" s="715">
        <f t="shared" si="1"/>
        <v>100</v>
      </c>
      <c r="V15" s="714" t="s">
        <v>17</v>
      </c>
      <c r="W15" s="715">
        <f t="shared" si="2"/>
        <v>100</v>
      </c>
      <c r="X15" s="1540"/>
      <c r="Y15" s="3283"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1538">
        <v>1</v>
      </c>
    </row>
    <row r="17" spans="1:29" ht="82.8">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1538">
        <v>1</v>
      </c>
    </row>
    <row r="19" spans="1:29" ht="41.4">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1538">
        <v>1</v>
      </c>
    </row>
    <row r="21" spans="1:29" ht="27.6">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91"/>
      <c r="Q22" s="1537"/>
      <c r="R22" s="714"/>
      <c r="S22" s="715"/>
      <c r="T22" s="714"/>
      <c r="U22" s="715"/>
      <c r="V22" s="714"/>
      <c r="W22" s="715"/>
      <c r="X22" s="1540"/>
      <c r="Y22" s="3284"/>
      <c r="Z22" s="1541"/>
      <c r="AA22" s="1538">
        <v>1</v>
      </c>
      <c r="AB22" s="1538">
        <v>1</v>
      </c>
      <c r="AC22" s="1538">
        <v>1</v>
      </c>
    </row>
    <row r="23" spans="1:29" ht="55.2">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1"/>
      <c r="Q23" s="1537" t="str">
        <f>B23</f>
        <v>自然及人文环境</v>
      </c>
      <c r="R23" s="714" t="s">
        <v>17</v>
      </c>
      <c r="S23" s="715">
        <f>F23</f>
        <v>100</v>
      </c>
      <c r="T23" s="714" t="s">
        <v>17</v>
      </c>
      <c r="U23" s="715">
        <f>H23</f>
        <v>100</v>
      </c>
      <c r="V23" s="714" t="s">
        <v>17</v>
      </c>
      <c r="W23" s="715">
        <f>J23</f>
        <v>100</v>
      </c>
      <c r="X23" s="1540"/>
      <c r="Y23" s="3284"/>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1"/>
      <c r="Q25" s="1537" t="str">
        <f t="shared" ref="Q25:Q46" si="11">B25</f>
        <v>临街状况</v>
      </c>
      <c r="R25" s="714" t="s">
        <v>17</v>
      </c>
      <c r="S25" s="715">
        <f>F25</f>
        <v>100</v>
      </c>
      <c r="T25" s="714" t="s">
        <v>17</v>
      </c>
      <c r="U25" s="715">
        <f>H25</f>
        <v>100</v>
      </c>
      <c r="V25" s="714" t="s">
        <v>17</v>
      </c>
      <c r="W25" s="715">
        <f>J25</f>
        <v>100</v>
      </c>
      <c r="X25" s="1540"/>
      <c r="Y25" s="3284"/>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1"/>
      <c r="Q26" s="1537" t="str">
        <f t="shared" si="11"/>
        <v>平面位置/可视性</v>
      </c>
      <c r="R26" s="714" t="s">
        <v>17</v>
      </c>
      <c r="S26" s="715">
        <f>F26</f>
        <v>100</v>
      </c>
      <c r="T26" s="714" t="s">
        <v>17</v>
      </c>
      <c r="U26" s="715">
        <f>H26</f>
        <v>100</v>
      </c>
      <c r="V26" s="714" t="s">
        <v>17</v>
      </c>
      <c r="W26" s="715">
        <f>J26</f>
        <v>100</v>
      </c>
      <c r="X26" s="1540"/>
      <c r="Y26" s="3284"/>
      <c r="Z26" s="1541" t="str">
        <f>Q26</f>
        <v>平面位置/可视性</v>
      </c>
      <c r="AA26" s="1538">
        <f t="shared" si="3"/>
        <v>1</v>
      </c>
      <c r="AB26" s="1538">
        <f t="shared" si="4"/>
        <v>1</v>
      </c>
      <c r="AC26" s="1538">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91"/>
      <c r="Q27" s="1528" t="str">
        <f t="shared" si="11"/>
        <v>人流量</v>
      </c>
      <c r="R27" s="710" t="s">
        <v>17</v>
      </c>
      <c r="S27" s="711">
        <f>F27</f>
        <v>100</v>
      </c>
      <c r="T27" s="710" t="s">
        <v>17</v>
      </c>
      <c r="U27" s="711">
        <f>H27</f>
        <v>100</v>
      </c>
      <c r="V27" s="710" t="s">
        <v>17</v>
      </c>
      <c r="W27" s="711">
        <f>J27</f>
        <v>100</v>
      </c>
      <c r="X27" s="712"/>
      <c r="Y27" s="3284"/>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4"/>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1"/>
      <c r="Q29" s="1537">
        <f t="shared" si="11"/>
        <v>111</v>
      </c>
      <c r="R29" s="714" t="s">
        <v>17</v>
      </c>
      <c r="S29" s="715">
        <f t="shared" si="12"/>
        <v>100</v>
      </c>
      <c r="T29" s="714" t="s">
        <v>17</v>
      </c>
      <c r="U29" s="715">
        <f t="shared" si="13"/>
        <v>100</v>
      </c>
      <c r="V29" s="714" t="s">
        <v>17</v>
      </c>
      <c r="W29" s="715">
        <f t="shared" si="14"/>
        <v>100</v>
      </c>
      <c r="X29" s="1540"/>
      <c r="Y29" s="3284"/>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1538">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85" t="s">
        <v>2385</v>
      </c>
      <c r="Q32" s="1537" t="str">
        <f t="shared" si="11"/>
        <v>商业类型</v>
      </c>
      <c r="R32" s="714" t="s">
        <v>17</v>
      </c>
      <c r="S32" s="715">
        <f t="shared" si="12"/>
        <v>100</v>
      </c>
      <c r="T32" s="714" t="s">
        <v>17</v>
      </c>
      <c r="U32" s="715">
        <f t="shared" si="13"/>
        <v>100</v>
      </c>
      <c r="V32" s="714" t="s">
        <v>17</v>
      </c>
      <c r="W32" s="715">
        <f t="shared" si="14"/>
        <v>100</v>
      </c>
      <c r="X32" s="1540"/>
      <c r="Y32" s="3288"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86"/>
      <c r="Q33" s="716" t="str">
        <f t="shared" si="11"/>
        <v>项目建筑规模</v>
      </c>
      <c r="R33" s="717" t="s">
        <v>17</v>
      </c>
      <c r="S33" s="718" t="e">
        <f t="shared" si="12"/>
        <v>#N/A</v>
      </c>
      <c r="T33" s="717" t="s">
        <v>17</v>
      </c>
      <c r="U33" s="718" t="e">
        <f t="shared" si="13"/>
        <v>#N/A</v>
      </c>
      <c r="V33" s="717" t="s">
        <v>17</v>
      </c>
      <c r="W33" s="718" t="e">
        <f t="shared" si="14"/>
        <v>#N/A</v>
      </c>
      <c r="X33" s="719"/>
      <c r="Y33" s="3288"/>
      <c r="Z33" s="720" t="str">
        <f t="shared" si="15"/>
        <v>项目建筑规模</v>
      </c>
      <c r="AA33" s="1538" t="e">
        <f t="shared" si="3"/>
        <v>#N/A</v>
      </c>
      <c r="AB33" s="1538" t="e">
        <f t="shared" si="4"/>
        <v>#N/A</v>
      </c>
      <c r="AC33" s="1538"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86"/>
      <c r="Q34" s="1537" t="str">
        <f t="shared" si="11"/>
        <v>建筑结构</v>
      </c>
      <c r="R34" s="714" t="s">
        <v>17</v>
      </c>
      <c r="S34" s="715">
        <f t="shared" si="12"/>
        <v>100</v>
      </c>
      <c r="T34" s="714" t="s">
        <v>17</v>
      </c>
      <c r="U34" s="715">
        <f t="shared" si="13"/>
        <v>100</v>
      </c>
      <c r="V34" s="714" t="s">
        <v>17</v>
      </c>
      <c r="W34" s="715">
        <f t="shared" si="14"/>
        <v>100</v>
      </c>
      <c r="X34" s="1540"/>
      <c r="Y34" s="3288"/>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86"/>
      <c r="Q35" s="1537" t="str">
        <f t="shared" si="11"/>
        <v>公共部分装修</v>
      </c>
      <c r="R35" s="714" t="s">
        <v>17</v>
      </c>
      <c r="S35" s="715">
        <f t="shared" si="12"/>
        <v>100</v>
      </c>
      <c r="T35" s="714" t="s">
        <v>17</v>
      </c>
      <c r="U35" s="715">
        <f t="shared" si="13"/>
        <v>100</v>
      </c>
      <c r="V35" s="714" t="s">
        <v>17</v>
      </c>
      <c r="W35" s="715">
        <f t="shared" si="14"/>
        <v>100</v>
      </c>
      <c r="X35" s="1540"/>
      <c r="Y35" s="3288"/>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86"/>
      <c r="Q36" s="1537" t="str">
        <f t="shared" si="11"/>
        <v>成新度</v>
      </c>
      <c r="R36" s="714" t="s">
        <v>17</v>
      </c>
      <c r="S36" s="715" t="e">
        <f t="shared" si="12"/>
        <v>#N/A</v>
      </c>
      <c r="T36" s="714" t="s">
        <v>17</v>
      </c>
      <c r="U36" s="715" t="e">
        <f t="shared" si="13"/>
        <v>#N/A</v>
      </c>
      <c r="V36" s="714" t="s">
        <v>17</v>
      </c>
      <c r="W36" s="715" t="e">
        <f t="shared" si="14"/>
        <v>#N/A</v>
      </c>
      <c r="X36" s="1540"/>
      <c r="Y36" s="3288"/>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86"/>
      <c r="Q37" s="1528" t="str">
        <f t="shared" si="11"/>
        <v>市政基础设施</v>
      </c>
      <c r="R37" s="710" t="s">
        <v>17</v>
      </c>
      <c r="S37" s="711">
        <f t="shared" si="12"/>
        <v>100</v>
      </c>
      <c r="T37" s="710" t="s">
        <v>17</v>
      </c>
      <c r="U37" s="711">
        <f t="shared" si="13"/>
        <v>100</v>
      </c>
      <c r="V37" s="710" t="s">
        <v>17</v>
      </c>
      <c r="W37" s="711">
        <f t="shared" si="14"/>
        <v>100</v>
      </c>
      <c r="X37" s="712"/>
      <c r="Y37" s="3288"/>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86" t="s">
        <v>2385</v>
      </c>
      <c r="Q38" s="1537" t="str">
        <f t="shared" si="11"/>
        <v>业态</v>
      </c>
      <c r="R38" s="714" t="s">
        <v>17</v>
      </c>
      <c r="S38" s="715">
        <f t="shared" si="12"/>
        <v>100</v>
      </c>
      <c r="T38" s="714" t="s">
        <v>17</v>
      </c>
      <c r="U38" s="715">
        <f t="shared" si="13"/>
        <v>100</v>
      </c>
      <c r="V38" s="714" t="s">
        <v>17</v>
      </c>
      <c r="W38" s="715">
        <f t="shared" si="14"/>
        <v>100</v>
      </c>
      <c r="X38" s="1540"/>
      <c r="Y38" s="3288"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86"/>
      <c r="Q39" s="1537" t="str">
        <f t="shared" si="11"/>
        <v>层高</v>
      </c>
      <c r="R39" s="714" t="s">
        <v>17</v>
      </c>
      <c r="S39" s="715">
        <f t="shared" si="12"/>
        <v>100</v>
      </c>
      <c r="T39" s="714" t="s">
        <v>17</v>
      </c>
      <c r="U39" s="715">
        <f t="shared" si="13"/>
        <v>100</v>
      </c>
      <c r="V39" s="714" t="s">
        <v>17</v>
      </c>
      <c r="W39" s="715">
        <f t="shared" si="14"/>
        <v>100</v>
      </c>
      <c r="X39" s="1540"/>
      <c r="Y39" s="3288"/>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6"/>
      <c r="Q40" s="1537" t="str">
        <f t="shared" si="11"/>
        <v>单套建筑面积</v>
      </c>
      <c r="R40" s="714" t="s">
        <v>17</v>
      </c>
      <c r="S40" s="715">
        <f t="shared" si="12"/>
        <v>100</v>
      </c>
      <c r="T40" s="714" t="s">
        <v>17</v>
      </c>
      <c r="U40" s="715">
        <f t="shared" si="13"/>
        <v>100</v>
      </c>
      <c r="V40" s="714" t="s">
        <v>17</v>
      </c>
      <c r="W40" s="715">
        <f t="shared" si="14"/>
        <v>100</v>
      </c>
      <c r="X40" s="1540"/>
      <c r="Y40" s="3288"/>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6"/>
      <c r="Q41" s="716" t="str">
        <f t="shared" si="11"/>
        <v>进深比</v>
      </c>
      <c r="R41" s="717" t="s">
        <v>17</v>
      </c>
      <c r="S41" s="718">
        <f t="shared" si="12"/>
        <v>100</v>
      </c>
      <c r="T41" s="717" t="s">
        <v>17</v>
      </c>
      <c r="U41" s="718">
        <f t="shared" si="13"/>
        <v>100</v>
      </c>
      <c r="V41" s="717" t="s">
        <v>17</v>
      </c>
      <c r="W41" s="718">
        <f t="shared" si="14"/>
        <v>100</v>
      </c>
      <c r="X41" s="719"/>
      <c r="Y41" s="3288"/>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86"/>
      <c r="Q42" s="1537" t="str">
        <f t="shared" si="11"/>
        <v>内部装修</v>
      </c>
      <c r="R42" s="714" t="s">
        <v>17</v>
      </c>
      <c r="S42" s="715">
        <f t="shared" si="12"/>
        <v>100</v>
      </c>
      <c r="T42" s="714" t="s">
        <v>17</v>
      </c>
      <c r="U42" s="715">
        <f t="shared" si="13"/>
        <v>100</v>
      </c>
      <c r="V42" s="714" t="s">
        <v>17</v>
      </c>
      <c r="W42" s="715">
        <f t="shared" si="14"/>
        <v>100</v>
      </c>
      <c r="X42" s="1540"/>
      <c r="Y42" s="3288"/>
      <c r="Z42" s="1541" t="str">
        <f t="shared" si="15"/>
        <v>内部装修</v>
      </c>
      <c r="AA42" s="1538">
        <f t="shared" si="3"/>
        <v>1</v>
      </c>
      <c r="AB42" s="1538">
        <f t="shared" si="4"/>
        <v>1</v>
      </c>
      <c r="AC42" s="1538">
        <f t="shared" si="5"/>
        <v>1</v>
      </c>
    </row>
    <row r="43" spans="1:29" ht="28.8">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86"/>
      <c r="Q43" s="1537" t="str">
        <f t="shared" si="11"/>
        <v>内部装修维护情况</v>
      </c>
      <c r="R43" s="714" t="s">
        <v>17</v>
      </c>
      <c r="S43" s="715">
        <f t="shared" si="12"/>
        <v>100</v>
      </c>
      <c r="T43" s="714" t="s">
        <v>17</v>
      </c>
      <c r="U43" s="715">
        <f t="shared" si="13"/>
        <v>100</v>
      </c>
      <c r="V43" s="714" t="s">
        <v>17</v>
      </c>
      <c r="W43" s="715">
        <f t="shared" si="14"/>
        <v>100</v>
      </c>
      <c r="X43" s="1540"/>
      <c r="Y43" s="3288"/>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6"/>
      <c r="Q44" s="1528">
        <f t="shared" si="11"/>
        <v>111</v>
      </c>
      <c r="R44" s="710" t="s">
        <v>17</v>
      </c>
      <c r="S44" s="711">
        <f t="shared" si="12"/>
        <v>100</v>
      </c>
      <c r="T44" s="710" t="s">
        <v>17</v>
      </c>
      <c r="U44" s="711">
        <f t="shared" si="13"/>
        <v>100</v>
      </c>
      <c r="V44" s="710" t="s">
        <v>17</v>
      </c>
      <c r="W44" s="711">
        <f t="shared" si="14"/>
        <v>100</v>
      </c>
      <c r="X44" s="712"/>
      <c r="Y44" s="32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6"/>
      <c r="Q45" s="1537">
        <f t="shared" si="11"/>
        <v>111</v>
      </c>
      <c r="R45" s="714" t="s">
        <v>17</v>
      </c>
      <c r="S45" s="715">
        <f t="shared" si="12"/>
        <v>100</v>
      </c>
      <c r="T45" s="714" t="s">
        <v>17</v>
      </c>
      <c r="U45" s="715">
        <f t="shared" si="13"/>
        <v>100</v>
      </c>
      <c r="V45" s="714" t="s">
        <v>17</v>
      </c>
      <c r="W45" s="715">
        <f t="shared" si="14"/>
        <v>100</v>
      </c>
      <c r="X45" s="1540"/>
      <c r="Y45" s="3288"/>
      <c r="Z45" s="1541">
        <f t="shared" si="15"/>
        <v>111</v>
      </c>
      <c r="AA45" s="1538">
        <f t="shared" si="3"/>
        <v>1</v>
      </c>
      <c r="AB45" s="1538">
        <f t="shared" si="4"/>
        <v>1</v>
      </c>
      <c r="AC45" s="1538">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7"/>
      <c r="Q46" s="1537">
        <f t="shared" si="11"/>
        <v>111</v>
      </c>
      <c r="R46" s="714" t="s">
        <v>17</v>
      </c>
      <c r="S46" s="715">
        <f t="shared" si="12"/>
        <v>100</v>
      </c>
      <c r="T46" s="714" t="s">
        <v>17</v>
      </c>
      <c r="U46" s="715">
        <f t="shared" si="13"/>
        <v>100</v>
      </c>
      <c r="V46" s="714" t="s">
        <v>17</v>
      </c>
      <c r="W46" s="715">
        <f t="shared" si="14"/>
        <v>100</v>
      </c>
      <c r="X46" s="1540"/>
      <c r="Y46" s="3289"/>
      <c r="Z46" s="1541">
        <f t="shared" si="15"/>
        <v>111</v>
      </c>
      <c r="AA46" s="1538">
        <f t="shared" si="3"/>
        <v>1</v>
      </c>
      <c r="AB46" s="1538">
        <f t="shared" si="4"/>
        <v>1</v>
      </c>
      <c r="AC46" s="1538">
        <f t="shared" si="5"/>
        <v>1</v>
      </c>
    </row>
    <row r="47" spans="1:29" ht="14.4">
      <c r="A47" s="438" t="s">
        <v>2397</v>
      </c>
      <c r="B47" s="439"/>
      <c r="C47" s="1316" t="s">
        <v>1</v>
      </c>
      <c r="D47" s="1317"/>
      <c r="E47" s="1318"/>
      <c r="F47" s="1319"/>
      <c r="G47" s="1320"/>
      <c r="H47" s="1321"/>
      <c r="I47" s="1318"/>
      <c r="J47" s="1321"/>
      <c r="K47" s="723"/>
      <c r="L47" s="2951"/>
      <c r="M47" s="2952"/>
      <c r="N47" s="2943"/>
      <c r="O47" s="2952"/>
      <c r="P47" s="3281" t="str">
        <f>A47</f>
        <v>成交单价（元/平方米）</v>
      </c>
      <c r="Q47" s="3281"/>
      <c r="R47" s="3276">
        <f>E47</f>
        <v>0</v>
      </c>
      <c r="S47" s="3276"/>
      <c r="T47" s="3276">
        <f>G47</f>
        <v>0</v>
      </c>
      <c r="U47" s="3276"/>
      <c r="V47" s="3276">
        <f>I47</f>
        <v>0</v>
      </c>
      <c r="W47" s="3276"/>
      <c r="X47" s="699"/>
      <c r="Y47" s="721"/>
      <c r="Z47" s="699"/>
      <c r="AA47" s="699"/>
      <c r="AB47" s="699"/>
      <c r="AC47" s="699"/>
    </row>
    <row r="48" spans="1:29" ht="15" thickBot="1">
      <c r="A48" s="445" t="s">
        <v>2489</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5" thickBot="1">
      <c r="A49" s="449" t="s">
        <v>2490</v>
      </c>
      <c r="B49" s="450"/>
      <c r="C49" s="1325" t="e">
        <f>R49</f>
        <v>#DIV/0!</v>
      </c>
      <c r="D49" s="1325"/>
      <c r="E49" s="1325"/>
      <c r="F49" s="1325"/>
      <c r="G49" s="1325"/>
      <c r="H49" s="1325"/>
      <c r="I49" s="1325"/>
      <c r="J49" s="1325"/>
      <c r="K49" s="724"/>
      <c r="L49" s="2951"/>
      <c r="M49" s="2952"/>
      <c r="N49" s="2943"/>
      <c r="O49" s="2952"/>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1"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330" t="s">
        <v>2471</v>
      </c>
      <c r="Q4" s="3331"/>
      <c r="R4" s="3325" t="s">
        <v>2467</v>
      </c>
      <c r="S4" s="3326"/>
      <c r="T4" s="3325" t="s">
        <v>2468</v>
      </c>
      <c r="U4" s="3326"/>
      <c r="V4" s="3334" t="s">
        <v>2469</v>
      </c>
      <c r="W4" s="3334"/>
      <c r="X4" s="2142"/>
      <c r="Y4" s="3325" t="s">
        <v>2471</v>
      </c>
      <c r="Z4" s="3326"/>
      <c r="AA4" s="3324" t="s">
        <v>2467</v>
      </c>
      <c r="AB4" s="3324" t="s">
        <v>2468</v>
      </c>
      <c r="AC4" s="3327" t="s">
        <v>2469</v>
      </c>
    </row>
    <row r="5" spans="1:29">
      <c r="A5" s="364"/>
      <c r="B5" s="365"/>
      <c r="C5" s="3257" t="s">
        <v>2362</v>
      </c>
      <c r="D5" s="3258"/>
      <c r="E5" s="3323" t="s">
        <v>2363</v>
      </c>
      <c r="F5" s="3256"/>
      <c r="G5" s="3257" t="s">
        <v>2364</v>
      </c>
      <c r="H5" s="3258"/>
      <c r="I5" s="3257" t="s">
        <v>2365</v>
      </c>
      <c r="J5" s="3258"/>
      <c r="K5" s="567"/>
      <c r="L5" s="2942"/>
      <c r="M5" s="2943"/>
      <c r="N5" s="2943"/>
      <c r="O5" s="2943"/>
      <c r="P5" s="3332"/>
      <c r="Q5" s="3271"/>
      <c r="R5" s="3253"/>
      <c r="S5" s="3254"/>
      <c r="T5" s="3253"/>
      <c r="U5" s="3254"/>
      <c r="V5" s="3276"/>
      <c r="W5" s="3276"/>
      <c r="X5" s="1540"/>
      <c r="Y5" s="3253"/>
      <c r="Z5" s="3254"/>
      <c r="AA5" s="3247"/>
      <c r="AB5" s="3247"/>
      <c r="AC5" s="3328"/>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333"/>
      <c r="Q6" s="3273"/>
      <c r="R6" s="3253"/>
      <c r="S6" s="3254"/>
      <c r="T6" s="3274"/>
      <c r="U6" s="3275"/>
      <c r="V6" s="3276"/>
      <c r="W6" s="3276"/>
      <c r="X6" s="1540"/>
      <c r="Y6" s="3274"/>
      <c r="Z6" s="3275"/>
      <c r="AA6" s="3248"/>
      <c r="AB6" s="3248"/>
      <c r="AC6" s="3329"/>
    </row>
    <row r="7" spans="1:29" s="113" customFormat="1" ht="15" thickBot="1">
      <c r="A7" s="368" t="s">
        <v>2368</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5"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2143"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5" t="s">
        <v>2372</v>
      </c>
      <c r="Q8" s="3250"/>
      <c r="R8" s="710" t="s">
        <v>17</v>
      </c>
      <c r="S8" s="711">
        <f t="shared" si="0"/>
        <v>0</v>
      </c>
      <c r="T8" s="710" t="s">
        <v>17</v>
      </c>
      <c r="U8" s="711">
        <f t="shared" si="1"/>
        <v>0</v>
      </c>
      <c r="V8" s="710" t="s">
        <v>17</v>
      </c>
      <c r="W8" s="711">
        <f t="shared" si="2"/>
        <v>0</v>
      </c>
      <c r="X8" s="712"/>
      <c r="Y8" s="3249" t="s">
        <v>2372</v>
      </c>
      <c r="Z8" s="3250"/>
      <c r="AA8" s="713" t="e">
        <f t="shared" ref="AA8:AA47" si="3">D8/F8</f>
        <v>#DIV/0!</v>
      </c>
      <c r="AB8" s="713" t="e">
        <f t="shared" ref="AB8:AB47" si="4">D8/H8</f>
        <v>#DIV/0!</v>
      </c>
      <c r="AC8" s="2143"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2143">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3">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3">
        <f t="shared" si="5"/>
        <v>1</v>
      </c>
    </row>
    <row r="14" spans="1:29" ht="15.6"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3">
        <f t="shared" si="5"/>
        <v>1</v>
      </c>
    </row>
    <row r="15" spans="1:29" ht="69">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90" t="s">
        <v>2380</v>
      </c>
      <c r="Q15" s="1537" t="str">
        <f t="shared" si="6"/>
        <v>办公集聚程度</v>
      </c>
      <c r="R15" s="714" t="s">
        <v>17</v>
      </c>
      <c r="S15" s="715">
        <f t="shared" si="0"/>
        <v>100</v>
      </c>
      <c r="T15" s="714" t="s">
        <v>17</v>
      </c>
      <c r="U15" s="715">
        <f t="shared" si="1"/>
        <v>100</v>
      </c>
      <c r="V15" s="714" t="s">
        <v>17</v>
      </c>
      <c r="W15" s="715">
        <f t="shared" si="2"/>
        <v>100</v>
      </c>
      <c r="X15" s="1540"/>
      <c r="Y15" s="3283" t="s">
        <v>2380</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2146">
        <v>1</v>
      </c>
    </row>
    <row r="17" spans="1:29" ht="82.8">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2146">
        <v>1</v>
      </c>
    </row>
    <row r="19" spans="1:29" ht="41.4">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2146">
        <v>1</v>
      </c>
    </row>
    <row r="21" spans="1:29" ht="27.6">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91"/>
      <c r="Q22" s="1537"/>
      <c r="R22" s="714"/>
      <c r="S22" s="715"/>
      <c r="T22" s="714"/>
      <c r="U22" s="715"/>
      <c r="V22" s="714"/>
      <c r="W22" s="715"/>
      <c r="X22" s="1540"/>
      <c r="Y22" s="3284"/>
      <c r="Z22" s="1541"/>
      <c r="AA22" s="1538">
        <v>1</v>
      </c>
      <c r="AB22" s="1538">
        <v>1</v>
      </c>
      <c r="AC22" s="2146">
        <v>1</v>
      </c>
    </row>
    <row r="23" spans="1:29" ht="55.2">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91"/>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2146">
        <v>1</v>
      </c>
    </row>
    <row r="25" spans="1:29" ht="28.8">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1"/>
      <c r="Q25" s="1537" t="str">
        <f>B25</f>
        <v>毗邻道路的类型与等级</v>
      </c>
      <c r="R25" s="714" t="s">
        <v>17</v>
      </c>
      <c r="S25" s="715">
        <f>F25</f>
        <v>100</v>
      </c>
      <c r="T25" s="714" t="s">
        <v>17</v>
      </c>
      <c r="U25" s="715">
        <f>H25</f>
        <v>100</v>
      </c>
      <c r="V25" s="714" t="s">
        <v>17</v>
      </c>
      <c r="W25" s="715">
        <f>J25</f>
        <v>100</v>
      </c>
      <c r="X25" s="1540"/>
      <c r="Y25" s="3284"/>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91"/>
      <c r="Q26" s="1537"/>
      <c r="R26" s="714"/>
      <c r="S26" s="715"/>
      <c r="T26" s="714"/>
      <c r="U26" s="715"/>
      <c r="V26" s="714"/>
      <c r="W26" s="715"/>
      <c r="X26" s="1540"/>
      <c r="Y26" s="3284"/>
      <c r="Z26" s="1541"/>
      <c r="AA26" s="1538">
        <v>1</v>
      </c>
      <c r="AB26" s="1538">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1"/>
      <c r="Q27" s="1537" t="str">
        <f t="shared" ref="Q27:Q47" si="11">B27</f>
        <v>楼层</v>
      </c>
      <c r="R27" s="714" t="s">
        <v>17</v>
      </c>
      <c r="S27" s="715">
        <f>F27</f>
        <v>100</v>
      </c>
      <c r="T27" s="714" t="s">
        <v>17</v>
      </c>
      <c r="U27" s="715">
        <f>H27</f>
        <v>100</v>
      </c>
      <c r="V27" s="714" t="s">
        <v>17</v>
      </c>
      <c r="W27" s="715">
        <f>J27</f>
        <v>100</v>
      </c>
      <c r="X27" s="1540"/>
      <c r="Y27" s="3284"/>
      <c r="Z27" s="1541" t="str">
        <f>Q27</f>
        <v>楼层</v>
      </c>
      <c r="AA27" s="1538">
        <f t="shared" si="3"/>
        <v>1</v>
      </c>
      <c r="AB27" s="1538">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91"/>
      <c r="Q28" s="1528" t="str">
        <f t="shared" si="11"/>
        <v>朝向</v>
      </c>
      <c r="R28" s="710" t="s">
        <v>17</v>
      </c>
      <c r="S28" s="711">
        <f>F28</f>
        <v>100</v>
      </c>
      <c r="T28" s="710" t="s">
        <v>17</v>
      </c>
      <c r="U28" s="711">
        <f>H28</f>
        <v>100</v>
      </c>
      <c r="V28" s="710" t="s">
        <v>17</v>
      </c>
      <c r="W28" s="711">
        <f>J28</f>
        <v>100</v>
      </c>
      <c r="X28" s="712"/>
      <c r="Y28" s="3284"/>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91"/>
      <c r="Q29" s="1537">
        <f t="shared" si="11"/>
        <v>111</v>
      </c>
      <c r="R29" s="714" t="s">
        <v>17</v>
      </c>
      <c r="S29" s="715">
        <f t="shared" ref="S29:S47" si="12">F29</f>
        <v>100</v>
      </c>
      <c r="T29" s="714" t="s">
        <v>17</v>
      </c>
      <c r="U29" s="715">
        <f t="shared" ref="U29:U47" si="13">H29</f>
        <v>100</v>
      </c>
      <c r="V29" s="714" t="s">
        <v>17</v>
      </c>
      <c r="W29" s="715">
        <f t="shared" ref="W29:W47" si="14">J29</f>
        <v>100</v>
      </c>
      <c r="X29" s="1540"/>
      <c r="Y29" s="3284"/>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2146">
        <f t="shared" si="5"/>
        <v>1</v>
      </c>
    </row>
    <row r="32" spans="1:29" ht="15.6"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91"/>
      <c r="Q32" s="1537">
        <f t="shared" si="11"/>
        <v>111</v>
      </c>
      <c r="R32" s="714" t="s">
        <v>17</v>
      </c>
      <c r="S32" s="715">
        <f t="shared" si="12"/>
        <v>100</v>
      </c>
      <c r="T32" s="714" t="s">
        <v>17</v>
      </c>
      <c r="U32" s="715">
        <f t="shared" si="13"/>
        <v>100</v>
      </c>
      <c r="V32" s="714" t="s">
        <v>17</v>
      </c>
      <c r="W32" s="715">
        <f t="shared" si="14"/>
        <v>100</v>
      </c>
      <c r="X32" s="1540"/>
      <c r="Y32" s="3284"/>
      <c r="Z32" s="1541">
        <f t="shared" si="15"/>
        <v>111</v>
      </c>
      <c r="AA32" s="1538">
        <f t="shared" si="3"/>
        <v>1</v>
      </c>
      <c r="AB32" s="1538">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5" t="s">
        <v>2385</v>
      </c>
      <c r="Q33" s="1537" t="str">
        <f t="shared" si="11"/>
        <v>建筑类型</v>
      </c>
      <c r="R33" s="714" t="s">
        <v>17</v>
      </c>
      <c r="S33" s="715">
        <f t="shared" si="12"/>
        <v>100</v>
      </c>
      <c r="T33" s="714" t="s">
        <v>17</v>
      </c>
      <c r="U33" s="715">
        <f t="shared" si="13"/>
        <v>100</v>
      </c>
      <c r="V33" s="714" t="s">
        <v>17</v>
      </c>
      <c r="W33" s="715">
        <f t="shared" si="14"/>
        <v>100</v>
      </c>
      <c r="X33" s="1540"/>
      <c r="Y33" s="3288" t="s">
        <v>2385</v>
      </c>
      <c r="Z33" s="1541" t="str">
        <f t="shared" si="15"/>
        <v>建筑类型</v>
      </c>
      <c r="AA33" s="1538">
        <f t="shared" si="3"/>
        <v>1</v>
      </c>
      <c r="AB33" s="1538">
        <f t="shared" si="4"/>
        <v>1</v>
      </c>
      <c r="AC33" s="2146">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6"/>
      <c r="Q34" s="716" t="str">
        <f t="shared" si="11"/>
        <v>项目建筑规模</v>
      </c>
      <c r="R34" s="717" t="s">
        <v>17</v>
      </c>
      <c r="S34" s="718" t="e">
        <f t="shared" si="12"/>
        <v>#N/A</v>
      </c>
      <c r="T34" s="717" t="s">
        <v>17</v>
      </c>
      <c r="U34" s="718" t="e">
        <f t="shared" si="13"/>
        <v>#N/A</v>
      </c>
      <c r="V34" s="717" t="s">
        <v>17</v>
      </c>
      <c r="W34" s="718" t="e">
        <f t="shared" si="14"/>
        <v>#N/A</v>
      </c>
      <c r="X34" s="719"/>
      <c r="Y34" s="3288"/>
      <c r="Z34" s="720" t="str">
        <f t="shared" si="15"/>
        <v>项目建筑规模</v>
      </c>
      <c r="AA34" s="1538" t="e">
        <f t="shared" si="3"/>
        <v>#N/A</v>
      </c>
      <c r="AB34" s="1538" t="e">
        <f t="shared" si="4"/>
        <v>#N/A</v>
      </c>
      <c r="AC34" s="2146"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6"/>
      <c r="Q35" s="1537" t="str">
        <f t="shared" si="11"/>
        <v>建筑结构</v>
      </c>
      <c r="R35" s="714" t="s">
        <v>17</v>
      </c>
      <c r="S35" s="715">
        <f t="shared" si="12"/>
        <v>100</v>
      </c>
      <c r="T35" s="714" t="s">
        <v>17</v>
      </c>
      <c r="U35" s="715">
        <f t="shared" si="13"/>
        <v>100</v>
      </c>
      <c r="V35" s="714" t="s">
        <v>17</v>
      </c>
      <c r="W35" s="715">
        <f t="shared" si="14"/>
        <v>100</v>
      </c>
      <c r="X35" s="1540"/>
      <c r="Y35" s="3288"/>
      <c r="Z35" s="1541" t="str">
        <f t="shared" si="15"/>
        <v>建筑结构</v>
      </c>
      <c r="AA35" s="1538">
        <f t="shared" si="3"/>
        <v>1</v>
      </c>
      <c r="AB35" s="1538">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6"/>
      <c r="Q36" s="1537" t="str">
        <f t="shared" si="11"/>
        <v>公共部分装修</v>
      </c>
      <c r="R36" s="714" t="s">
        <v>17</v>
      </c>
      <c r="S36" s="715">
        <f t="shared" si="12"/>
        <v>100</v>
      </c>
      <c r="T36" s="714" t="s">
        <v>17</v>
      </c>
      <c r="U36" s="715">
        <f t="shared" si="13"/>
        <v>100</v>
      </c>
      <c r="V36" s="714" t="s">
        <v>17</v>
      </c>
      <c r="W36" s="715">
        <f t="shared" si="14"/>
        <v>100</v>
      </c>
      <c r="X36" s="1540"/>
      <c r="Y36" s="3288"/>
      <c r="Z36" s="1541" t="str">
        <f t="shared" si="15"/>
        <v>公共部分装修</v>
      </c>
      <c r="AA36" s="1538">
        <f t="shared" si="3"/>
        <v>1</v>
      </c>
      <c r="AB36" s="1538">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6"/>
      <c r="Q37" s="1537" t="str">
        <f t="shared" si="11"/>
        <v>成新度</v>
      </c>
      <c r="R37" s="714" t="s">
        <v>17</v>
      </c>
      <c r="S37" s="715" t="e">
        <f t="shared" si="12"/>
        <v>#N/A</v>
      </c>
      <c r="T37" s="714" t="s">
        <v>17</v>
      </c>
      <c r="U37" s="715" t="e">
        <f t="shared" si="13"/>
        <v>#N/A</v>
      </c>
      <c r="V37" s="714" t="s">
        <v>17</v>
      </c>
      <c r="W37" s="715" t="e">
        <f t="shared" si="14"/>
        <v>#N/A</v>
      </c>
      <c r="X37" s="1540"/>
      <c r="Y37" s="3288"/>
      <c r="Z37" s="1541" t="str">
        <f t="shared" si="15"/>
        <v>成新度</v>
      </c>
      <c r="AA37" s="1538" t="e">
        <f t="shared" si="3"/>
        <v>#N/A</v>
      </c>
      <c r="AB37" s="1538"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6"/>
      <c r="Q38" s="1528" t="str">
        <f t="shared" si="11"/>
        <v>写字楼等级</v>
      </c>
      <c r="R38" s="710" t="s">
        <v>17</v>
      </c>
      <c r="S38" s="711">
        <f t="shared" si="12"/>
        <v>100</v>
      </c>
      <c r="T38" s="710" t="s">
        <v>17</v>
      </c>
      <c r="U38" s="711">
        <f t="shared" si="13"/>
        <v>100</v>
      </c>
      <c r="V38" s="710" t="s">
        <v>17</v>
      </c>
      <c r="W38" s="711">
        <f t="shared" si="14"/>
        <v>100</v>
      </c>
      <c r="X38" s="712"/>
      <c r="Y38" s="3288"/>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6" t="s">
        <v>2385</v>
      </c>
      <c r="Q39" s="1537" t="str">
        <f t="shared" si="11"/>
        <v>物业管理</v>
      </c>
      <c r="R39" s="714" t="s">
        <v>17</v>
      </c>
      <c r="S39" s="715">
        <f t="shared" si="12"/>
        <v>100</v>
      </c>
      <c r="T39" s="714" t="s">
        <v>17</v>
      </c>
      <c r="U39" s="715">
        <f t="shared" si="13"/>
        <v>100</v>
      </c>
      <c r="V39" s="714" t="s">
        <v>17</v>
      </c>
      <c r="W39" s="715">
        <f t="shared" si="14"/>
        <v>100</v>
      </c>
      <c r="X39" s="1540"/>
      <c r="Y39" s="3288" t="s">
        <v>2385</v>
      </c>
      <c r="Z39" s="1541" t="str">
        <f t="shared" si="15"/>
        <v>物业管理</v>
      </c>
      <c r="AA39" s="1538">
        <f t="shared" si="3"/>
        <v>1</v>
      </c>
      <c r="AB39" s="1538">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6"/>
      <c r="Q40" s="1537" t="str">
        <f t="shared" si="11"/>
        <v>市政基础设施</v>
      </c>
      <c r="R40" s="714" t="s">
        <v>17</v>
      </c>
      <c r="S40" s="715">
        <f t="shared" si="12"/>
        <v>100</v>
      </c>
      <c r="T40" s="714" t="s">
        <v>17</v>
      </c>
      <c r="U40" s="715">
        <f t="shared" si="13"/>
        <v>100</v>
      </c>
      <c r="V40" s="714" t="s">
        <v>17</v>
      </c>
      <c r="W40" s="715">
        <f t="shared" si="14"/>
        <v>100</v>
      </c>
      <c r="X40" s="1540"/>
      <c r="Y40" s="3288"/>
      <c r="Z40" s="1541" t="str">
        <f t="shared" si="15"/>
        <v>市政基础设施</v>
      </c>
      <c r="AA40" s="1538">
        <f t="shared" si="3"/>
        <v>1</v>
      </c>
      <c r="AB40" s="1538">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6"/>
      <c r="Q41" s="1537" t="str">
        <f t="shared" si="11"/>
        <v>层高</v>
      </c>
      <c r="R41" s="714" t="s">
        <v>17</v>
      </c>
      <c r="S41" s="715">
        <f t="shared" si="12"/>
        <v>100</v>
      </c>
      <c r="T41" s="714" t="s">
        <v>17</v>
      </c>
      <c r="U41" s="715">
        <f t="shared" si="13"/>
        <v>100</v>
      </c>
      <c r="V41" s="714" t="s">
        <v>17</v>
      </c>
      <c r="W41" s="715">
        <f t="shared" si="14"/>
        <v>100</v>
      </c>
      <c r="X41" s="1540"/>
      <c r="Y41" s="3288"/>
      <c r="Z41" s="1541" t="str">
        <f t="shared" si="15"/>
        <v>层高</v>
      </c>
      <c r="AA41" s="1538">
        <f t="shared" si="3"/>
        <v>1</v>
      </c>
      <c r="AB41" s="1538">
        <f t="shared" si="4"/>
        <v>1</v>
      </c>
      <c r="AC41" s="2146">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6"/>
      <c r="Q42" s="716" t="str">
        <f t="shared" si="11"/>
        <v>单套建筑面积</v>
      </c>
      <c r="R42" s="717" t="s">
        <v>17</v>
      </c>
      <c r="S42" s="718">
        <f t="shared" si="12"/>
        <v>100</v>
      </c>
      <c r="T42" s="717" t="s">
        <v>17</v>
      </c>
      <c r="U42" s="718">
        <f t="shared" si="13"/>
        <v>100</v>
      </c>
      <c r="V42" s="717" t="s">
        <v>17</v>
      </c>
      <c r="W42" s="718">
        <f t="shared" si="14"/>
        <v>100</v>
      </c>
      <c r="X42" s="719"/>
      <c r="Y42" s="3288"/>
      <c r="Z42" s="720" t="str">
        <f t="shared" si="15"/>
        <v>单套建筑面积</v>
      </c>
      <c r="AA42" s="1538">
        <f t="shared" si="3"/>
        <v>1</v>
      </c>
      <c r="AB42" s="1538">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6"/>
      <c r="Q43" s="1537" t="str">
        <f t="shared" si="11"/>
        <v>内部装修</v>
      </c>
      <c r="R43" s="714" t="s">
        <v>17</v>
      </c>
      <c r="S43" s="715">
        <f t="shared" si="12"/>
        <v>100</v>
      </c>
      <c r="T43" s="714" t="s">
        <v>17</v>
      </c>
      <c r="U43" s="715">
        <f t="shared" si="13"/>
        <v>100</v>
      </c>
      <c r="V43" s="714" t="s">
        <v>17</v>
      </c>
      <c r="W43" s="715">
        <f t="shared" si="14"/>
        <v>100</v>
      </c>
      <c r="X43" s="1540"/>
      <c r="Y43" s="3288"/>
      <c r="Z43" s="1541" t="str">
        <f t="shared" si="15"/>
        <v>内部装修</v>
      </c>
      <c r="AA43" s="1538">
        <f t="shared" si="3"/>
        <v>1</v>
      </c>
      <c r="AB43" s="1538">
        <f t="shared" si="4"/>
        <v>1</v>
      </c>
      <c r="AC43" s="2146">
        <f t="shared" si="5"/>
        <v>1</v>
      </c>
    </row>
    <row r="44" spans="1:29" ht="28.8">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86"/>
      <c r="Q44" s="1537" t="str">
        <f t="shared" si="11"/>
        <v>内部装修维护情况</v>
      </c>
      <c r="R44" s="714" t="s">
        <v>17</v>
      </c>
      <c r="S44" s="715">
        <f t="shared" si="12"/>
        <v>100</v>
      </c>
      <c r="T44" s="714" t="s">
        <v>17</v>
      </c>
      <c r="U44" s="715">
        <f t="shared" si="13"/>
        <v>100</v>
      </c>
      <c r="V44" s="714" t="s">
        <v>17</v>
      </c>
      <c r="W44" s="715">
        <f t="shared" si="14"/>
        <v>100</v>
      </c>
      <c r="X44" s="1540"/>
      <c r="Y44" s="3288"/>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6"/>
      <c r="Q45" s="1528">
        <f t="shared" si="11"/>
        <v>111</v>
      </c>
      <c r="R45" s="710" t="s">
        <v>17</v>
      </c>
      <c r="S45" s="711">
        <f t="shared" si="12"/>
        <v>100</v>
      </c>
      <c r="T45" s="710" t="s">
        <v>17</v>
      </c>
      <c r="U45" s="711">
        <f t="shared" si="13"/>
        <v>100</v>
      </c>
      <c r="V45" s="710" t="s">
        <v>17</v>
      </c>
      <c r="W45" s="711">
        <f t="shared" si="14"/>
        <v>100</v>
      </c>
      <c r="X45" s="712"/>
      <c r="Y45" s="3288"/>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6"/>
      <c r="Q46" s="1537">
        <f t="shared" si="11"/>
        <v>111</v>
      </c>
      <c r="R46" s="714" t="s">
        <v>17</v>
      </c>
      <c r="S46" s="715">
        <f t="shared" si="12"/>
        <v>100</v>
      </c>
      <c r="T46" s="714" t="s">
        <v>17</v>
      </c>
      <c r="U46" s="715">
        <f t="shared" si="13"/>
        <v>100</v>
      </c>
      <c r="V46" s="714" t="s">
        <v>17</v>
      </c>
      <c r="W46" s="715">
        <f t="shared" si="14"/>
        <v>100</v>
      </c>
      <c r="X46" s="1540"/>
      <c r="Y46" s="3288"/>
      <c r="Z46" s="1541">
        <f t="shared" si="15"/>
        <v>111</v>
      </c>
      <c r="AA46" s="1538">
        <f t="shared" si="3"/>
        <v>1</v>
      </c>
      <c r="AB46" s="1538">
        <f t="shared" si="4"/>
        <v>1</v>
      </c>
      <c r="AC46" s="2146">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7"/>
      <c r="Q47" s="1537">
        <f t="shared" si="11"/>
        <v>111</v>
      </c>
      <c r="R47" s="714" t="s">
        <v>17</v>
      </c>
      <c r="S47" s="715">
        <f t="shared" si="12"/>
        <v>100</v>
      </c>
      <c r="T47" s="714" t="s">
        <v>17</v>
      </c>
      <c r="U47" s="715">
        <f t="shared" si="13"/>
        <v>100</v>
      </c>
      <c r="V47" s="714" t="s">
        <v>17</v>
      </c>
      <c r="W47" s="715">
        <f t="shared" si="14"/>
        <v>100</v>
      </c>
      <c r="X47" s="1540"/>
      <c r="Y47" s="3289"/>
      <c r="Z47" s="1541">
        <f t="shared" si="15"/>
        <v>111</v>
      </c>
      <c r="AA47" s="1538">
        <f t="shared" si="3"/>
        <v>1</v>
      </c>
      <c r="AB47" s="1538">
        <f t="shared" si="4"/>
        <v>1</v>
      </c>
      <c r="AC47" s="2146">
        <f t="shared" si="5"/>
        <v>1</v>
      </c>
    </row>
    <row r="48" spans="1:29" ht="14.4">
      <c r="A48" s="438" t="s">
        <v>2397</v>
      </c>
      <c r="B48" s="439"/>
      <c r="C48" s="1316" t="s">
        <v>1</v>
      </c>
      <c r="D48" s="1317"/>
      <c r="E48" s="1318"/>
      <c r="F48" s="1319"/>
      <c r="G48" s="1320"/>
      <c r="H48" s="1321"/>
      <c r="I48" s="1318"/>
      <c r="J48" s="444"/>
      <c r="K48" s="723"/>
      <c r="L48" s="2951"/>
      <c r="M48" s="2943"/>
      <c r="N48" s="2943"/>
      <c r="O48" s="2943"/>
      <c r="P48" s="3263" t="str">
        <f>A48</f>
        <v>成交单价（元/平方米）</v>
      </c>
      <c r="Q48" s="3281"/>
      <c r="R48" s="3282">
        <f>E48</f>
        <v>0</v>
      </c>
      <c r="S48" s="3282"/>
      <c r="T48" s="3282">
        <f>G48</f>
        <v>0</v>
      </c>
      <c r="U48" s="3282"/>
      <c r="V48" s="3282">
        <f>I48</f>
        <v>0</v>
      </c>
      <c r="W48" s="3282"/>
      <c r="X48" s="405"/>
      <c r="Y48" s="721"/>
      <c r="Z48" s="405"/>
      <c r="AA48" s="405"/>
      <c r="AB48" s="405"/>
      <c r="AC48" s="586"/>
    </row>
    <row r="49" spans="1:29" ht="15" thickBot="1">
      <c r="A49" s="445" t="s">
        <v>2489</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63"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05"/>
      <c r="Y49" s="405"/>
      <c r="Z49" s="405"/>
      <c r="AA49" s="405"/>
      <c r="AB49" s="405"/>
      <c r="AC49" s="586"/>
    </row>
    <row r="50" spans="1:29" ht="15" thickBot="1">
      <c r="A50" s="449" t="s">
        <v>2490</v>
      </c>
      <c r="B50" s="450"/>
      <c r="C50" s="1325" t="e">
        <f>R50</f>
        <v>#DIV/0!</v>
      </c>
      <c r="D50" s="1325"/>
      <c r="E50" s="1325"/>
      <c r="F50" s="1325"/>
      <c r="G50" s="1325"/>
      <c r="H50" s="1325"/>
      <c r="I50" s="1325"/>
      <c r="J50" s="451"/>
      <c r="K50" s="724"/>
      <c r="L50" s="2951"/>
      <c r="M50" s="2943"/>
      <c r="N50" s="2943"/>
      <c r="O50" s="2943"/>
      <c r="P50" s="3336" t="str">
        <f>A50</f>
        <v>估价对象XX用房的比较价值（楼面单价，元/平方米）</v>
      </c>
      <c r="Q50" s="3337"/>
      <c r="R50" s="3338" t="e">
        <f>IF(F1="售价",ROUND(IF(D49="简单平均",AVERAGE(R49:V49),R49*F49+T49*H49+V49*J49),0),ROUND(IF(D49="简单平均",AVERAGE(R49:V49),R49*F49+T49*H49+V49*J49),1))</f>
        <v>#DIV/0!</v>
      </c>
      <c r="S50" s="3338"/>
      <c r="T50" s="3338"/>
      <c r="U50" s="3338"/>
      <c r="V50" s="3338"/>
      <c r="W50" s="333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4.4">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1"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1044"/>
      <c r="M4" s="1045"/>
      <c r="N4" s="1045"/>
      <c r="O4" s="1045"/>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1044"/>
      <c r="M5" s="1045"/>
      <c r="N5" s="1045"/>
      <c r="O5" s="1045"/>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1044"/>
      <c r="M6" s="1045"/>
      <c r="N6" s="1045"/>
      <c r="O6" s="1045"/>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49" t="s">
        <v>2372</v>
      </c>
      <c r="Q8" s="3250"/>
      <c r="R8" s="710" t="s">
        <v>17</v>
      </c>
      <c r="S8" s="711">
        <f t="shared" si="0"/>
        <v>0</v>
      </c>
      <c r="T8" s="710" t="s">
        <v>17</v>
      </c>
      <c r="U8" s="711">
        <f t="shared" si="1"/>
        <v>0</v>
      </c>
      <c r="V8" s="710" t="s">
        <v>17</v>
      </c>
      <c r="W8" s="711">
        <f t="shared" si="2"/>
        <v>0</v>
      </c>
      <c r="X8" s="712"/>
      <c r="Y8" s="3249" t="s">
        <v>2372</v>
      </c>
      <c r="Z8" s="3250"/>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3" t="s">
        <v>2380</v>
      </c>
      <c r="Q15" s="1537" t="str">
        <f t="shared" si="6"/>
        <v>产业集聚程度</v>
      </c>
      <c r="R15" s="714" t="s">
        <v>17</v>
      </c>
      <c r="S15" s="715">
        <f t="shared" si="0"/>
        <v>100</v>
      </c>
      <c r="T15" s="714" t="s">
        <v>17</v>
      </c>
      <c r="U15" s="715">
        <f t="shared" si="1"/>
        <v>100</v>
      </c>
      <c r="V15" s="714" t="s">
        <v>17</v>
      </c>
      <c r="W15" s="715">
        <f t="shared" si="2"/>
        <v>100</v>
      </c>
      <c r="X15" s="1540"/>
      <c r="Y15" s="3283"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4"/>
      <c r="Q16" s="1537"/>
      <c r="R16" s="714"/>
      <c r="S16" s="715"/>
      <c r="T16" s="714"/>
      <c r="U16" s="715"/>
      <c r="V16" s="714"/>
      <c r="W16" s="715"/>
      <c r="X16" s="1540"/>
      <c r="Y16" s="3284"/>
      <c r="Z16" s="1541"/>
      <c r="AA16" s="1538">
        <v>1</v>
      </c>
      <c r="AB16" s="1538">
        <v>1</v>
      </c>
      <c r="AC16" s="1538">
        <v>1</v>
      </c>
    </row>
    <row r="17" spans="1:29" ht="96.6">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84"/>
      <c r="Q18" s="1537"/>
      <c r="R18" s="714"/>
      <c r="S18" s="715"/>
      <c r="T18" s="714"/>
      <c r="U18" s="715"/>
      <c r="V18" s="714"/>
      <c r="W18" s="715"/>
      <c r="X18" s="1540"/>
      <c r="Y18" s="3284"/>
      <c r="Z18" s="1541"/>
      <c r="AA18" s="1538">
        <v>1</v>
      </c>
      <c r="AB18" s="1538">
        <v>1</v>
      </c>
      <c r="AC18" s="1538">
        <v>1</v>
      </c>
    </row>
    <row r="19" spans="1:29" ht="41.4">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4"/>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84"/>
      <c r="Q20" s="1537"/>
      <c r="R20" s="714"/>
      <c r="S20" s="715"/>
      <c r="T20" s="714"/>
      <c r="U20" s="715"/>
      <c r="V20" s="714"/>
      <c r="W20" s="715"/>
      <c r="X20" s="1540"/>
      <c r="Y20" s="3284"/>
      <c r="Z20" s="1541"/>
      <c r="AA20" s="1538">
        <v>1</v>
      </c>
      <c r="AB20" s="1538">
        <v>1</v>
      </c>
      <c r="AC20" s="1538">
        <v>1</v>
      </c>
    </row>
    <row r="21" spans="1:29" ht="41.4">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4"/>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84"/>
      <c r="Q22" s="1537"/>
      <c r="R22" s="714"/>
      <c r="S22" s="715"/>
      <c r="T22" s="714"/>
      <c r="U22" s="715"/>
      <c r="V22" s="714"/>
      <c r="W22" s="715"/>
      <c r="X22" s="1540"/>
      <c r="Y22" s="3284"/>
      <c r="Z22" s="1541"/>
      <c r="AA22" s="1538">
        <v>1</v>
      </c>
      <c r="AB22" s="1538">
        <v>1</v>
      </c>
      <c r="AC22" s="1538">
        <v>1</v>
      </c>
    </row>
    <row r="23" spans="1:29" ht="82.8">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4"/>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84"/>
      <c r="Q24" s="1537"/>
      <c r="R24" s="714"/>
      <c r="S24" s="715"/>
      <c r="T24" s="714"/>
      <c r="U24" s="715"/>
      <c r="V24" s="714"/>
      <c r="W24" s="715"/>
      <c r="X24" s="1540"/>
      <c r="Y24" s="3284"/>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4"/>
      <c r="Q25" s="1537">
        <f>B25</f>
        <v>111</v>
      </c>
      <c r="R25" s="714" t="s">
        <v>17</v>
      </c>
      <c r="S25" s="715">
        <f>F25</f>
        <v>100</v>
      </c>
      <c r="T25" s="714" t="s">
        <v>17</v>
      </c>
      <c r="U25" s="715">
        <f>H25</f>
        <v>100</v>
      </c>
      <c r="V25" s="714" t="s">
        <v>17</v>
      </c>
      <c r="W25" s="715">
        <f>J25</f>
        <v>100</v>
      </c>
      <c r="X25" s="1540"/>
      <c r="Y25" s="3284"/>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4"/>
      <c r="Q26" s="1537">
        <f t="shared" ref="Q26:Q40" si="11">B26</f>
        <v>111</v>
      </c>
      <c r="R26" s="714" t="s">
        <v>17</v>
      </c>
      <c r="S26" s="715">
        <f>F26</f>
        <v>100</v>
      </c>
      <c r="T26" s="714" t="s">
        <v>17</v>
      </c>
      <c r="U26" s="715">
        <f>H26</f>
        <v>100</v>
      </c>
      <c r="V26" s="714" t="s">
        <v>17</v>
      </c>
      <c r="W26" s="715">
        <f>J26</f>
        <v>100</v>
      </c>
      <c r="X26" s="1540"/>
      <c r="Y26" s="3284"/>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4"/>
      <c r="Q27" s="1528">
        <f t="shared" si="11"/>
        <v>111</v>
      </c>
      <c r="R27" s="710" t="s">
        <v>17</v>
      </c>
      <c r="S27" s="711">
        <f>F27</f>
        <v>100</v>
      </c>
      <c r="T27" s="710" t="s">
        <v>17</v>
      </c>
      <c r="U27" s="711">
        <f>H27</f>
        <v>100</v>
      </c>
      <c r="V27" s="710" t="s">
        <v>17</v>
      </c>
      <c r="W27" s="711">
        <f>J27</f>
        <v>100</v>
      </c>
      <c r="X27" s="712"/>
      <c r="Y27" s="3284"/>
      <c r="Z27" s="55">
        <f>Q27</f>
        <v>111</v>
      </c>
      <c r="AA27" s="1538">
        <f>D27/F27</f>
        <v>1</v>
      </c>
      <c r="AB27" s="1538">
        <f>D27/H27</f>
        <v>1</v>
      </c>
      <c r="AC27" s="1538">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4"/>
      <c r="Q28" s="1537">
        <f t="shared" si="11"/>
        <v>111</v>
      </c>
      <c r="R28" s="714" t="s">
        <v>17</v>
      </c>
      <c r="S28" s="715">
        <f t="shared" ref="S28:S40" si="12">F28</f>
        <v>100</v>
      </c>
      <c r="T28" s="714" t="s">
        <v>17</v>
      </c>
      <c r="U28" s="715">
        <f t="shared" ref="U28:U40" si="13">H28</f>
        <v>100</v>
      </c>
      <c r="V28" s="714" t="s">
        <v>17</v>
      </c>
      <c r="W28" s="715">
        <f t="shared" ref="W28:W40" si="14">J28</f>
        <v>100</v>
      </c>
      <c r="X28" s="1540"/>
      <c r="Y28" s="3284"/>
      <c r="Z28" s="1541">
        <f t="shared" ref="Z28:Z40" si="15">Q28</f>
        <v>111</v>
      </c>
      <c r="AA28" s="1538">
        <f t="shared" si="3"/>
        <v>1</v>
      </c>
      <c r="AB28" s="1538">
        <f t="shared" si="4"/>
        <v>1</v>
      </c>
      <c r="AC28" s="1538">
        <f t="shared" si="5"/>
        <v>1</v>
      </c>
    </row>
    <row r="29" spans="1:29" ht="30">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9" t="s">
        <v>2385</v>
      </c>
      <c r="Q29" s="1537" t="str">
        <f t="shared" si="11"/>
        <v>建筑类型</v>
      </c>
      <c r="R29" s="714" t="s">
        <v>17</v>
      </c>
      <c r="S29" s="715">
        <f t="shared" si="12"/>
        <v>100</v>
      </c>
      <c r="T29" s="714" t="s">
        <v>17</v>
      </c>
      <c r="U29" s="715">
        <f t="shared" si="13"/>
        <v>100</v>
      </c>
      <c r="V29" s="714" t="s">
        <v>17</v>
      </c>
      <c r="W29" s="715">
        <f t="shared" si="14"/>
        <v>100</v>
      </c>
      <c r="X29" s="1540"/>
      <c r="Y29" s="3288"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8"/>
      <c r="Q30" s="716" t="str">
        <f t="shared" si="11"/>
        <v>项目建筑规模</v>
      </c>
      <c r="R30" s="717" t="s">
        <v>17</v>
      </c>
      <c r="S30" s="718" t="e">
        <f t="shared" si="12"/>
        <v>#N/A</v>
      </c>
      <c r="T30" s="717" t="s">
        <v>17</v>
      </c>
      <c r="U30" s="718" t="e">
        <f t="shared" si="13"/>
        <v>#N/A</v>
      </c>
      <c r="V30" s="717" t="s">
        <v>17</v>
      </c>
      <c r="W30" s="718" t="e">
        <f t="shared" si="14"/>
        <v>#N/A</v>
      </c>
      <c r="X30" s="719"/>
      <c r="Y30" s="3288"/>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8"/>
      <c r="Q31" s="1537" t="str">
        <f t="shared" si="11"/>
        <v>建筑结构</v>
      </c>
      <c r="R31" s="714" t="s">
        <v>17</v>
      </c>
      <c r="S31" s="715">
        <f t="shared" si="12"/>
        <v>100</v>
      </c>
      <c r="T31" s="714" t="s">
        <v>17</v>
      </c>
      <c r="U31" s="715">
        <f t="shared" si="13"/>
        <v>100</v>
      </c>
      <c r="V31" s="714" t="s">
        <v>17</v>
      </c>
      <c r="W31" s="715">
        <f t="shared" si="14"/>
        <v>100</v>
      </c>
      <c r="X31" s="1540"/>
      <c r="Y31" s="3288"/>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8"/>
      <c r="Q32" s="1537" t="str">
        <f t="shared" si="11"/>
        <v>公共部分装修</v>
      </c>
      <c r="R32" s="714" t="s">
        <v>17</v>
      </c>
      <c r="S32" s="715">
        <f t="shared" si="12"/>
        <v>100</v>
      </c>
      <c r="T32" s="714" t="s">
        <v>17</v>
      </c>
      <c r="U32" s="715">
        <f t="shared" si="13"/>
        <v>100</v>
      </c>
      <c r="V32" s="714" t="s">
        <v>17</v>
      </c>
      <c r="W32" s="715">
        <f t="shared" si="14"/>
        <v>100</v>
      </c>
      <c r="X32" s="1540"/>
      <c r="Y32" s="3288"/>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8"/>
      <c r="Q33" s="1537" t="str">
        <f t="shared" si="11"/>
        <v>成新度</v>
      </c>
      <c r="R33" s="714" t="s">
        <v>17</v>
      </c>
      <c r="S33" s="715" t="e">
        <f t="shared" si="12"/>
        <v>#N/A</v>
      </c>
      <c r="T33" s="714" t="s">
        <v>17</v>
      </c>
      <c r="U33" s="715" t="e">
        <f t="shared" si="13"/>
        <v>#N/A</v>
      </c>
      <c r="V33" s="714" t="s">
        <v>17</v>
      </c>
      <c r="W33" s="715" t="e">
        <f t="shared" si="14"/>
        <v>#N/A</v>
      </c>
      <c r="X33" s="1540"/>
      <c r="Y33" s="3288"/>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8"/>
      <c r="Q34" s="1528" t="str">
        <f t="shared" si="11"/>
        <v>物业管理</v>
      </c>
      <c r="R34" s="710" t="s">
        <v>17</v>
      </c>
      <c r="S34" s="711">
        <f t="shared" si="12"/>
        <v>100</v>
      </c>
      <c r="T34" s="710" t="s">
        <v>17</v>
      </c>
      <c r="U34" s="711">
        <f t="shared" si="13"/>
        <v>100</v>
      </c>
      <c r="V34" s="710" t="s">
        <v>17</v>
      </c>
      <c r="W34" s="711">
        <f t="shared" si="14"/>
        <v>100</v>
      </c>
      <c r="X34" s="712"/>
      <c r="Y34" s="328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8" t="s">
        <v>2385</v>
      </c>
      <c r="Q35" s="1537" t="str">
        <f t="shared" si="11"/>
        <v>市政基础设施</v>
      </c>
      <c r="R35" s="714" t="s">
        <v>17</v>
      </c>
      <c r="S35" s="715">
        <f t="shared" si="12"/>
        <v>100</v>
      </c>
      <c r="T35" s="714" t="s">
        <v>17</v>
      </c>
      <c r="U35" s="715">
        <f t="shared" si="13"/>
        <v>100</v>
      </c>
      <c r="V35" s="714" t="s">
        <v>17</v>
      </c>
      <c r="W35" s="715">
        <f t="shared" si="14"/>
        <v>100</v>
      </c>
      <c r="X35" s="1540"/>
      <c r="Y35" s="3288"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8"/>
      <c r="Q36" s="1537" t="str">
        <f t="shared" si="11"/>
        <v>内部装修</v>
      </c>
      <c r="R36" s="714" t="s">
        <v>17</v>
      </c>
      <c r="S36" s="715">
        <f t="shared" si="12"/>
        <v>100</v>
      </c>
      <c r="T36" s="714" t="s">
        <v>17</v>
      </c>
      <c r="U36" s="715">
        <f t="shared" si="13"/>
        <v>100</v>
      </c>
      <c r="V36" s="714" t="s">
        <v>17</v>
      </c>
      <c r="W36" s="715">
        <f t="shared" si="14"/>
        <v>100</v>
      </c>
      <c r="X36" s="1540"/>
      <c r="Y36" s="3288"/>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8"/>
      <c r="Q37" s="1537" t="str">
        <f t="shared" si="11"/>
        <v>内部装修状况</v>
      </c>
      <c r="R37" s="714" t="s">
        <v>17</v>
      </c>
      <c r="S37" s="715">
        <f t="shared" si="12"/>
        <v>100</v>
      </c>
      <c r="T37" s="714" t="s">
        <v>17</v>
      </c>
      <c r="U37" s="715">
        <f t="shared" si="13"/>
        <v>100</v>
      </c>
      <c r="V37" s="714" t="s">
        <v>17</v>
      </c>
      <c r="W37" s="715">
        <f t="shared" si="14"/>
        <v>100</v>
      </c>
      <c r="X37" s="1540"/>
      <c r="Y37" s="3288"/>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8"/>
      <c r="Q38" s="716">
        <f t="shared" si="11"/>
        <v>111</v>
      </c>
      <c r="R38" s="717" t="s">
        <v>17</v>
      </c>
      <c r="S38" s="718">
        <f t="shared" si="12"/>
        <v>100</v>
      </c>
      <c r="T38" s="717" t="s">
        <v>17</v>
      </c>
      <c r="U38" s="718">
        <f t="shared" si="13"/>
        <v>100</v>
      </c>
      <c r="V38" s="717" t="s">
        <v>17</v>
      </c>
      <c r="W38" s="718">
        <f t="shared" si="14"/>
        <v>100</v>
      </c>
      <c r="X38" s="719"/>
      <c r="Y38" s="3288"/>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8"/>
      <c r="Q39" s="1537">
        <f t="shared" si="11"/>
        <v>111</v>
      </c>
      <c r="R39" s="714" t="s">
        <v>17</v>
      </c>
      <c r="S39" s="715">
        <f t="shared" si="12"/>
        <v>100</v>
      </c>
      <c r="T39" s="714" t="s">
        <v>17</v>
      </c>
      <c r="U39" s="715">
        <f t="shared" si="13"/>
        <v>100</v>
      </c>
      <c r="V39" s="714" t="s">
        <v>17</v>
      </c>
      <c r="W39" s="715">
        <f t="shared" si="14"/>
        <v>100</v>
      </c>
      <c r="X39" s="1540"/>
      <c r="Y39" s="3288"/>
      <c r="Z39" s="1541">
        <f t="shared" si="15"/>
        <v>111</v>
      </c>
      <c r="AA39" s="1538">
        <f t="shared" si="3"/>
        <v>1</v>
      </c>
      <c r="AB39" s="1538">
        <f t="shared" si="4"/>
        <v>1</v>
      </c>
      <c r="AC39" s="1538">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9"/>
      <c r="Q40" s="1537">
        <f t="shared" si="11"/>
        <v>111</v>
      </c>
      <c r="R40" s="714" t="s">
        <v>17</v>
      </c>
      <c r="S40" s="715">
        <f t="shared" si="12"/>
        <v>100</v>
      </c>
      <c r="T40" s="714" t="s">
        <v>17</v>
      </c>
      <c r="U40" s="715">
        <f t="shared" si="13"/>
        <v>100</v>
      </c>
      <c r="V40" s="714" t="s">
        <v>17</v>
      </c>
      <c r="W40" s="715">
        <f t="shared" si="14"/>
        <v>100</v>
      </c>
      <c r="X40" s="1540"/>
      <c r="Y40" s="3289"/>
      <c r="Z40" s="1541">
        <f t="shared" si="15"/>
        <v>111</v>
      </c>
      <c r="AA40" s="1538">
        <f t="shared" si="3"/>
        <v>1</v>
      </c>
      <c r="AB40" s="1538">
        <f t="shared" si="4"/>
        <v>1</v>
      </c>
      <c r="AC40" s="1538">
        <f t="shared" si="5"/>
        <v>1</v>
      </c>
    </row>
    <row r="41" spans="1:29" ht="14.4">
      <c r="A41" s="438" t="s">
        <v>2397</v>
      </c>
      <c r="B41" s="439"/>
      <c r="C41" s="1316" t="s">
        <v>1</v>
      </c>
      <c r="D41" s="1317"/>
      <c r="E41" s="1318"/>
      <c r="F41" s="1319"/>
      <c r="G41" s="1320"/>
      <c r="H41" s="1321"/>
      <c r="I41" s="1318"/>
      <c r="J41" s="1321"/>
      <c r="K41" s="723"/>
      <c r="L41" s="1057"/>
      <c r="M41" s="1058"/>
      <c r="N41" s="1045"/>
      <c r="O41" s="1058"/>
      <c r="P41" s="3281" t="str">
        <f>A41</f>
        <v>成交单价（元/平方米）</v>
      </c>
      <c r="Q41" s="3281"/>
      <c r="R41" s="3282">
        <f>E41</f>
        <v>0</v>
      </c>
      <c r="S41" s="3282"/>
      <c r="T41" s="3282">
        <f>G41</f>
        <v>0</v>
      </c>
      <c r="U41" s="3282"/>
      <c r="V41" s="3282">
        <f>I41</f>
        <v>0</v>
      </c>
      <c r="W41" s="3282"/>
      <c r="X41" s="699"/>
      <c r="Y41" s="721"/>
      <c r="Z41" s="699"/>
      <c r="AA41" s="699"/>
      <c r="AB41" s="699"/>
      <c r="AC41" s="699"/>
    </row>
    <row r="42" spans="1:29" ht="15" thickBot="1">
      <c r="A42" s="445" t="s">
        <v>2489</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699"/>
      <c r="Y42" s="699"/>
      <c r="Z42" s="699"/>
      <c r="AA42" s="699"/>
      <c r="AB42" s="699"/>
      <c r="AC42" s="699"/>
    </row>
    <row r="43" spans="1:29" ht="15" thickBot="1">
      <c r="A43" s="449" t="s">
        <v>2490</v>
      </c>
      <c r="B43" s="450"/>
      <c r="C43" s="1325" t="e">
        <f>R43</f>
        <v>#DIV/0!</v>
      </c>
      <c r="D43" s="1325"/>
      <c r="E43" s="1325"/>
      <c r="F43" s="1325"/>
      <c r="G43" s="1325"/>
      <c r="H43" s="1325"/>
      <c r="I43" s="1325"/>
      <c r="J43" s="1325"/>
      <c r="K43" s="724"/>
      <c r="L43" s="1057"/>
      <c r="M43" s="1058"/>
      <c r="N43" s="1058"/>
      <c r="O43" s="1058"/>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2.2" thickBot="1">
      <c r="A51" s="703" t="s">
        <v>2494</v>
      </c>
      <c r="B51" s="699"/>
      <c r="C51" s="704"/>
      <c r="D51" s="704"/>
      <c r="E51" s="704"/>
      <c r="F51" s="705"/>
      <c r="G51" s="705"/>
      <c r="H51" s="704"/>
      <c r="I51" s="704"/>
      <c r="J51" s="704"/>
      <c r="K51" s="1072"/>
      <c r="L51" s="1073"/>
      <c r="M51" s="1071"/>
      <c r="N51" s="1071"/>
      <c r="O51" s="1071"/>
      <c r="P51" s="460"/>
      <c r="Q51" s="461"/>
    </row>
    <row r="52" spans="1:17" s="465" customFormat="1" ht="14.4">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7"/>
      <c r="O54" s="2998"/>
      <c r="P54" s="461"/>
      <c r="Q54" s="461"/>
    </row>
    <row r="55" spans="1:17" s="113" customFormat="1" ht="14.4">
      <c r="A55" s="478" t="s">
        <v>2370</v>
      </c>
      <c r="B55" s="467"/>
      <c r="C55" s="479" t="s">
        <v>2472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2408</v>
      </c>
      <c r="B57" s="485" t="s">
        <v>2374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2"/>
      <c r="B87" s="526"/>
      <c r="C87" s="527"/>
      <c r="D87" s="527"/>
      <c r="E87" s="527"/>
      <c r="F87" s="527"/>
      <c r="G87" s="548"/>
      <c r="H87" s="548"/>
      <c r="I87" s="548"/>
      <c r="J87" s="548"/>
      <c r="K87" s="548"/>
      <c r="L87" s="548"/>
      <c r="M87" s="549"/>
      <c r="N87" s="1065"/>
      <c r="O87" s="1065"/>
      <c r="P87" s="45"/>
      <c r="Q87" s="461"/>
    </row>
    <row r="88" spans="1:17" ht="14.4">
      <c r="A88" s="484" t="s">
        <v>2383</v>
      </c>
      <c r="B88" s="485" t="s">
        <v>2432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3" customWidth="1"/>
    <col min="2" max="16384" width="9" style="1663"/>
  </cols>
  <sheetData>
    <row r="1" spans="1:1" ht="22.8">
      <c r="A1" s="1662" t="s">
        <v>1575</v>
      </c>
    </row>
    <row r="2" spans="1:1">
      <c r="A2" s="1664"/>
    </row>
    <row r="3" spans="1:1" ht="17.399999999999999">
      <c r="A3" s="1665" t="str">
        <f>项目基本情况!B5&amp;"："</f>
        <v>：</v>
      </c>
    </row>
    <row r="4" spans="1:1" ht="17.399999999999999">
      <c r="A4" s="1666" t="str">
        <f>"受贵公司委托，我公司对"&amp;项目基本情况!S1&amp;"进行了预评估。"</f>
        <v>受贵公司委托，我公司对北京市房地产抵押价值进行了预评估。</v>
      </c>
    </row>
    <row r="5" spans="1:1" ht="17.399999999999999">
      <c r="A5" s="1667" t="s">
        <v>1576</v>
      </c>
    </row>
    <row r="6" spans="1:1" ht="17.399999999999999">
      <c r="A6" s="1668" t="s">
        <v>1577</v>
      </c>
    </row>
    <row r="7" spans="1:1" ht="52.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4.6">
      <c r="A8" s="1669" t="s">
        <v>1578</v>
      </c>
    </row>
    <row r="9" spans="1:1" ht="17.399999999999999">
      <c r="A9" s="1668" t="s">
        <v>1579</v>
      </c>
    </row>
    <row r="10" spans="1:1" ht="52.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估价对象为北京市房地产,属开发建设的，该项目尚在开发建设中。根据《国有土地使用证》[]，估价对象（分摊）出让国有建设用地使用权面积为0平方米，规划建筑面积为522.56平方米。</v>
      </c>
    </row>
    <row r="11" spans="1:1" ht="72">
      <c r="A11" s="1669" t="s">
        <v>1580</v>
      </c>
    </row>
    <row r="12" spans="1:1" ht="17.399999999999999">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1" t="s">
        <v>1582</v>
      </c>
    </row>
    <row r="15" spans="1:1" ht="17.399999999999999">
      <c r="A15" s="1672" t="str">
        <f>TEXT(项目基本情况!D3,"yyyy年m月d日;;")&amp;IF(项目基本情况!D3=项目基本情况!B3,"（评估专业人员实地查勘之日）","")</f>
        <v>2021年4月21日</v>
      </c>
    </row>
    <row r="16" spans="1:1" ht="17.399999999999999">
      <c r="A16" s="1671" t="s">
        <v>1583</v>
      </c>
    </row>
    <row r="17" spans="1:1" ht="69.599999999999994">
      <c r="A17" s="1666" t="s">
        <v>1584</v>
      </c>
    </row>
    <row r="18" spans="1:1" ht="69.59999999999999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1" t="s">
        <v>1573</v>
      </c>
    </row>
    <row r="24" spans="1:1" ht="17.399999999999999">
      <c r="A24" s="1673" t="str">
        <f>"本次评估采用的主估价方法为"&amp;结果表!K4&amp;"和"&amp;结果表!L4&amp;"。"</f>
        <v>本次评估采用的主估价方法为比较法和收益法。</v>
      </c>
    </row>
    <row r="25" spans="1:1" ht="17.399999999999999">
      <c r="A25" s="1673"/>
    </row>
    <row r="26" spans="1:1" ht="17.399999999999999">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49" t="s">
        <v>2369</v>
      </c>
      <c r="Q7" s="3277"/>
      <c r="R7" s="710" t="s">
        <v>17</v>
      </c>
      <c r="S7" s="711">
        <f t="shared" ref="S7:S14" si="0">F7</f>
        <v>0</v>
      </c>
      <c r="T7" s="710" t="s">
        <v>17</v>
      </c>
      <c r="U7" s="711">
        <f t="shared" ref="U7:U14" si="1">H7</f>
        <v>0</v>
      </c>
      <c r="V7" s="710" t="s">
        <v>17</v>
      </c>
      <c r="W7" s="711">
        <f t="shared" ref="W7:W14"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1" t="s">
        <v>2375</v>
      </c>
      <c r="Q9" s="1528"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96.6">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3" t="s">
        <v>2380</v>
      </c>
      <c r="Q14" s="1537" t="str">
        <f t="shared" si="6"/>
        <v>交通便捷度</v>
      </c>
      <c r="R14" s="714" t="s">
        <v>17</v>
      </c>
      <c r="S14" s="715">
        <f t="shared" si="0"/>
        <v>100</v>
      </c>
      <c r="T14" s="714" t="s">
        <v>17</v>
      </c>
      <c r="U14" s="715">
        <f t="shared" si="1"/>
        <v>100</v>
      </c>
      <c r="V14" s="714" t="s">
        <v>17</v>
      </c>
      <c r="W14" s="715">
        <f t="shared" si="2"/>
        <v>100</v>
      </c>
      <c r="X14" s="1540"/>
      <c r="Y14" s="3283"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84"/>
      <c r="Q15" s="1537"/>
      <c r="R15" s="714"/>
      <c r="S15" s="715"/>
      <c r="T15" s="714"/>
      <c r="U15" s="715"/>
      <c r="V15" s="714"/>
      <c r="W15" s="715"/>
      <c r="X15" s="1540"/>
      <c r="Y15" s="3284"/>
      <c r="Z15" s="1541"/>
      <c r="AA15" s="1538">
        <v>1</v>
      </c>
      <c r="AB15" s="1538">
        <v>1</v>
      </c>
      <c r="AC15" s="1538">
        <v>1</v>
      </c>
    </row>
    <row r="16" spans="1:29" ht="41.4">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84"/>
      <c r="Q17" s="1537"/>
      <c r="R17" s="714"/>
      <c r="S17" s="715"/>
      <c r="T17" s="714"/>
      <c r="U17" s="715"/>
      <c r="V17" s="714"/>
      <c r="W17" s="715"/>
      <c r="X17" s="1540"/>
      <c r="Y17" s="3284"/>
      <c r="Z17" s="1541"/>
      <c r="AA17" s="1538">
        <v>1</v>
      </c>
      <c r="AB17" s="1538">
        <v>1</v>
      </c>
      <c r="AC17" s="1538">
        <v>1</v>
      </c>
    </row>
    <row r="18" spans="1:29" ht="41.4">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84"/>
      <c r="Q19" s="1537"/>
      <c r="R19" s="714"/>
      <c r="S19" s="715"/>
      <c r="T19" s="714"/>
      <c r="U19" s="715"/>
      <c r="V19" s="714"/>
      <c r="W19" s="715"/>
      <c r="X19" s="1540"/>
      <c r="Y19" s="3284"/>
      <c r="Z19" s="1541"/>
      <c r="AA19" s="1538">
        <v>1</v>
      </c>
      <c r="AB19" s="1538">
        <v>1</v>
      </c>
      <c r="AC19" s="1538">
        <v>1</v>
      </c>
    </row>
    <row r="20" spans="1:29" ht="55.2">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84"/>
      <c r="Q21" s="1537"/>
      <c r="R21" s="714"/>
      <c r="S21" s="715"/>
      <c r="T21" s="714"/>
      <c r="U21" s="715"/>
      <c r="V21" s="714"/>
      <c r="W21" s="715"/>
      <c r="X21" s="1540"/>
      <c r="Y21" s="3284"/>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4"/>
      <c r="Q24" s="1537">
        <f t="shared" ref="Q24:Q36"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30">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9"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8"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8"/>
      <c r="Q27" s="716" t="str">
        <f t="shared" si="11"/>
        <v>项目停车位配比</v>
      </c>
      <c r="R27" s="717" t="s">
        <v>17</v>
      </c>
      <c r="S27" s="718">
        <f t="shared" si="12"/>
        <v>100</v>
      </c>
      <c r="T27" s="717" t="s">
        <v>17</v>
      </c>
      <c r="U27" s="718">
        <f t="shared" si="13"/>
        <v>100</v>
      </c>
      <c r="V27" s="717" t="s">
        <v>17</v>
      </c>
      <c r="W27" s="718">
        <f t="shared" si="14"/>
        <v>100</v>
      </c>
      <c r="X27" s="719"/>
      <c r="Y27" s="3288"/>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8"/>
      <c r="Q28" s="1537" t="str">
        <f t="shared" si="11"/>
        <v>公共部分装修</v>
      </c>
      <c r="R28" s="714" t="s">
        <v>17</v>
      </c>
      <c r="S28" s="715">
        <f t="shared" si="12"/>
        <v>100</v>
      </c>
      <c r="T28" s="714" t="s">
        <v>17</v>
      </c>
      <c r="U28" s="715">
        <f t="shared" si="13"/>
        <v>100</v>
      </c>
      <c r="V28" s="714" t="s">
        <v>17</v>
      </c>
      <c r="W28" s="715">
        <f t="shared" si="14"/>
        <v>100</v>
      </c>
      <c r="X28" s="1540"/>
      <c r="Y28" s="3288"/>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8"/>
      <c r="Q29" s="1537" t="str">
        <f t="shared" si="11"/>
        <v>成新率</v>
      </c>
      <c r="R29" s="714" t="s">
        <v>17</v>
      </c>
      <c r="S29" s="715" t="e">
        <f t="shared" si="12"/>
        <v>#N/A</v>
      </c>
      <c r="T29" s="714" t="s">
        <v>17</v>
      </c>
      <c r="U29" s="715" t="e">
        <f t="shared" si="13"/>
        <v>#N/A</v>
      </c>
      <c r="V29" s="714" t="s">
        <v>17</v>
      </c>
      <c r="W29" s="715" t="e">
        <f t="shared" si="14"/>
        <v>#N/A</v>
      </c>
      <c r="X29" s="1540"/>
      <c r="Y29" s="3288"/>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8"/>
      <c r="Q30" s="1537" t="str">
        <f t="shared" si="11"/>
        <v>物业等级</v>
      </c>
      <c r="R30" s="714" t="s">
        <v>17</v>
      </c>
      <c r="S30" s="715">
        <f t="shared" si="12"/>
        <v>100</v>
      </c>
      <c r="T30" s="714" t="s">
        <v>17</v>
      </c>
      <c r="U30" s="715">
        <f t="shared" si="13"/>
        <v>100</v>
      </c>
      <c r="V30" s="714" t="s">
        <v>17</v>
      </c>
      <c r="W30" s="715">
        <f t="shared" si="14"/>
        <v>100</v>
      </c>
      <c r="X30" s="1540"/>
      <c r="Y30" s="3288"/>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8"/>
      <c r="Q31" s="1528" t="str">
        <f t="shared" si="11"/>
        <v>停车位面积</v>
      </c>
      <c r="R31" s="710" t="s">
        <v>17</v>
      </c>
      <c r="S31" s="711" t="e">
        <f t="shared" si="12"/>
        <v>#N/A</v>
      </c>
      <c r="T31" s="710" t="s">
        <v>17</v>
      </c>
      <c r="U31" s="711" t="e">
        <f t="shared" si="13"/>
        <v>#N/A</v>
      </c>
      <c r="V31" s="710" t="s">
        <v>17</v>
      </c>
      <c r="W31" s="711" t="e">
        <f t="shared" si="14"/>
        <v>#N/A</v>
      </c>
      <c r="X31" s="712"/>
      <c r="Y31" s="328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8" t="s">
        <v>2385</v>
      </c>
      <c r="Q32" s="1537" t="str">
        <f t="shared" si="11"/>
        <v>车位类型</v>
      </c>
      <c r="R32" s="714" t="s">
        <v>17</v>
      </c>
      <c r="S32" s="715">
        <f t="shared" si="12"/>
        <v>100</v>
      </c>
      <c r="T32" s="714" t="s">
        <v>17</v>
      </c>
      <c r="U32" s="715">
        <f t="shared" si="13"/>
        <v>100</v>
      </c>
      <c r="V32" s="714" t="s">
        <v>17</v>
      </c>
      <c r="W32" s="715">
        <f t="shared" si="14"/>
        <v>100</v>
      </c>
      <c r="X32" s="1540"/>
      <c r="Y32" s="3288"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8"/>
      <c r="Q33" s="1537" t="str">
        <f t="shared" si="11"/>
        <v>是否直接入户</v>
      </c>
      <c r="R33" s="714" t="s">
        <v>17</v>
      </c>
      <c r="S33" s="715">
        <f t="shared" si="12"/>
        <v>100</v>
      </c>
      <c r="T33" s="714" t="s">
        <v>17</v>
      </c>
      <c r="U33" s="715">
        <f t="shared" si="13"/>
        <v>100</v>
      </c>
      <c r="V33" s="714" t="s">
        <v>17</v>
      </c>
      <c r="W33" s="715">
        <f t="shared" si="14"/>
        <v>100</v>
      </c>
      <c r="X33" s="1540"/>
      <c r="Y33" s="3288"/>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8"/>
      <c r="Q35" s="716">
        <f t="shared" si="11"/>
        <v>111</v>
      </c>
      <c r="R35" s="717" t="s">
        <v>17</v>
      </c>
      <c r="S35" s="718">
        <f t="shared" si="12"/>
        <v>100</v>
      </c>
      <c r="T35" s="717" t="s">
        <v>17</v>
      </c>
      <c r="U35" s="718">
        <f t="shared" si="13"/>
        <v>100</v>
      </c>
      <c r="V35" s="717" t="s">
        <v>17</v>
      </c>
      <c r="W35" s="718">
        <f t="shared" si="14"/>
        <v>100</v>
      </c>
      <c r="X35" s="719"/>
      <c r="Y35" s="3288"/>
      <c r="Z35" s="720">
        <f t="shared" si="15"/>
        <v>111</v>
      </c>
      <c r="AA35" s="1538">
        <f t="shared" si="3"/>
        <v>1</v>
      </c>
      <c r="AB35" s="1538">
        <f t="shared" si="4"/>
        <v>1</v>
      </c>
      <c r="AC35" s="153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8"/>
      <c r="Q36" s="1537">
        <f t="shared" si="11"/>
        <v>111</v>
      </c>
      <c r="R36" s="714" t="s">
        <v>17</v>
      </c>
      <c r="S36" s="715">
        <f t="shared" si="12"/>
        <v>100</v>
      </c>
      <c r="T36" s="714" t="s">
        <v>17</v>
      </c>
      <c r="U36" s="715">
        <f t="shared" si="13"/>
        <v>100</v>
      </c>
      <c r="V36" s="714" t="s">
        <v>17</v>
      </c>
      <c r="W36" s="715">
        <f t="shared" si="14"/>
        <v>100</v>
      </c>
      <c r="X36" s="1540"/>
      <c r="Y36" s="3288"/>
      <c r="Z36" s="1541">
        <f t="shared" si="15"/>
        <v>111</v>
      </c>
      <c r="AA36" s="1538">
        <f t="shared" si="3"/>
        <v>1</v>
      </c>
      <c r="AB36" s="1538">
        <f t="shared" si="4"/>
        <v>1</v>
      </c>
      <c r="AC36" s="1538">
        <f t="shared" si="5"/>
        <v>1</v>
      </c>
    </row>
    <row r="37" spans="1:29" ht="14.4">
      <c r="A37" s="438" t="s">
        <v>2540</v>
      </c>
      <c r="B37" s="2157" t="s">
        <v>2541</v>
      </c>
      <c r="C37" s="1316" t="s">
        <v>1</v>
      </c>
      <c r="D37" s="1317"/>
      <c r="E37" s="1318"/>
      <c r="F37" s="1319"/>
      <c r="G37" s="1320"/>
      <c r="H37" s="1321"/>
      <c r="I37" s="1318"/>
      <c r="J37" s="1321"/>
      <c r="K37" s="576"/>
      <c r="L37" s="2951"/>
      <c r="M37" s="2952"/>
      <c r="N37" s="2943"/>
      <c r="O37" s="2952"/>
      <c r="P37" s="3281" t="str">
        <f>A37</f>
        <v>成交单价</v>
      </c>
      <c r="Q37" s="3281"/>
      <c r="R37" s="3282">
        <f>E37</f>
        <v>0</v>
      </c>
      <c r="S37" s="3282"/>
      <c r="T37" s="3282">
        <f>G37</f>
        <v>0</v>
      </c>
      <c r="U37" s="3282"/>
      <c r="V37" s="3282">
        <f>I37</f>
        <v>0</v>
      </c>
      <c r="W37" s="3282"/>
      <c r="X37" s="699"/>
      <c r="Y37" s="721"/>
      <c r="Z37" s="699"/>
      <c r="AA37" s="699"/>
      <c r="AB37" s="699"/>
      <c r="AC37" s="699"/>
    </row>
    <row r="38" spans="1:29" ht="15" thickBot="1">
      <c r="A38" s="445" t="s">
        <v>2542</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699"/>
      <c r="Y38" s="699"/>
      <c r="Z38" s="699"/>
      <c r="AA38" s="699"/>
      <c r="AB38" s="699"/>
      <c r="AC38" s="699"/>
    </row>
    <row r="39" spans="1:29" ht="15" thickBot="1">
      <c r="A39" s="449" t="s">
        <v>2543</v>
      </c>
      <c r="B39" s="450"/>
      <c r="C39" s="1325" t="e">
        <f>R39</f>
        <v>#DIV/0!</v>
      </c>
      <c r="D39" s="1325"/>
      <c r="E39" s="1325"/>
      <c r="F39" s="1325"/>
      <c r="G39" s="1325"/>
      <c r="H39" s="1325"/>
      <c r="I39" s="1325"/>
      <c r="J39" s="1325"/>
      <c r="K39" s="577"/>
      <c r="L39" s="2951"/>
      <c r="M39" s="2952"/>
      <c r="N39" s="2952"/>
      <c r="O39" s="2952"/>
      <c r="P39" s="3278" t="str">
        <f>A39</f>
        <v>估价对象XX用房的比较价值（楼面单价，元/平方米）</v>
      </c>
      <c r="Q39" s="3279"/>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4.4">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49" t="s">
        <v>2369</v>
      </c>
      <c r="Q7" s="3277"/>
      <c r="R7" s="710" t="s">
        <v>17</v>
      </c>
      <c r="S7" s="711">
        <f t="shared" ref="S7:S14" si="0">F7</f>
        <v>0</v>
      </c>
      <c r="T7" s="710" t="s">
        <v>17</v>
      </c>
      <c r="U7" s="711">
        <f t="shared" ref="U7:U14" si="1">H7</f>
        <v>0</v>
      </c>
      <c r="V7" s="710" t="s">
        <v>17</v>
      </c>
      <c r="W7" s="711">
        <f t="shared" ref="W7:W14"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1" t="s">
        <v>2375</v>
      </c>
      <c r="Q9" s="1528"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96.6">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3" t="s">
        <v>2380</v>
      </c>
      <c r="Q14" s="1537" t="str">
        <f t="shared" si="6"/>
        <v>交通便捷度</v>
      </c>
      <c r="R14" s="714" t="s">
        <v>17</v>
      </c>
      <c r="S14" s="715">
        <f t="shared" si="0"/>
        <v>100</v>
      </c>
      <c r="T14" s="714" t="s">
        <v>17</v>
      </c>
      <c r="U14" s="715">
        <f t="shared" si="1"/>
        <v>100</v>
      </c>
      <c r="V14" s="714" t="s">
        <v>17</v>
      </c>
      <c r="W14" s="715">
        <f t="shared" si="2"/>
        <v>100</v>
      </c>
      <c r="X14" s="1540"/>
      <c r="Y14" s="3283"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84"/>
      <c r="Q15" s="1537"/>
      <c r="R15" s="714"/>
      <c r="S15" s="715"/>
      <c r="T15" s="714"/>
      <c r="U15" s="715"/>
      <c r="V15" s="714"/>
      <c r="W15" s="715"/>
      <c r="X15" s="1540"/>
      <c r="Y15" s="3284"/>
      <c r="Z15" s="1541"/>
      <c r="AA15" s="1538">
        <v>1</v>
      </c>
      <c r="AB15" s="1538">
        <v>1</v>
      </c>
      <c r="AC15" s="1538">
        <v>1</v>
      </c>
    </row>
    <row r="16" spans="1:29" ht="41.4">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84"/>
      <c r="Q17" s="1537"/>
      <c r="R17" s="714"/>
      <c r="S17" s="715"/>
      <c r="T17" s="714"/>
      <c r="U17" s="715"/>
      <c r="V17" s="714"/>
      <c r="W17" s="715"/>
      <c r="X17" s="1540"/>
      <c r="Y17" s="3284"/>
      <c r="Z17" s="1541"/>
      <c r="AA17" s="1538">
        <v>1</v>
      </c>
      <c r="AB17" s="1538">
        <v>1</v>
      </c>
      <c r="AC17" s="1538">
        <v>1</v>
      </c>
    </row>
    <row r="18" spans="1:29" ht="41.4">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84"/>
      <c r="Q19" s="1537"/>
      <c r="R19" s="714"/>
      <c r="S19" s="715"/>
      <c r="T19" s="714"/>
      <c r="U19" s="715"/>
      <c r="V19" s="714"/>
      <c r="W19" s="715"/>
      <c r="X19" s="1540"/>
      <c r="Y19" s="3284"/>
      <c r="Z19" s="1541"/>
      <c r="AA19" s="1538">
        <v>1</v>
      </c>
      <c r="AB19" s="1538">
        <v>1</v>
      </c>
      <c r="AC19" s="1538">
        <v>1</v>
      </c>
    </row>
    <row r="20" spans="1:29" ht="55.2">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84"/>
      <c r="Q21" s="1537"/>
      <c r="R21" s="714"/>
      <c r="S21" s="715"/>
      <c r="T21" s="714"/>
      <c r="U21" s="715"/>
      <c r="V21" s="714"/>
      <c r="W21" s="715"/>
      <c r="X21" s="1540"/>
      <c r="Y21" s="3284"/>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4"/>
      <c r="Q24" s="1537">
        <f t="shared" ref="Q24:Q34"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6"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30">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9"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8"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8"/>
      <c r="Q27" s="716" t="str">
        <f t="shared" si="11"/>
        <v>成新率</v>
      </c>
      <c r="R27" s="717" t="s">
        <v>17</v>
      </c>
      <c r="S27" s="718" t="e">
        <f t="shared" si="12"/>
        <v>#N/A</v>
      </c>
      <c r="T27" s="717" t="s">
        <v>17</v>
      </c>
      <c r="U27" s="718" t="e">
        <f t="shared" si="13"/>
        <v>#N/A</v>
      </c>
      <c r="V27" s="717" t="s">
        <v>17</v>
      </c>
      <c r="W27" s="718" t="e">
        <f t="shared" si="14"/>
        <v>#N/A</v>
      </c>
      <c r="X27" s="719"/>
      <c r="Y27" s="3288"/>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8"/>
      <c r="Q28" s="1537" t="str">
        <f t="shared" si="11"/>
        <v>物业等级</v>
      </c>
      <c r="R28" s="714" t="s">
        <v>17</v>
      </c>
      <c r="S28" s="715">
        <f t="shared" si="12"/>
        <v>100</v>
      </c>
      <c r="T28" s="714" t="s">
        <v>17</v>
      </c>
      <c r="U28" s="715">
        <f t="shared" si="13"/>
        <v>100</v>
      </c>
      <c r="V28" s="714" t="s">
        <v>17</v>
      </c>
      <c r="W28" s="715">
        <f t="shared" si="14"/>
        <v>100</v>
      </c>
      <c r="X28" s="1540"/>
      <c r="Y28" s="3288"/>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8"/>
      <c r="Q29" s="1537" t="str">
        <f t="shared" si="11"/>
        <v>有无电梯</v>
      </c>
      <c r="R29" s="714" t="s">
        <v>17</v>
      </c>
      <c r="S29" s="715">
        <f t="shared" si="12"/>
        <v>100</v>
      </c>
      <c r="T29" s="714" t="s">
        <v>17</v>
      </c>
      <c r="U29" s="715">
        <f t="shared" si="13"/>
        <v>100</v>
      </c>
      <c r="V29" s="714" t="s">
        <v>17</v>
      </c>
      <c r="W29" s="715">
        <f t="shared" si="14"/>
        <v>100</v>
      </c>
      <c r="X29" s="1540"/>
      <c r="Y29" s="3288"/>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8"/>
      <c r="Q30" s="1537" t="str">
        <f t="shared" si="11"/>
        <v>建筑面积</v>
      </c>
      <c r="R30" s="714" t="s">
        <v>17</v>
      </c>
      <c r="S30" s="715" t="e">
        <f t="shared" si="12"/>
        <v>#N/A</v>
      </c>
      <c r="T30" s="714" t="s">
        <v>17</v>
      </c>
      <c r="U30" s="715" t="e">
        <f t="shared" si="13"/>
        <v>#N/A</v>
      </c>
      <c r="V30" s="714" t="s">
        <v>17</v>
      </c>
      <c r="W30" s="715" t="e">
        <f t="shared" si="14"/>
        <v>#N/A</v>
      </c>
      <c r="X30" s="1540"/>
      <c r="Y30" s="3288"/>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8"/>
      <c r="Q31" s="1528" t="str">
        <f t="shared" si="11"/>
        <v>是否封闭</v>
      </c>
      <c r="R31" s="710" t="s">
        <v>17</v>
      </c>
      <c r="S31" s="711">
        <f t="shared" si="12"/>
        <v>100</v>
      </c>
      <c r="T31" s="710" t="s">
        <v>17</v>
      </c>
      <c r="U31" s="711">
        <f t="shared" si="13"/>
        <v>100</v>
      </c>
      <c r="V31" s="710" t="s">
        <v>17</v>
      </c>
      <c r="W31" s="711">
        <f t="shared" si="14"/>
        <v>100</v>
      </c>
      <c r="X31" s="712"/>
      <c r="Y31" s="328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8" t="s">
        <v>2385</v>
      </c>
      <c r="Q32" s="1537">
        <f t="shared" si="11"/>
        <v>111</v>
      </c>
      <c r="R32" s="714" t="s">
        <v>17</v>
      </c>
      <c r="S32" s="715">
        <f t="shared" si="12"/>
        <v>100</v>
      </c>
      <c r="T32" s="714" t="s">
        <v>17</v>
      </c>
      <c r="U32" s="715">
        <f t="shared" si="13"/>
        <v>100</v>
      </c>
      <c r="V32" s="714" t="s">
        <v>17</v>
      </c>
      <c r="W32" s="715">
        <f t="shared" si="14"/>
        <v>100</v>
      </c>
      <c r="X32" s="1540"/>
      <c r="Y32" s="3288"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8"/>
      <c r="Q33" s="1537">
        <f t="shared" si="11"/>
        <v>111</v>
      </c>
      <c r="R33" s="714" t="s">
        <v>17</v>
      </c>
      <c r="S33" s="715">
        <f t="shared" si="12"/>
        <v>100</v>
      </c>
      <c r="T33" s="714" t="s">
        <v>17</v>
      </c>
      <c r="U33" s="715">
        <f t="shared" si="13"/>
        <v>100</v>
      </c>
      <c r="V33" s="714" t="s">
        <v>17</v>
      </c>
      <c r="W33" s="715">
        <f t="shared" si="14"/>
        <v>100</v>
      </c>
      <c r="X33" s="1540"/>
      <c r="Y33" s="3288"/>
      <c r="Z33" s="1541">
        <f t="shared" si="15"/>
        <v>111</v>
      </c>
      <c r="AA33" s="1538">
        <f t="shared" si="3"/>
        <v>1</v>
      </c>
      <c r="AB33" s="1538">
        <f t="shared" si="4"/>
        <v>1</v>
      </c>
      <c r="AC33" s="1538">
        <f t="shared" si="5"/>
        <v>1</v>
      </c>
    </row>
    <row r="34" spans="1:30" ht="15.6"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30" ht="14.4">
      <c r="A35" s="438" t="s">
        <v>2397</v>
      </c>
      <c r="B35" s="439"/>
      <c r="C35" s="1316" t="s">
        <v>1</v>
      </c>
      <c r="D35" s="1317"/>
      <c r="E35" s="1318"/>
      <c r="F35" s="1319"/>
      <c r="G35" s="1320"/>
      <c r="H35" s="1321"/>
      <c r="I35" s="1318"/>
      <c r="J35" s="1321"/>
      <c r="K35" s="723"/>
      <c r="L35" s="2951"/>
      <c r="M35" s="2952"/>
      <c r="N35" s="2943"/>
      <c r="O35" s="2952"/>
      <c r="P35" s="3281" t="str">
        <f>A35</f>
        <v>成交单价（元/平方米）</v>
      </c>
      <c r="Q35" s="3281"/>
      <c r="R35" s="3282">
        <f>E35</f>
        <v>0</v>
      </c>
      <c r="S35" s="3282"/>
      <c r="T35" s="3282">
        <f>G35</f>
        <v>0</v>
      </c>
      <c r="U35" s="3282"/>
      <c r="V35" s="3282">
        <f>I35</f>
        <v>0</v>
      </c>
      <c r="W35" s="3282"/>
      <c r="X35" s="699"/>
      <c r="Y35" s="721"/>
      <c r="Z35" s="699"/>
      <c r="AA35" s="699"/>
      <c r="AB35" s="699"/>
      <c r="AC35" s="699"/>
    </row>
    <row r="36" spans="1:30" ht="15" thickBot="1">
      <c r="A36" s="445" t="s">
        <v>2489</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699"/>
      <c r="Y36" s="699"/>
      <c r="Z36" s="699"/>
      <c r="AA36" s="699"/>
      <c r="AB36" s="699"/>
      <c r="AC36" s="699"/>
    </row>
    <row r="37" spans="1:30" ht="15" thickBot="1">
      <c r="A37" s="449" t="s">
        <v>2490</v>
      </c>
      <c r="B37" s="450"/>
      <c r="C37" s="1325" t="e">
        <f>R37</f>
        <v>#DIV/0!</v>
      </c>
      <c r="D37" s="1325"/>
      <c r="E37" s="1325"/>
      <c r="F37" s="1325"/>
      <c r="G37" s="1325"/>
      <c r="H37" s="1325"/>
      <c r="I37" s="1325"/>
      <c r="J37" s="1325"/>
      <c r="K37" s="724"/>
      <c r="L37" s="2951"/>
      <c r="M37" s="2952"/>
      <c r="N37" s="2952"/>
      <c r="O37" s="2952"/>
      <c r="P37" s="3278" t="str">
        <f>A37</f>
        <v>估价对象XX用房的比较价值（楼面单价，元/平方米）</v>
      </c>
      <c r="Q37" s="3279"/>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30">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30"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30" s="113" customFormat="1" ht="15" thickBot="1">
      <c r="A7" s="368" t="s">
        <v>2368</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5" si="3">D8/F8</f>
        <v>#DIV/0!</v>
      </c>
      <c r="AB8" s="713" t="e">
        <f t="shared" ref="AB8:AB45" si="4">D8/H8</f>
        <v>#DIV/0!</v>
      </c>
      <c r="AC8" s="713" t="e">
        <f t="shared" ref="AC8:AC45" si="5">D8/J8</f>
        <v>#DIV/0!</v>
      </c>
    </row>
    <row r="9" spans="1:30" s="113" customFormat="1" ht="14.4">
      <c r="A9" s="375" t="s">
        <v>2373</v>
      </c>
      <c r="B9" s="67" t="s">
        <v>2374</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30" s="386" customFormat="1" ht="28.8">
      <c r="A10" s="380"/>
      <c r="B10" s="381" t="s">
        <v>2377</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1"/>
      <c r="Q12" s="1528"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6.6">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3" t="s">
        <v>2380</v>
      </c>
      <c r="Q15" s="1537" t="str">
        <f t="shared" si="6"/>
        <v>居住社区成熟度</v>
      </c>
      <c r="R15" s="714" t="s">
        <v>17</v>
      </c>
      <c r="S15" s="715">
        <f t="shared" si="0"/>
        <v>100</v>
      </c>
      <c r="T15" s="714" t="s">
        <v>17</v>
      </c>
      <c r="U15" s="715">
        <f t="shared" si="1"/>
        <v>100</v>
      </c>
      <c r="V15" s="714" t="s">
        <v>17</v>
      </c>
      <c r="W15" s="715">
        <f t="shared" si="2"/>
        <v>100</v>
      </c>
      <c r="X15" s="1540"/>
      <c r="Y15" s="3283"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82.8">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4"/>
      <c r="Q17" s="1537" t="str">
        <f>B17</f>
        <v>商业繁华度</v>
      </c>
      <c r="R17" s="714" t="s">
        <v>17</v>
      </c>
      <c r="S17" s="715">
        <f>F17</f>
        <v>100</v>
      </c>
      <c r="T17" s="714" t="s">
        <v>17</v>
      </c>
      <c r="U17" s="715">
        <f>H17</f>
        <v>100</v>
      </c>
      <c r="V17" s="714" t="s">
        <v>17</v>
      </c>
      <c r="W17" s="715">
        <f>J17</f>
        <v>100</v>
      </c>
      <c r="X17" s="1540"/>
      <c r="Y17" s="3284"/>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82.8">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4"/>
      <c r="Q19" s="1537" t="str">
        <f>B19</f>
        <v>办公集聚程度</v>
      </c>
      <c r="R19" s="714" t="s">
        <v>17</v>
      </c>
      <c r="S19" s="715">
        <f>F19</f>
        <v>100</v>
      </c>
      <c r="T19" s="714" t="s">
        <v>17</v>
      </c>
      <c r="U19" s="715">
        <f>H19</f>
        <v>100</v>
      </c>
      <c r="V19" s="714" t="s">
        <v>17</v>
      </c>
      <c r="W19" s="715">
        <f>J19</f>
        <v>100</v>
      </c>
      <c r="X19" s="1540"/>
      <c r="Y19" s="3284"/>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84"/>
      <c r="Q20" s="1537"/>
      <c r="R20" s="714"/>
      <c r="S20" s="715"/>
      <c r="T20" s="714"/>
      <c r="U20" s="715"/>
      <c r="V20" s="714"/>
      <c r="W20" s="715"/>
      <c r="X20" s="1540"/>
      <c r="Y20" s="3284"/>
      <c r="Z20" s="1541"/>
      <c r="AA20" s="1538">
        <v>1</v>
      </c>
      <c r="AB20" s="1538">
        <v>1</v>
      </c>
      <c r="AC20" s="1538">
        <v>1</v>
      </c>
    </row>
    <row r="21" spans="1:29" ht="96.6">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4"/>
      <c r="Q21" s="1537" t="str">
        <f>B21</f>
        <v>交通便捷度</v>
      </c>
      <c r="R21" s="714" t="s">
        <v>17</v>
      </c>
      <c r="S21" s="715">
        <f>F21</f>
        <v>100</v>
      </c>
      <c r="T21" s="714" t="s">
        <v>17</v>
      </c>
      <c r="U21" s="715">
        <f>H21</f>
        <v>100</v>
      </c>
      <c r="V21" s="714" t="s">
        <v>17</v>
      </c>
      <c r="W21" s="715">
        <f>J21</f>
        <v>100</v>
      </c>
      <c r="X21" s="1540"/>
      <c r="Y21" s="3284"/>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ht="28.8">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4"/>
      <c r="Q23" s="1537" t="str">
        <f t="shared" ref="Q23:Q37" si="8">B23</f>
        <v>区域土地利用方向</v>
      </c>
      <c r="R23" s="714" t="s">
        <v>17</v>
      </c>
      <c r="S23" s="715">
        <f>F23</f>
        <v>100</v>
      </c>
      <c r="T23" s="714" t="s">
        <v>17</v>
      </c>
      <c r="U23" s="715">
        <f>H23</f>
        <v>100</v>
      </c>
      <c r="V23" s="714" t="s">
        <v>17</v>
      </c>
      <c r="W23" s="715">
        <f>J23</f>
        <v>100</v>
      </c>
      <c r="X23" s="1540"/>
      <c r="Y23" s="3284"/>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84"/>
      <c r="Q24" s="1537"/>
      <c r="R24" s="714"/>
      <c r="S24" s="715"/>
      <c r="T24" s="714"/>
      <c r="U24" s="715"/>
      <c r="V24" s="714"/>
      <c r="W24" s="715"/>
      <c r="X24" s="1540"/>
      <c r="Y24" s="3284"/>
      <c r="Z24" s="1541"/>
      <c r="AA24" s="1538"/>
      <c r="AB24" s="1538"/>
      <c r="AC24" s="1538"/>
    </row>
    <row r="25" spans="1:29" ht="55.2">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4"/>
      <c r="Q25" s="1537" t="str">
        <f t="shared" si="8"/>
        <v>自然及人文环境状况</v>
      </c>
      <c r="R25" s="714" t="s">
        <v>17</v>
      </c>
      <c r="S25" s="715">
        <f>F25</f>
        <v>100</v>
      </c>
      <c r="T25" s="714" t="s">
        <v>17</v>
      </c>
      <c r="U25" s="715">
        <f>H25</f>
        <v>100</v>
      </c>
      <c r="V25" s="714" t="s">
        <v>17</v>
      </c>
      <c r="W25" s="715">
        <f>J25</f>
        <v>100</v>
      </c>
      <c r="X25" s="1540"/>
      <c r="Y25" s="3284"/>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84"/>
      <c r="Q26" s="1537"/>
      <c r="R26" s="714"/>
      <c r="S26" s="715"/>
      <c r="T26" s="714"/>
      <c r="U26" s="715"/>
      <c r="V26" s="714"/>
      <c r="W26" s="715"/>
      <c r="X26" s="1540"/>
      <c r="Y26" s="3284"/>
      <c r="Z26" s="1541"/>
      <c r="AA26" s="1538">
        <v>1</v>
      </c>
      <c r="AB26" s="1538">
        <v>1</v>
      </c>
      <c r="AC26" s="1538">
        <v>1</v>
      </c>
    </row>
    <row r="27" spans="1:29" s="113" customFormat="1" ht="41.4">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4"/>
      <c r="Q27" s="1528" t="str">
        <f t="shared" si="8"/>
        <v>公共配套设施</v>
      </c>
      <c r="R27" s="710" t="s">
        <v>17</v>
      </c>
      <c r="S27" s="711">
        <f>F27</f>
        <v>100</v>
      </c>
      <c r="T27" s="710" t="s">
        <v>17</v>
      </c>
      <c r="U27" s="711">
        <f>H27</f>
        <v>100</v>
      </c>
      <c r="V27" s="710" t="s">
        <v>17</v>
      </c>
      <c r="W27" s="711">
        <f>J27</f>
        <v>100</v>
      </c>
      <c r="X27" s="712"/>
      <c r="Y27" s="3284"/>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84"/>
      <c r="Q28" s="1528"/>
      <c r="R28" s="710"/>
      <c r="S28" s="711"/>
      <c r="T28" s="710"/>
      <c r="U28" s="711"/>
      <c r="V28" s="710"/>
      <c r="W28" s="711"/>
      <c r="X28" s="712"/>
      <c r="Y28" s="3284"/>
      <c r="Z28" s="55"/>
      <c r="AA28" s="1538">
        <v>1</v>
      </c>
      <c r="AB28" s="1538">
        <v>1</v>
      </c>
      <c r="AC28" s="1538">
        <v>1</v>
      </c>
    </row>
    <row r="29" spans="1:29" s="113" customFormat="1" ht="41.4">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4"/>
      <c r="Q29" s="1528" t="str">
        <f t="shared" ref="Q29" si="9">B29</f>
        <v>基础设施水平</v>
      </c>
      <c r="R29" s="710" t="s">
        <v>17</v>
      </c>
      <c r="S29" s="711">
        <f>F29</f>
        <v>100</v>
      </c>
      <c r="T29" s="710" t="s">
        <v>17</v>
      </c>
      <c r="U29" s="711">
        <f>H29</f>
        <v>100</v>
      </c>
      <c r="V29" s="710" t="s">
        <v>17</v>
      </c>
      <c r="W29" s="711">
        <f>J29</f>
        <v>100</v>
      </c>
      <c r="X29" s="712"/>
      <c r="Y29" s="3284"/>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84"/>
      <c r="Q30" s="1528"/>
      <c r="R30" s="710"/>
      <c r="S30" s="711"/>
      <c r="T30" s="710"/>
      <c r="U30" s="711"/>
      <c r="V30" s="710"/>
      <c r="W30" s="711"/>
      <c r="X30" s="712"/>
      <c r="Y30" s="3284"/>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4"/>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4"/>
      <c r="Z31" s="1541" t="str">
        <f t="shared" ref="Z31:Z45" si="13">Q31</f>
        <v>临街状况</v>
      </c>
      <c r="AA31" s="1538">
        <f t="shared" si="3"/>
        <v>1</v>
      </c>
      <c r="AB31" s="1538">
        <f t="shared" si="4"/>
        <v>1</v>
      </c>
      <c r="AC31" s="1538">
        <f t="shared" si="5"/>
        <v>1</v>
      </c>
    </row>
    <row r="32" spans="1:29" ht="28.8">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4"/>
      <c r="Q32" s="1537" t="str">
        <f t="shared" si="8"/>
        <v>毗邻道路的类型与等级</v>
      </c>
      <c r="R32" s="714" t="s">
        <v>17</v>
      </c>
      <c r="S32" s="715">
        <f t="shared" si="10"/>
        <v>100</v>
      </c>
      <c r="T32" s="714" t="s">
        <v>17</v>
      </c>
      <c r="U32" s="715">
        <f t="shared" si="11"/>
        <v>100</v>
      </c>
      <c r="V32" s="714" t="s">
        <v>17</v>
      </c>
      <c r="W32" s="715">
        <f t="shared" si="12"/>
        <v>100</v>
      </c>
      <c r="X32" s="1540"/>
      <c r="Y32" s="3284"/>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84"/>
      <c r="Q33" s="1537"/>
      <c r="R33" s="714"/>
      <c r="S33" s="715"/>
      <c r="T33" s="714"/>
      <c r="U33" s="715"/>
      <c r="V33" s="714"/>
      <c r="W33" s="715"/>
      <c r="X33" s="1540"/>
      <c r="Y33" s="3284"/>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4"/>
      <c r="Q34" s="1537" t="str">
        <f t="shared" si="8"/>
        <v>土地级别</v>
      </c>
      <c r="R34" s="714" t="s">
        <v>17</v>
      </c>
      <c r="S34" s="715">
        <f t="shared" si="10"/>
        <v>100</v>
      </c>
      <c r="T34" s="714" t="s">
        <v>17</v>
      </c>
      <c r="U34" s="715">
        <f t="shared" si="11"/>
        <v>100</v>
      </c>
      <c r="V34" s="714" t="s">
        <v>17</v>
      </c>
      <c r="W34" s="715">
        <f t="shared" si="12"/>
        <v>100</v>
      </c>
      <c r="X34" s="1540"/>
      <c r="Y34" s="3284"/>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4"/>
      <c r="Q35" s="1537">
        <f t="shared" si="8"/>
        <v>111</v>
      </c>
      <c r="R35" s="714" t="s">
        <v>17</v>
      </c>
      <c r="S35" s="715">
        <f t="shared" si="10"/>
        <v>100</v>
      </c>
      <c r="T35" s="714" t="s">
        <v>17</v>
      </c>
      <c r="U35" s="715">
        <f t="shared" si="11"/>
        <v>100</v>
      </c>
      <c r="V35" s="714" t="s">
        <v>17</v>
      </c>
      <c r="W35" s="715">
        <f t="shared" si="12"/>
        <v>100</v>
      </c>
      <c r="X35" s="1540"/>
      <c r="Y35" s="3284"/>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9" t="s">
        <v>2385</v>
      </c>
      <c r="Q36" s="1537">
        <f t="shared" si="8"/>
        <v>111</v>
      </c>
      <c r="R36" s="714" t="s">
        <v>17</v>
      </c>
      <c r="S36" s="715">
        <f t="shared" si="10"/>
        <v>100</v>
      </c>
      <c r="T36" s="714" t="s">
        <v>17</v>
      </c>
      <c r="U36" s="715">
        <f t="shared" si="11"/>
        <v>100</v>
      </c>
      <c r="V36" s="714" t="s">
        <v>17</v>
      </c>
      <c r="W36" s="715">
        <f t="shared" si="12"/>
        <v>100</v>
      </c>
      <c r="X36" s="1540"/>
      <c r="Y36" s="3288" t="s">
        <v>2385</v>
      </c>
      <c r="Z36" s="1541">
        <f t="shared" si="13"/>
        <v>111</v>
      </c>
      <c r="AA36" s="1538">
        <f t="shared" si="3"/>
        <v>1</v>
      </c>
      <c r="AB36" s="1538">
        <f t="shared" si="4"/>
        <v>1</v>
      </c>
      <c r="AC36" s="1538">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8"/>
      <c r="Q37" s="1537">
        <f t="shared" si="8"/>
        <v>111</v>
      </c>
      <c r="R37" s="717" t="s">
        <v>17</v>
      </c>
      <c r="S37" s="718">
        <f t="shared" si="10"/>
        <v>100</v>
      </c>
      <c r="T37" s="717" t="s">
        <v>17</v>
      </c>
      <c r="U37" s="718">
        <f t="shared" si="11"/>
        <v>100</v>
      </c>
      <c r="V37" s="717" t="s">
        <v>17</v>
      </c>
      <c r="W37" s="718">
        <f t="shared" si="12"/>
        <v>100</v>
      </c>
      <c r="X37" s="719"/>
      <c r="Y37" s="3288"/>
      <c r="Z37" s="720">
        <f t="shared" si="13"/>
        <v>111</v>
      </c>
      <c r="AA37" s="1538">
        <f t="shared" si="3"/>
        <v>1</v>
      </c>
      <c r="AB37" s="1538">
        <f t="shared" si="4"/>
        <v>1</v>
      </c>
      <c r="AC37" s="1538">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8"/>
      <c r="Q38" s="1537" t="str">
        <f>B38</f>
        <v>宗地面积</v>
      </c>
      <c r="R38" s="714" t="s">
        <v>17</v>
      </c>
      <c r="S38" s="715" t="e">
        <f t="shared" si="10"/>
        <v>#N/A</v>
      </c>
      <c r="T38" s="714" t="s">
        <v>17</v>
      </c>
      <c r="U38" s="715" t="e">
        <f t="shared" si="11"/>
        <v>#N/A</v>
      </c>
      <c r="V38" s="714" t="s">
        <v>17</v>
      </c>
      <c r="W38" s="715" t="e">
        <f t="shared" si="12"/>
        <v>#N/A</v>
      </c>
      <c r="X38" s="1540"/>
      <c r="Y38" s="3288"/>
      <c r="Z38" s="1541" t="str">
        <f t="shared" si="13"/>
        <v>宗地面积</v>
      </c>
      <c r="AA38" s="1538" t="e">
        <f t="shared" si="3"/>
        <v>#N/A</v>
      </c>
      <c r="AB38" s="1538" t="e">
        <f t="shared" si="4"/>
        <v>#N/A</v>
      </c>
      <c r="AC38" s="1538"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88"/>
      <c r="Q39" s="1537" t="str">
        <f t="shared" ref="Q39:Q45" si="14">B39</f>
        <v>宗地形状</v>
      </c>
      <c r="R39" s="714" t="s">
        <v>17</v>
      </c>
      <c r="S39" s="715">
        <f t="shared" si="10"/>
        <v>100</v>
      </c>
      <c r="T39" s="714" t="s">
        <v>17</v>
      </c>
      <c r="U39" s="715">
        <f t="shared" si="11"/>
        <v>100</v>
      </c>
      <c r="V39" s="714" t="s">
        <v>17</v>
      </c>
      <c r="W39" s="715">
        <f t="shared" si="12"/>
        <v>100</v>
      </c>
      <c r="X39" s="1540"/>
      <c r="Y39" s="3288"/>
      <c r="Z39" s="1541" t="str">
        <f t="shared" si="13"/>
        <v>宗地形状</v>
      </c>
      <c r="AA39" s="1538">
        <f t="shared" si="3"/>
        <v>1</v>
      </c>
      <c r="AB39" s="1538">
        <f t="shared" si="4"/>
        <v>1</v>
      </c>
      <c r="AC39" s="1538">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88"/>
      <c r="Q40" s="1537" t="str">
        <f t="shared" si="14"/>
        <v>临街宽度及深度</v>
      </c>
      <c r="R40" s="714" t="s">
        <v>17</v>
      </c>
      <c r="S40" s="715">
        <f t="shared" si="10"/>
        <v>100</v>
      </c>
      <c r="T40" s="714" t="s">
        <v>17</v>
      </c>
      <c r="U40" s="715">
        <f t="shared" si="11"/>
        <v>100</v>
      </c>
      <c r="V40" s="714" t="s">
        <v>17</v>
      </c>
      <c r="W40" s="715">
        <f t="shared" si="12"/>
        <v>100</v>
      </c>
      <c r="X40" s="1540"/>
      <c r="Y40" s="3288"/>
      <c r="Z40" s="1541" t="str">
        <f t="shared" si="13"/>
        <v>临街宽度及深度</v>
      </c>
      <c r="AA40" s="1538">
        <f t="shared" si="3"/>
        <v>1</v>
      </c>
      <c r="AB40" s="1538">
        <f t="shared" si="4"/>
        <v>1</v>
      </c>
      <c r="AC40" s="1538">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88"/>
      <c r="Q41" s="1537" t="str">
        <f t="shared" si="14"/>
        <v>宗地开发程度</v>
      </c>
      <c r="R41" s="710" t="s">
        <v>17</v>
      </c>
      <c r="S41" s="711">
        <f t="shared" si="10"/>
        <v>100</v>
      </c>
      <c r="T41" s="710" t="s">
        <v>17</v>
      </c>
      <c r="U41" s="711">
        <f t="shared" si="11"/>
        <v>100</v>
      </c>
      <c r="V41" s="710" t="s">
        <v>17</v>
      </c>
      <c r="W41" s="711">
        <f t="shared" si="12"/>
        <v>100</v>
      </c>
      <c r="X41" s="712"/>
      <c r="Y41" s="3288"/>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88" t="s">
        <v>2385</v>
      </c>
      <c r="Q42" s="1537" t="str">
        <f t="shared" si="14"/>
        <v>工程地质条件</v>
      </c>
      <c r="R42" s="714" t="s">
        <v>17</v>
      </c>
      <c r="S42" s="715">
        <f t="shared" si="10"/>
        <v>100</v>
      </c>
      <c r="T42" s="714" t="s">
        <v>17</v>
      </c>
      <c r="U42" s="715">
        <f t="shared" si="11"/>
        <v>100</v>
      </c>
      <c r="V42" s="714" t="s">
        <v>17</v>
      </c>
      <c r="W42" s="715">
        <f t="shared" si="12"/>
        <v>100</v>
      </c>
      <c r="X42" s="1540"/>
      <c r="Y42" s="3288"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8"/>
      <c r="Q43" s="1537">
        <f t="shared" si="14"/>
        <v>111</v>
      </c>
      <c r="R43" s="714" t="s">
        <v>17</v>
      </c>
      <c r="S43" s="715">
        <f t="shared" si="10"/>
        <v>100</v>
      </c>
      <c r="T43" s="714" t="s">
        <v>17</v>
      </c>
      <c r="U43" s="715">
        <f t="shared" si="11"/>
        <v>100</v>
      </c>
      <c r="V43" s="714" t="s">
        <v>17</v>
      </c>
      <c r="W43" s="715">
        <f t="shared" si="12"/>
        <v>100</v>
      </c>
      <c r="X43" s="1540"/>
      <c r="Y43" s="3288"/>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8"/>
      <c r="Q44" s="1537">
        <f t="shared" si="14"/>
        <v>111</v>
      </c>
      <c r="R44" s="714" t="s">
        <v>17</v>
      </c>
      <c r="S44" s="715">
        <f t="shared" si="10"/>
        <v>100</v>
      </c>
      <c r="T44" s="714" t="s">
        <v>17</v>
      </c>
      <c r="U44" s="715">
        <f t="shared" si="11"/>
        <v>100</v>
      </c>
      <c r="V44" s="714" t="s">
        <v>17</v>
      </c>
      <c r="W44" s="715">
        <f t="shared" si="12"/>
        <v>100</v>
      </c>
      <c r="X44" s="1540"/>
      <c r="Y44" s="3288"/>
      <c r="Z44" s="1541">
        <f t="shared" si="13"/>
        <v>111</v>
      </c>
      <c r="AA44" s="1538">
        <f t="shared" si="3"/>
        <v>1</v>
      </c>
      <c r="AB44" s="1538">
        <f t="shared" si="4"/>
        <v>1</v>
      </c>
      <c r="AC44" s="1538">
        <f t="shared" si="5"/>
        <v>1</v>
      </c>
    </row>
    <row r="45" spans="1:29" s="430" customFormat="1" ht="15.6"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8"/>
      <c r="Q45" s="1537">
        <f t="shared" si="14"/>
        <v>111</v>
      </c>
      <c r="R45" s="717" t="s">
        <v>17</v>
      </c>
      <c r="S45" s="718">
        <f t="shared" si="10"/>
        <v>100</v>
      </c>
      <c r="T45" s="717" t="s">
        <v>17</v>
      </c>
      <c r="U45" s="718">
        <f t="shared" si="11"/>
        <v>100</v>
      </c>
      <c r="V45" s="717" t="s">
        <v>17</v>
      </c>
      <c r="W45" s="718">
        <f t="shared" si="12"/>
        <v>100</v>
      </c>
      <c r="X45" s="719"/>
      <c r="Y45" s="3288"/>
      <c r="Z45" s="720">
        <f t="shared" si="13"/>
        <v>111</v>
      </c>
      <c r="AA45" s="1538">
        <f t="shared" si="3"/>
        <v>1</v>
      </c>
      <c r="AB45" s="1538">
        <f t="shared" si="4"/>
        <v>1</v>
      </c>
      <c r="AC45" s="1538">
        <f t="shared" si="5"/>
        <v>1</v>
      </c>
    </row>
    <row r="46" spans="1:29" ht="14.4">
      <c r="A46" s="438" t="s">
        <v>2540</v>
      </c>
      <c r="B46" s="2166" t="s">
        <v>2576</v>
      </c>
      <c r="C46" s="638" t="s">
        <v>1</v>
      </c>
      <c r="D46" s="440"/>
      <c r="E46" s="441"/>
      <c r="F46" s="442"/>
      <c r="G46" s="443"/>
      <c r="H46" s="444"/>
      <c r="I46" s="441"/>
      <c r="J46" s="444"/>
      <c r="K46" s="723"/>
      <c r="L46" s="2951"/>
      <c r="M46" s="2952"/>
      <c r="N46" s="2943"/>
      <c r="O46" s="2952"/>
      <c r="P46" s="3281" t="str">
        <f>A46</f>
        <v>成交单价</v>
      </c>
      <c r="Q46" s="3281"/>
      <c r="R46" s="3276">
        <f>E46</f>
        <v>0</v>
      </c>
      <c r="S46" s="3276"/>
      <c r="T46" s="3276">
        <f>G46</f>
        <v>0</v>
      </c>
      <c r="U46" s="3276"/>
      <c r="V46" s="3276">
        <f>I46</f>
        <v>0</v>
      </c>
      <c r="W46" s="3276"/>
      <c r="X46" s="699"/>
      <c r="Y46" s="721"/>
      <c r="Z46" s="699"/>
      <c r="AA46" s="699"/>
      <c r="AB46" s="699"/>
      <c r="AC46" s="699"/>
    </row>
    <row r="47" spans="1:29" ht="15" thickBot="1">
      <c r="A47" s="445" t="s">
        <v>2489</v>
      </c>
      <c r="B47" s="639"/>
      <c r="C47" s="448" t="e">
        <f>R48</f>
        <v>#DIV/0!</v>
      </c>
      <c r="D47" s="2536" t="s">
        <v>2878</v>
      </c>
      <c r="E47" s="448" t="e">
        <f>R47</f>
        <v>#DIV/0!</v>
      </c>
      <c r="F47" s="2537"/>
      <c r="G47" s="447" t="e">
        <f>T47</f>
        <v>#DIV/0!</v>
      </c>
      <c r="H47" s="2537"/>
      <c r="I47" s="448" t="e">
        <f>V47</f>
        <v>#DIV/0!</v>
      </c>
      <c r="J47" s="2537"/>
      <c r="K47" s="2539">
        <f>F47+H47+J47</f>
        <v>0</v>
      </c>
      <c r="L47" s="2951"/>
      <c r="M47" s="2952"/>
      <c r="N47" s="2952"/>
      <c r="O47" s="2952"/>
      <c r="P47" s="3281" t="str">
        <f>A47</f>
        <v>比较价值（元/平方米）</v>
      </c>
      <c r="Q47" s="3281"/>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51"/>
      <c r="M48" s="2952"/>
      <c r="N48" s="2952"/>
      <c r="O48" s="2952"/>
      <c r="P48" s="3278" t="str">
        <f>A48</f>
        <v>估价对象XX用房的比较价值（楼面单价，元/平方米）</v>
      </c>
      <c r="Q48" s="3279"/>
      <c r="R48" s="3342" t="e">
        <f>ROUND(IF(D47="简单平均",AVERAGE(R47:W47),R47*F47+T47*H47+V47*J47),0)</f>
        <v>#DIV/0!</v>
      </c>
      <c r="S48" s="3342"/>
      <c r="T48" s="3342"/>
      <c r="U48" s="3342"/>
      <c r="V48" s="3342"/>
      <c r="W48" s="334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64" t="s">
        <v>2584</v>
      </c>
      <c r="H55" s="3343"/>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522.55999999999995</v>
      </c>
      <c r="F56" s="1017" t="e">
        <f t="shared" ref="F56:F65" si="15">ROUND(B56*E56/10000,0)</f>
        <v>#DIV/0!</v>
      </c>
      <c r="G56" s="3263"/>
      <c r="H56" s="328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4"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2600</v>
      </c>
      <c r="B65" s="224" t="e">
        <f t="shared" si="17"/>
        <v>#DIV/0!</v>
      </c>
      <c r="C65" s="176">
        <f t="shared" si="16"/>
        <v>0</v>
      </c>
      <c r="D65" s="1076">
        <v>0.25</v>
      </c>
      <c r="E65" s="223">
        <f>'数据-汇总表'!E15</f>
        <v>0</v>
      </c>
      <c r="F65" s="1017" t="e">
        <f t="shared" si="15"/>
        <v>#DIV/0!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2601</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2.2"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4.4">
      <c r="A70" s="2173"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4.4">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345" t="s">
        <v>2617</v>
      </c>
      <c r="D6" s="3346"/>
      <c r="E6" s="3347" t="s">
        <v>2617</v>
      </c>
      <c r="F6" s="3348"/>
      <c r="G6" s="3345" t="s">
        <v>2617</v>
      </c>
      <c r="H6" s="3346"/>
      <c r="I6" s="3345" t="s">
        <v>2617</v>
      </c>
      <c r="J6" s="3346"/>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0" si="3">D8/F8</f>
        <v>#DIV/0!</v>
      </c>
      <c r="AB8" s="713" t="e">
        <f t="shared" ref="AB8:AB40" si="4">D8/H8</f>
        <v>#DIV/0!</v>
      </c>
      <c r="AC8" s="713" t="e">
        <f t="shared" ref="AC8:AC40" si="5">D8/J8</f>
        <v>#DIV/0!</v>
      </c>
    </row>
    <row r="9" spans="1:29" s="113" customFormat="1" ht="14.4">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3" t="s">
        <v>2380</v>
      </c>
      <c r="Q15" s="1537" t="str">
        <f t="shared" si="6"/>
        <v>产业集聚程度</v>
      </c>
      <c r="R15" s="714" t="s">
        <v>17</v>
      </c>
      <c r="S15" s="715">
        <f t="shared" si="0"/>
        <v>100</v>
      </c>
      <c r="T15" s="714" t="s">
        <v>17</v>
      </c>
      <c r="U15" s="715">
        <f t="shared" si="1"/>
        <v>100</v>
      </c>
      <c r="V15" s="714" t="s">
        <v>17</v>
      </c>
      <c r="W15" s="715">
        <f t="shared" si="2"/>
        <v>100</v>
      </c>
      <c r="X15" s="1540"/>
      <c r="Y15" s="3283"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96.6">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28.8">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4"/>
      <c r="Q19" s="1537" t="str">
        <f t="shared" ref="Q19:Q33" si="8">B19</f>
        <v>区域土地利用方向</v>
      </c>
      <c r="R19" s="714" t="s">
        <v>17</v>
      </c>
      <c r="S19" s="715">
        <f>F19</f>
        <v>100</v>
      </c>
      <c r="T19" s="714" t="s">
        <v>17</v>
      </c>
      <c r="U19" s="715">
        <f>H19</f>
        <v>100</v>
      </c>
      <c r="V19" s="714" t="s">
        <v>17</v>
      </c>
      <c r="W19" s="715">
        <f>J19</f>
        <v>100</v>
      </c>
      <c r="X19" s="1540"/>
      <c r="Y19" s="3284"/>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84"/>
      <c r="Q20" s="1537"/>
      <c r="R20" s="714"/>
      <c r="S20" s="715"/>
      <c r="T20" s="714"/>
      <c r="U20" s="715"/>
      <c r="V20" s="714"/>
      <c r="W20" s="715"/>
      <c r="X20" s="1540"/>
      <c r="Y20" s="3284"/>
      <c r="Z20" s="1541"/>
      <c r="AA20" s="1538"/>
      <c r="AB20" s="1538"/>
      <c r="AC20" s="1538"/>
    </row>
    <row r="21" spans="1:29" ht="82.8">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4"/>
      <c r="Q21" s="1537" t="str">
        <f t="shared" si="8"/>
        <v>环境状况</v>
      </c>
      <c r="R21" s="714" t="s">
        <v>17</v>
      </c>
      <c r="S21" s="715">
        <f>F21</f>
        <v>100</v>
      </c>
      <c r="T21" s="714" t="s">
        <v>17</v>
      </c>
      <c r="U21" s="715">
        <f>H21</f>
        <v>100</v>
      </c>
      <c r="V21" s="714" t="s">
        <v>17</v>
      </c>
      <c r="W21" s="715">
        <f>J21</f>
        <v>100</v>
      </c>
      <c r="X21" s="1540"/>
      <c r="Y21" s="3284"/>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s="113" customFormat="1" ht="41.4">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4"/>
      <c r="Q23" s="1528" t="str">
        <f t="shared" si="8"/>
        <v>公共配套设施</v>
      </c>
      <c r="R23" s="710" t="s">
        <v>17</v>
      </c>
      <c r="S23" s="711">
        <f>F23</f>
        <v>100</v>
      </c>
      <c r="T23" s="710" t="s">
        <v>17</v>
      </c>
      <c r="U23" s="711">
        <f>H23</f>
        <v>100</v>
      </c>
      <c r="V23" s="710" t="s">
        <v>17</v>
      </c>
      <c r="W23" s="711">
        <f>J23</f>
        <v>100</v>
      </c>
      <c r="X23" s="712"/>
      <c r="Y23" s="3284"/>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84"/>
      <c r="Q24" s="1528"/>
      <c r="R24" s="710"/>
      <c r="S24" s="711"/>
      <c r="T24" s="710"/>
      <c r="U24" s="711"/>
      <c r="V24" s="710"/>
      <c r="W24" s="711"/>
      <c r="X24" s="712"/>
      <c r="Y24" s="3284"/>
      <c r="Z24" s="55"/>
      <c r="AA24" s="713">
        <v>1</v>
      </c>
      <c r="AB24" s="713">
        <v>1</v>
      </c>
      <c r="AC24" s="713">
        <v>1</v>
      </c>
    </row>
    <row r="25" spans="1:29" s="113" customFormat="1" ht="41.4">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4"/>
      <c r="Q25" s="1528" t="str">
        <f t="shared" ref="Q25" si="9">B25</f>
        <v>基础设施水平</v>
      </c>
      <c r="R25" s="710" t="s">
        <v>17</v>
      </c>
      <c r="S25" s="711">
        <f>F25</f>
        <v>100</v>
      </c>
      <c r="T25" s="710" t="s">
        <v>17</v>
      </c>
      <c r="U25" s="711">
        <f>H25</f>
        <v>100</v>
      </c>
      <c r="V25" s="710" t="s">
        <v>17</v>
      </c>
      <c r="W25" s="711">
        <f>J25</f>
        <v>100</v>
      </c>
      <c r="X25" s="712"/>
      <c r="Y25" s="3284"/>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84"/>
      <c r="Q26" s="1528"/>
      <c r="R26" s="710"/>
      <c r="S26" s="711"/>
      <c r="T26" s="710"/>
      <c r="U26" s="711"/>
      <c r="V26" s="710"/>
      <c r="W26" s="711"/>
      <c r="X26" s="712"/>
      <c r="Y26" s="328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4"/>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4"/>
      <c r="Z27" s="1541" t="str">
        <f t="shared" ref="Z27:Z40" si="13">Q27</f>
        <v>临街状况</v>
      </c>
      <c r="AA27" s="1538">
        <f t="shared" si="3"/>
        <v>1</v>
      </c>
      <c r="AB27" s="1538">
        <f t="shared" si="4"/>
        <v>1</v>
      </c>
      <c r="AC27" s="1538">
        <f t="shared" si="5"/>
        <v>1</v>
      </c>
    </row>
    <row r="28" spans="1:29" ht="28.8">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4"/>
      <c r="Q28" s="1537" t="str">
        <f t="shared" si="8"/>
        <v>毗邻道路的类型与等级</v>
      </c>
      <c r="R28" s="714" t="s">
        <v>17</v>
      </c>
      <c r="S28" s="715">
        <f t="shared" si="10"/>
        <v>100</v>
      </c>
      <c r="T28" s="714" t="s">
        <v>17</v>
      </c>
      <c r="U28" s="715">
        <f t="shared" si="11"/>
        <v>100</v>
      </c>
      <c r="V28" s="714" t="s">
        <v>17</v>
      </c>
      <c r="W28" s="715">
        <f t="shared" si="12"/>
        <v>100</v>
      </c>
      <c r="X28" s="1540"/>
      <c r="Y28" s="3284"/>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84"/>
      <c r="Q29" s="1537"/>
      <c r="R29" s="714"/>
      <c r="S29" s="715"/>
      <c r="T29" s="714"/>
      <c r="U29" s="715"/>
      <c r="V29" s="714"/>
      <c r="W29" s="715"/>
      <c r="X29" s="1540"/>
      <c r="Y29" s="3284"/>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4"/>
      <c r="Q30" s="1537" t="str">
        <f t="shared" si="8"/>
        <v>土地级别</v>
      </c>
      <c r="R30" s="714" t="s">
        <v>17</v>
      </c>
      <c r="S30" s="715">
        <f t="shared" si="10"/>
        <v>100</v>
      </c>
      <c r="T30" s="714" t="s">
        <v>17</v>
      </c>
      <c r="U30" s="715">
        <f t="shared" si="11"/>
        <v>100</v>
      </c>
      <c r="V30" s="714" t="s">
        <v>17</v>
      </c>
      <c r="W30" s="715">
        <f t="shared" si="12"/>
        <v>100</v>
      </c>
      <c r="X30" s="1540"/>
      <c r="Y30" s="3284"/>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4"/>
      <c r="Q31" s="1537">
        <f t="shared" si="8"/>
        <v>111</v>
      </c>
      <c r="R31" s="714" t="s">
        <v>17</v>
      </c>
      <c r="S31" s="715">
        <f t="shared" si="10"/>
        <v>100</v>
      </c>
      <c r="T31" s="714" t="s">
        <v>17</v>
      </c>
      <c r="U31" s="715">
        <f t="shared" si="11"/>
        <v>100</v>
      </c>
      <c r="V31" s="714" t="s">
        <v>17</v>
      </c>
      <c r="W31" s="715">
        <f t="shared" si="12"/>
        <v>100</v>
      </c>
      <c r="X31" s="1540"/>
      <c r="Y31" s="3284"/>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9" t="s">
        <v>2385</v>
      </c>
      <c r="Q32" s="1537">
        <f t="shared" si="8"/>
        <v>111</v>
      </c>
      <c r="R32" s="714" t="s">
        <v>17</v>
      </c>
      <c r="S32" s="715">
        <f t="shared" si="10"/>
        <v>100</v>
      </c>
      <c r="T32" s="714" t="s">
        <v>17</v>
      </c>
      <c r="U32" s="715">
        <f t="shared" si="11"/>
        <v>100</v>
      </c>
      <c r="V32" s="714" t="s">
        <v>17</v>
      </c>
      <c r="W32" s="715">
        <f t="shared" si="12"/>
        <v>100</v>
      </c>
      <c r="X32" s="1540"/>
      <c r="Y32" s="3288" t="s">
        <v>2385</v>
      </c>
      <c r="Z32" s="1541">
        <f t="shared" si="13"/>
        <v>111</v>
      </c>
      <c r="AA32" s="1538">
        <f t="shared" si="3"/>
        <v>1</v>
      </c>
      <c r="AB32" s="1538">
        <f t="shared" si="4"/>
        <v>1</v>
      </c>
      <c r="AC32" s="1538">
        <f t="shared" si="5"/>
        <v>1</v>
      </c>
    </row>
    <row r="33" spans="1:31" s="430" customFormat="1" ht="15.6"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8"/>
      <c r="Q33" s="1537">
        <f t="shared" si="8"/>
        <v>111</v>
      </c>
      <c r="R33" s="717" t="s">
        <v>17</v>
      </c>
      <c r="S33" s="718">
        <f t="shared" si="10"/>
        <v>100</v>
      </c>
      <c r="T33" s="717" t="s">
        <v>17</v>
      </c>
      <c r="U33" s="718">
        <f t="shared" si="11"/>
        <v>100</v>
      </c>
      <c r="V33" s="717" t="s">
        <v>17</v>
      </c>
      <c r="W33" s="718">
        <f t="shared" si="12"/>
        <v>100</v>
      </c>
      <c r="X33" s="719"/>
      <c r="Y33" s="3288"/>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8"/>
      <c r="Q34" s="1537" t="str">
        <f>B34</f>
        <v>宗地面积</v>
      </c>
      <c r="R34" s="714" t="s">
        <v>17</v>
      </c>
      <c r="S34" s="715" t="e">
        <f t="shared" si="10"/>
        <v>#N/A</v>
      </c>
      <c r="T34" s="714" t="s">
        <v>17</v>
      </c>
      <c r="U34" s="715" t="e">
        <f t="shared" si="11"/>
        <v>#N/A</v>
      </c>
      <c r="V34" s="714" t="s">
        <v>17</v>
      </c>
      <c r="W34" s="715" t="e">
        <f t="shared" si="12"/>
        <v>#N/A</v>
      </c>
      <c r="X34" s="1540"/>
      <c r="Y34" s="3288"/>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88"/>
      <c r="Q35" s="1537" t="str">
        <f t="shared" ref="Q35:Q40" si="14">B35</f>
        <v>宗地形状</v>
      </c>
      <c r="R35" s="714" t="s">
        <v>17</v>
      </c>
      <c r="S35" s="715">
        <f t="shared" si="10"/>
        <v>100</v>
      </c>
      <c r="T35" s="714" t="s">
        <v>17</v>
      </c>
      <c r="U35" s="715">
        <f t="shared" si="11"/>
        <v>100</v>
      </c>
      <c r="V35" s="714" t="s">
        <v>17</v>
      </c>
      <c r="W35" s="715">
        <f t="shared" si="12"/>
        <v>100</v>
      </c>
      <c r="X35" s="1540"/>
      <c r="Y35" s="3288"/>
      <c r="Z35" s="1541" t="str">
        <f t="shared" si="13"/>
        <v>宗地形状</v>
      </c>
      <c r="AA35" s="1538">
        <f t="shared" si="3"/>
        <v>1</v>
      </c>
      <c r="AB35" s="1538">
        <f t="shared" si="4"/>
        <v>1</v>
      </c>
      <c r="AC35" s="1538">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88"/>
      <c r="Q36" s="1537" t="str">
        <f t="shared" si="14"/>
        <v>宗地开发程度</v>
      </c>
      <c r="R36" s="710" t="s">
        <v>17</v>
      </c>
      <c r="S36" s="711">
        <f t="shared" si="10"/>
        <v>100</v>
      </c>
      <c r="T36" s="710" t="s">
        <v>17</v>
      </c>
      <c r="U36" s="711">
        <f t="shared" si="11"/>
        <v>100</v>
      </c>
      <c r="V36" s="710" t="s">
        <v>17</v>
      </c>
      <c r="W36" s="711">
        <f t="shared" si="12"/>
        <v>100</v>
      </c>
      <c r="X36" s="712"/>
      <c r="Y36" s="3288"/>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88" t="s">
        <v>2385</v>
      </c>
      <c r="Q37" s="1537" t="str">
        <f t="shared" si="14"/>
        <v>工程地质条件</v>
      </c>
      <c r="R37" s="714" t="s">
        <v>17</v>
      </c>
      <c r="S37" s="715">
        <f t="shared" si="10"/>
        <v>100</v>
      </c>
      <c r="T37" s="714" t="s">
        <v>17</v>
      </c>
      <c r="U37" s="715">
        <f t="shared" si="11"/>
        <v>100</v>
      </c>
      <c r="V37" s="714" t="s">
        <v>17</v>
      </c>
      <c r="W37" s="715">
        <f t="shared" si="12"/>
        <v>100</v>
      </c>
      <c r="X37" s="1540"/>
      <c r="Y37" s="3288"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8"/>
      <c r="Q38" s="1537">
        <f t="shared" si="14"/>
        <v>111</v>
      </c>
      <c r="R38" s="714" t="s">
        <v>17</v>
      </c>
      <c r="S38" s="715">
        <f t="shared" si="10"/>
        <v>100</v>
      </c>
      <c r="T38" s="714" t="s">
        <v>17</v>
      </c>
      <c r="U38" s="715">
        <f t="shared" si="11"/>
        <v>100</v>
      </c>
      <c r="V38" s="714" t="s">
        <v>17</v>
      </c>
      <c r="W38" s="715">
        <f t="shared" si="12"/>
        <v>100</v>
      </c>
      <c r="X38" s="1540"/>
      <c r="Y38" s="3288"/>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8"/>
      <c r="Q39" s="1537">
        <f t="shared" si="14"/>
        <v>111</v>
      </c>
      <c r="R39" s="714" t="s">
        <v>17</v>
      </c>
      <c r="S39" s="715">
        <f t="shared" si="10"/>
        <v>100</v>
      </c>
      <c r="T39" s="714" t="s">
        <v>17</v>
      </c>
      <c r="U39" s="715">
        <f t="shared" si="11"/>
        <v>100</v>
      </c>
      <c r="V39" s="714" t="s">
        <v>17</v>
      </c>
      <c r="W39" s="715">
        <f t="shared" si="12"/>
        <v>100</v>
      </c>
      <c r="X39" s="1540"/>
      <c r="Y39" s="3288"/>
      <c r="Z39" s="1541">
        <f t="shared" si="13"/>
        <v>111</v>
      </c>
      <c r="AA39" s="1538">
        <f t="shared" si="3"/>
        <v>1</v>
      </c>
      <c r="AB39" s="1538">
        <f t="shared" si="4"/>
        <v>1</v>
      </c>
      <c r="AC39" s="1538">
        <f t="shared" si="5"/>
        <v>1</v>
      </c>
    </row>
    <row r="40" spans="1:31" s="430" customFormat="1" ht="15.6"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8"/>
      <c r="Q40" s="1537">
        <f t="shared" si="14"/>
        <v>111</v>
      </c>
      <c r="R40" s="717" t="s">
        <v>17</v>
      </c>
      <c r="S40" s="718">
        <f t="shared" si="10"/>
        <v>100</v>
      </c>
      <c r="T40" s="717" t="s">
        <v>17</v>
      </c>
      <c r="U40" s="718">
        <f t="shared" si="11"/>
        <v>100</v>
      </c>
      <c r="V40" s="717" t="s">
        <v>17</v>
      </c>
      <c r="W40" s="718">
        <f t="shared" si="12"/>
        <v>100</v>
      </c>
      <c r="X40" s="719"/>
      <c r="Y40" s="3288"/>
      <c r="Z40" s="720">
        <f t="shared" si="13"/>
        <v>111</v>
      </c>
      <c r="AA40" s="1538">
        <f t="shared" si="3"/>
        <v>1</v>
      </c>
      <c r="AB40" s="1538">
        <f t="shared" si="4"/>
        <v>1</v>
      </c>
      <c r="AC40" s="1538">
        <f t="shared" si="5"/>
        <v>1</v>
      </c>
    </row>
    <row r="41" spans="1:31" ht="14.4">
      <c r="A41" s="438" t="s">
        <v>2540</v>
      </c>
      <c r="B41" s="2166" t="s">
        <v>2620</v>
      </c>
      <c r="C41" s="638" t="s">
        <v>1</v>
      </c>
      <c r="D41" s="440"/>
      <c r="E41" s="441"/>
      <c r="F41" s="442"/>
      <c r="G41" s="443"/>
      <c r="H41" s="444"/>
      <c r="I41" s="441"/>
      <c r="J41" s="444"/>
      <c r="K41" s="723"/>
      <c r="L41" s="2951"/>
      <c r="M41" s="2943"/>
      <c r="N41" s="2943"/>
      <c r="O41" s="2952"/>
      <c r="P41" s="3281" t="str">
        <f>A41</f>
        <v>成交单价</v>
      </c>
      <c r="Q41" s="3281"/>
      <c r="R41" s="3276">
        <f>E41</f>
        <v>0</v>
      </c>
      <c r="S41" s="3276"/>
      <c r="T41" s="3276">
        <f>G41</f>
        <v>0</v>
      </c>
      <c r="U41" s="3276"/>
      <c r="V41" s="3276">
        <f>I41</f>
        <v>0</v>
      </c>
      <c r="W41" s="3276"/>
      <c r="X41" s="699"/>
      <c r="Y41" s="721"/>
      <c r="Z41" s="699"/>
      <c r="AA41" s="699"/>
      <c r="AB41" s="699"/>
      <c r="AC41" s="699"/>
    </row>
    <row r="42" spans="1:31" ht="15" thickBot="1">
      <c r="A42" s="445" t="s">
        <v>2489</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81" t="str">
        <f>A42</f>
        <v>比较价值（元/平方米）</v>
      </c>
      <c r="Q42" s="3281"/>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51"/>
      <c r="M43" s="2943"/>
      <c r="N43" s="2943"/>
      <c r="O43" s="2952"/>
      <c r="P43" s="3278" t="str">
        <f>A43</f>
        <v>估价对象XX用房的比较价值（楼面单价，元/平方米）</v>
      </c>
      <c r="Q43" s="3279"/>
      <c r="R43" s="3342" t="e">
        <f>ROUND(IF(D42="简单平均",AVERAGE(R42:W42),R42*F42+T42*H42+V42*J42),0)</f>
        <v>#DIV/0!</v>
      </c>
      <c r="S43" s="3342"/>
      <c r="T43" s="3342"/>
      <c r="U43" s="3342"/>
      <c r="V43" s="3342"/>
      <c r="W43" s="334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2578</v>
      </c>
      <c r="B50" s="641" t="s">
        <v>2579</v>
      </c>
      <c r="C50" s="2167" t="s">
        <v>2580</v>
      </c>
      <c r="D50" s="2168" t="s">
        <v>2581</v>
      </c>
      <c r="E50" s="642" t="s">
        <v>2582</v>
      </c>
      <c r="F50" s="643" t="s">
        <v>2583</v>
      </c>
      <c r="G50" s="3264" t="s">
        <v>2584</v>
      </c>
      <c r="H50" s="3343"/>
      <c r="I50" s="1541" t="s">
        <v>2621</v>
      </c>
      <c r="J50" s="1541">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522.55999999999995</v>
      </c>
      <c r="F51" s="647" t="e">
        <f t="shared" ref="F51:F60" si="15">ROUND(B51*E51/10000,0)</f>
        <v>#DIV/0!</v>
      </c>
      <c r="G51" s="3263"/>
      <c r="H51" s="328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4"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2.2"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4.4">
      <c r="A65" s="2173"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O36" sqref="O36"/>
    </sheetView>
  </sheetViews>
  <sheetFormatPr defaultColWidth="12" defaultRowHeight="13.2"/>
  <cols>
    <col min="1" max="1" width="9.77734375" style="2248" customWidth="1"/>
    <col min="2" max="2" width="19.21875" style="2351" customWidth="1"/>
    <col min="3" max="3" width="12" style="2182"/>
    <col min="4" max="4" width="12.33203125" style="2182" bestFit="1" customWidth="1"/>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17" width="12.33203125" style="2182" bestFit="1" customWidth="1"/>
    <col min="18" max="25" width="12" style="2182"/>
    <col min="26" max="26" width="9.33203125" style="2248" customWidth="1"/>
    <col min="27" max="32" width="9.33203125" style="1282" customWidth="1"/>
    <col min="33" max="36" width="9.33203125" style="2248" customWidth="1"/>
    <col min="37" max="38" width="9.33203125" style="2182" customWidth="1"/>
    <col min="39" max="16384" width="12" style="2182"/>
  </cols>
  <sheetData>
    <row r="1" spans="1:36" ht="31.2">
      <c r="A1" s="202" t="s">
        <v>2624</v>
      </c>
      <c r="B1" s="203"/>
      <c r="C1" s="207" t="s">
        <v>2625</v>
      </c>
      <c r="D1" s="348">
        <f>SUM(D29:D30,D33:D39)</f>
        <v>522.55999999999995</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6">
      <c r="A2" s="207" t="s">
        <v>2632</v>
      </c>
      <c r="B2" s="210">
        <f ca="1">C26</f>
        <v>2478</v>
      </c>
      <c r="C2" s="2183" t="s">
        <v>2633</v>
      </c>
      <c r="D2" s="2184" t="s">
        <v>2634</v>
      </c>
      <c r="E2" s="2185" t="s">
        <v>3062</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Ⅱ—13</v>
      </c>
      <c r="J2" s="2187"/>
      <c r="K2" s="1280"/>
      <c r="L2" s="2188" t="s">
        <v>2637</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126056</v>
      </c>
      <c r="U2" s="1375"/>
      <c r="V2" s="1374">
        <f ca="1">ROUND(T2*U2/10000,0)</f>
        <v>0</v>
      </c>
      <c r="W2" s="1378"/>
      <c r="X2" s="1378"/>
      <c r="Y2" s="1378"/>
      <c r="Z2" s="1378"/>
      <c r="AA2" s="1378"/>
      <c r="AB2" s="1378"/>
      <c r="AC2" s="1379"/>
      <c r="AD2" s="1380"/>
      <c r="AE2" s="1380"/>
      <c r="AF2" s="1380"/>
      <c r="AG2" s="1380"/>
      <c r="AH2" s="1380"/>
      <c r="AI2" s="1380"/>
      <c r="AJ2" s="1381"/>
    </row>
    <row r="3" spans="1:36" ht="26.4">
      <c r="A3" s="209" t="s">
        <v>2638</v>
      </c>
      <c r="B3" s="210">
        <f ca="1">ROUND(B2*10000/D1,0)</f>
        <v>47420</v>
      </c>
      <c r="C3" s="2183" t="s">
        <v>2639</v>
      </c>
      <c r="D3" s="2184" t="s">
        <v>2640</v>
      </c>
      <c r="E3" s="2189" t="s">
        <v>3067</v>
      </c>
      <c r="F3" s="2190" t="s">
        <v>3071</v>
      </c>
      <c r="G3" s="855">
        <f>IF(F3="宗地容积率",'数据-汇总表'!I4,IF(F3="估价对象容积率",'数据-汇总表'!I6,'数据-汇总表'!I7))</f>
        <v>1.2</v>
      </c>
      <c r="H3" s="175" t="s">
        <v>2641</v>
      </c>
      <c r="I3" s="881"/>
      <c r="J3" s="2187" t="s">
        <v>2642</v>
      </c>
      <c r="K3" s="1280"/>
      <c r="L3" s="2188"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92436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6">
      <c r="A4" s="3368"/>
      <c r="B4" s="3369"/>
      <c r="C4" s="3369"/>
      <c r="D4" s="3370"/>
      <c r="E4" s="3370"/>
      <c r="F4" s="3370"/>
      <c r="G4" s="3370"/>
      <c r="H4" s="3370"/>
      <c r="I4" s="3370"/>
      <c r="J4" s="3371"/>
      <c r="K4" s="1280"/>
      <c r="L4" s="2188"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75482</v>
      </c>
      <c r="U4" s="1375"/>
      <c r="V4" s="1374">
        <f t="shared" ca="1" si="1"/>
        <v>0</v>
      </c>
      <c r="W4" s="1378"/>
      <c r="X4" s="1378"/>
      <c r="Y4" s="1378"/>
      <c r="Z4" s="1378"/>
      <c r="AA4" s="1378"/>
      <c r="AB4" s="1378"/>
      <c r="AC4" s="1379"/>
      <c r="AD4" s="1380"/>
      <c r="AE4" s="1380"/>
      <c r="AF4" s="1380"/>
      <c r="AG4" s="1380"/>
      <c r="AH4" s="1380"/>
      <c r="AI4" s="1380"/>
      <c r="AJ4" s="1381"/>
    </row>
    <row r="5" spans="1:36" s="2200" customFormat="1" ht="15.6" thickBot="1">
      <c r="A5" s="2191" t="s">
        <v>807</v>
      </c>
      <c r="B5" s="2192" t="s">
        <v>2645</v>
      </c>
      <c r="C5" s="856">
        <f>ROUND(IF(E2="商业",C6*C7+C16,(IF(E2="住宅",C6*C12+C16,C6+C16))),0)</f>
        <v>36177</v>
      </c>
      <c r="D5" s="1524">
        <f>ROUND(C6+C16,0)</f>
        <v>22650</v>
      </c>
      <c r="E5" s="1524"/>
      <c r="F5" s="2193"/>
      <c r="G5" s="2194"/>
      <c r="H5" s="2194"/>
      <c r="I5" s="2194"/>
      <c r="J5" s="2195"/>
      <c r="K5" s="2196"/>
      <c r="L5" s="2188"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62644</v>
      </c>
      <c r="U5" s="1375"/>
      <c r="V5" s="1374">
        <f t="shared" ca="1" si="1"/>
        <v>0</v>
      </c>
      <c r="W5" s="1378"/>
      <c r="X5" s="1378"/>
      <c r="Y5" s="1378"/>
      <c r="Z5" s="1378"/>
      <c r="AA5" s="1378"/>
      <c r="AB5" s="1378"/>
      <c r="AC5" s="2197"/>
      <c r="AD5" s="2198"/>
      <c r="AE5" s="2198"/>
      <c r="AF5" s="2198"/>
      <c r="AG5" s="2198"/>
      <c r="AH5" s="2198"/>
      <c r="AI5" s="2198"/>
      <c r="AJ5" s="2199"/>
    </row>
    <row r="6" spans="1:36" ht="15.6" thickBot="1">
      <c r="A6" s="2201" t="s">
        <v>2647</v>
      </c>
      <c r="B6" s="2202" t="s">
        <v>2648</v>
      </c>
      <c r="C6" s="857">
        <f>SUMIF(L1:L12,G2,M1:M12)</f>
        <v>22650</v>
      </c>
      <c r="D6" s="2203" t="s">
        <v>2649</v>
      </c>
      <c r="E6" s="2204"/>
      <c r="F6" s="2204"/>
      <c r="G6" s="2205"/>
      <c r="H6" s="2205"/>
      <c r="I6" s="2205"/>
      <c r="J6" s="2206"/>
      <c r="K6" s="1569"/>
      <c r="L6" s="2188"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54799</v>
      </c>
      <c r="U6" s="1375"/>
      <c r="V6" s="1374">
        <f t="shared" ca="1" si="1"/>
        <v>0</v>
      </c>
      <c r="W6" s="1378"/>
      <c r="X6" s="1378"/>
      <c r="Y6" s="1378"/>
      <c r="Z6" s="1378"/>
      <c r="AA6" s="1378"/>
      <c r="AB6" s="1378"/>
      <c r="AC6" s="2197"/>
      <c r="AD6" s="2198"/>
      <c r="AE6" s="2198"/>
      <c r="AF6" s="2198"/>
      <c r="AG6" s="2198"/>
      <c r="AH6" s="2198"/>
      <c r="AI6" s="2198"/>
      <c r="AJ6" s="2199"/>
    </row>
    <row r="7" spans="1:36" ht="24">
      <c r="A7" s="3349" t="str">
        <f>IF(E2="商业",IF(C8="不临58条商业街","",2),"")</f>
        <v/>
      </c>
      <c r="B7" s="2207" t="s">
        <v>2651</v>
      </c>
      <c r="C7" s="858">
        <f>IF(C8="不临58条商业街",1,ROUND(1+(1.6*E8+1.2*E9+0.8*E10+0.4*E11)*C9,4))</f>
        <v>1</v>
      </c>
      <c r="D7" s="2208" t="s">
        <v>2652</v>
      </c>
      <c r="E7" s="882"/>
      <c r="F7" s="2209"/>
      <c r="G7" s="2210"/>
      <c r="H7" s="2210"/>
      <c r="I7" s="2210"/>
      <c r="J7" s="2211"/>
      <c r="K7" s="1569"/>
      <c r="L7" s="2188"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49532</v>
      </c>
      <c r="U7" s="1375"/>
      <c r="V7" s="1374">
        <f t="shared" ca="1" si="1"/>
        <v>0</v>
      </c>
      <c r="W7" s="1543" t="s">
        <v>2654</v>
      </c>
      <c r="X7" s="1376" t="str">
        <f>G2</f>
        <v>二级</v>
      </c>
      <c r="Y7" s="1376" t="s">
        <v>2655</v>
      </c>
      <c r="Z7" s="1377">
        <f>G3</f>
        <v>1.2</v>
      </c>
      <c r="AA7" s="1378"/>
      <c r="AB7" s="1378"/>
      <c r="AC7" s="1379"/>
      <c r="AD7" s="1380"/>
      <c r="AE7" s="1380"/>
      <c r="AF7" s="1380"/>
      <c r="AG7" s="1380"/>
      <c r="AH7" s="1380"/>
      <c r="AI7" s="1380"/>
      <c r="AJ7" s="1381"/>
    </row>
    <row r="8" spans="1:36" ht="26.4">
      <c r="A8" s="3372"/>
      <c r="B8" s="175" t="s">
        <v>2656</v>
      </c>
      <c r="C8" s="2212" t="s">
        <v>3073</v>
      </c>
      <c r="D8" s="859" t="s">
        <v>139</v>
      </c>
      <c r="E8" s="860" t="e">
        <f>ROUND(C11/E7,4)</f>
        <v>#DIV/0!</v>
      </c>
      <c r="F8" s="2213" t="s">
        <v>2657</v>
      </c>
      <c r="G8" s="2214"/>
      <c r="H8" s="2214"/>
      <c r="I8" s="2214"/>
      <c r="J8" s="2215"/>
      <c r="K8" s="1280"/>
      <c r="L8" s="2188"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5" t="s">
        <v>2659</v>
      </c>
      <c r="X8" s="336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2"/>
      <c r="B9" s="175" t="s">
        <v>2672</v>
      </c>
      <c r="C9" s="861">
        <f>SUMIF(修正!C59:C119,C8,修正!E59:E119)</f>
        <v>0</v>
      </c>
      <c r="D9" s="176" t="s">
        <v>140</v>
      </c>
      <c r="E9" s="176" t="e">
        <f>ROUND(C11/E7,4)</f>
        <v>#DIV/0!</v>
      </c>
      <c r="F9" s="2213" t="s">
        <v>2673</v>
      </c>
      <c r="G9" s="2214"/>
      <c r="H9" s="2214"/>
      <c r="I9" s="2214"/>
      <c r="J9" s="2215"/>
      <c r="K9" s="1280"/>
      <c r="L9" s="2188"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7"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2677</v>
      </c>
      <c r="C10" s="176">
        <f>SUMIF(修正!C59:C119,C8,修正!F59:F119)</f>
        <v>0</v>
      </c>
      <c r="D10" s="176" t="s">
        <v>141</v>
      </c>
      <c r="E10" s="176" t="e">
        <f>ROUND(C11/E7,4)</f>
        <v>#DIV/0!</v>
      </c>
      <c r="F10" s="2213" t="s">
        <v>2678</v>
      </c>
      <c r="G10" s="2214"/>
      <c r="H10" s="2214"/>
      <c r="I10" s="2214"/>
      <c r="J10" s="2215"/>
      <c r="K10" s="1280"/>
      <c r="L10" s="2188"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72"/>
      <c r="B11" s="2216" t="s">
        <v>2680</v>
      </c>
      <c r="C11" s="862">
        <f>C10/4</f>
        <v>0</v>
      </c>
      <c r="D11" s="862" t="s">
        <v>142</v>
      </c>
      <c r="E11" s="862" t="e">
        <f>ROUND(C11/E7,4)</f>
        <v>#DIV/0!</v>
      </c>
      <c r="F11" s="2217" t="s">
        <v>2681</v>
      </c>
      <c r="G11" s="2218"/>
      <c r="H11" s="2218"/>
      <c r="I11" s="2218"/>
      <c r="J11" s="2219"/>
      <c r="K11" s="1280"/>
      <c r="L11" s="2188"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7" t="s">
        <v>2683</v>
      </c>
      <c r="X11" s="1386" t="s">
        <v>2684</v>
      </c>
      <c r="Y11" s="1387">
        <f>$G$3</f>
        <v>1.2</v>
      </c>
      <c r="Z11" s="1387">
        <f t="shared" ref="Z11:AJ11" si="3">$G$3</f>
        <v>1.2</v>
      </c>
      <c r="AA11" s="1387">
        <f t="shared" si="3"/>
        <v>1.2</v>
      </c>
      <c r="AB11" s="1387">
        <f t="shared" si="3"/>
        <v>1.2</v>
      </c>
      <c r="AC11" s="1387">
        <f t="shared" si="3"/>
        <v>1.2</v>
      </c>
      <c r="AD11" s="1387">
        <f t="shared" si="3"/>
        <v>1.2</v>
      </c>
      <c r="AE11" s="1387">
        <f t="shared" si="3"/>
        <v>1.2</v>
      </c>
      <c r="AF11" s="1387">
        <f t="shared" si="3"/>
        <v>1.2</v>
      </c>
      <c r="AG11" s="1387">
        <f t="shared" si="3"/>
        <v>1.2</v>
      </c>
      <c r="AH11" s="1387">
        <f t="shared" si="3"/>
        <v>1.2</v>
      </c>
      <c r="AI11" s="1387">
        <f t="shared" si="3"/>
        <v>1.2</v>
      </c>
      <c r="AJ11" s="1387">
        <f t="shared" si="3"/>
        <v>1.2</v>
      </c>
    </row>
    <row r="12" spans="1:36" ht="25.8" thickBot="1">
      <c r="A12" s="3349" t="s">
        <v>2685</v>
      </c>
      <c r="B12" s="2220" t="s">
        <v>2686</v>
      </c>
      <c r="C12" s="858">
        <f>ROUND(C15*D15*E15*F15*G15*H15*I15*J15,4)</f>
        <v>1.5972</v>
      </c>
      <c r="D12" s="2221" t="s">
        <v>2687</v>
      </c>
      <c r="E12" s="2222"/>
      <c r="F12" s="2222"/>
      <c r="G12" s="2223"/>
      <c r="H12" s="2223"/>
      <c r="I12" s="2223"/>
      <c r="J12" s="2224"/>
      <c r="K12" s="1280"/>
      <c r="L12" s="2225"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26" t="s">
        <v>2690</v>
      </c>
      <c r="C13" s="2227" t="s">
        <v>2691</v>
      </c>
      <c r="D13" s="1535" t="s">
        <v>2692</v>
      </c>
      <c r="E13" s="1535" t="s">
        <v>2693</v>
      </c>
      <c r="F13" s="30" t="s">
        <v>2694</v>
      </c>
      <c r="G13" s="2228" t="s">
        <v>2695</v>
      </c>
      <c r="H13" s="2228" t="s">
        <v>2695</v>
      </c>
      <c r="I13" s="2228" t="s">
        <v>2695</v>
      </c>
      <c r="J13" s="2229" t="s">
        <v>2695</v>
      </c>
      <c r="K13" s="1280"/>
      <c r="L13" s="1280"/>
      <c r="M13" s="1280"/>
      <c r="N13" s="1280"/>
      <c r="O13" s="1280"/>
      <c r="P13" s="1280"/>
      <c r="Q13" s="1280"/>
      <c r="R13" s="1374">
        <v>12</v>
      </c>
      <c r="S13" s="1375"/>
      <c r="T13" s="1374">
        <f t="shared" ca="1" si="0"/>
        <v>0</v>
      </c>
      <c r="U13" s="1375"/>
      <c r="V13" s="1374">
        <f t="shared" ca="1" si="1"/>
        <v>0</v>
      </c>
      <c r="W13" s="3367"/>
      <c r="X13" s="1388"/>
      <c r="Y13" s="1385">
        <f>(-0.163*(Y12^2)-0.59*Y12+7617)*(10^(-4))/Y11</f>
        <v>0.63475000000000004</v>
      </c>
      <c r="Z13" s="1385">
        <f t="shared" ref="Z13:AJ13" si="5">(-0.163*(Z12^2)-0.59*Z12+7617)*(10^(-4))/Z11</f>
        <v>0.63475000000000004</v>
      </c>
      <c r="AA13" s="1385">
        <f t="shared" si="5"/>
        <v>0.63475000000000004</v>
      </c>
      <c r="AB13" s="1385">
        <f t="shared" si="5"/>
        <v>0.63475000000000004</v>
      </c>
      <c r="AC13" s="1385">
        <f t="shared" si="5"/>
        <v>0.63475000000000004</v>
      </c>
      <c r="AD13" s="1385">
        <f t="shared" si="5"/>
        <v>0.63475000000000004</v>
      </c>
      <c r="AE13" s="1385">
        <f t="shared" si="5"/>
        <v>0.63475000000000004</v>
      </c>
      <c r="AF13" s="1385">
        <f t="shared" si="5"/>
        <v>0.63475000000000004</v>
      </c>
      <c r="AG13" s="1385">
        <f t="shared" si="5"/>
        <v>0.63475000000000004</v>
      </c>
      <c r="AH13" s="1385">
        <f t="shared" si="5"/>
        <v>0.63475000000000004</v>
      </c>
      <c r="AI13" s="1385">
        <f t="shared" si="5"/>
        <v>0.63475000000000004</v>
      </c>
      <c r="AJ13" s="1385">
        <f t="shared" si="5"/>
        <v>0.63475000000000004</v>
      </c>
    </row>
    <row r="14" spans="1:36" ht="15">
      <c r="A14" s="3373"/>
      <c r="B14" s="2230"/>
      <c r="C14" s="2231" t="s">
        <v>3116</v>
      </c>
      <c r="D14" s="2232" t="s">
        <v>3116</v>
      </c>
      <c r="E14" s="2232" t="s">
        <v>3116</v>
      </c>
      <c r="F14" s="2233" t="s">
        <v>3068</v>
      </c>
      <c r="G14" s="2234" t="s">
        <v>2696</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6" thickBot="1">
      <c r="A15" s="3374"/>
      <c r="B15" s="2238" t="s">
        <v>2697</v>
      </c>
      <c r="C15" s="193">
        <f>IF(C14="有",1.1,1)</f>
        <v>1.1000000000000001</v>
      </c>
      <c r="D15" s="193">
        <f>IF(D14="有",1.1,1)</f>
        <v>1.1000000000000001</v>
      </c>
      <c r="E15" s="193">
        <f>IF(E14="有",1.1,1)</f>
        <v>1.1000000000000001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49" t="s">
        <v>2702</v>
      </c>
      <c r="B16" s="2207" t="s">
        <v>2703</v>
      </c>
      <c r="C16" s="2369">
        <f>ROUND(IF(F17="与级别开发程度一致",0,(G17-E17)/C17),0)</f>
        <v>0</v>
      </c>
      <c r="D16" s="3362" t="s">
        <v>2707</v>
      </c>
      <c r="E16" s="3363"/>
      <c r="F16" s="3362" t="s">
        <v>2704</v>
      </c>
      <c r="G16" s="3363"/>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7" thickBot="1">
      <c r="A17" s="3350"/>
      <c r="B17" s="2380" t="s">
        <v>2706</v>
      </c>
      <c r="C17" s="2381">
        <f>SUMPRODUCT((修正!A2:A5=E2)*(修正!B1:M1=G2)*(修正!B2:M5))</f>
        <v>2.5</v>
      </c>
      <c r="D17" s="193" t="str">
        <f>IF(OR(G2="八级",G2="九级",G2="十级",G2="十一级",G2="十二级"),"五通一平","七通一平")</f>
        <v>七通一平</v>
      </c>
      <c r="E17" s="2370">
        <f>SUMPRODUCT((修正!B1:M1=G2)*(修正!B15:M15))</f>
        <v>375</v>
      </c>
      <c r="F17" s="2371" t="s">
        <v>3069</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 thickBot="1">
      <c r="A18" s="2374" t="s">
        <v>808</v>
      </c>
      <c r="B18" s="2375" t="s">
        <v>2709</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4" thickBot="1">
      <c r="A19" s="2244" t="s">
        <v>809</v>
      </c>
      <c r="B19" s="2245" t="s">
        <v>2710</v>
      </c>
      <c r="C19" s="863">
        <f>ROUND(IF(H19="按公示增长率计算",SUMPRODUCT((地价!A3:A34=YEAR(G19)&amp;"-"&amp;ROUNDUP(MONTH(G19)/3,0))*(地价!X2:AB2=E2)*(地价!X3:AB34)),IF(H19="地价指数",M20/M19,(1+I19)^O19)),4)</f>
        <v>1.6988000000000001</v>
      </c>
      <c r="D19" s="2249" t="s">
        <v>2711</v>
      </c>
      <c r="E19" s="864">
        <v>41640</v>
      </c>
      <c r="F19" s="2249" t="s">
        <v>2712</v>
      </c>
      <c r="G19" s="865">
        <f>'数据-取费表'!B2</f>
        <v>44307</v>
      </c>
      <c r="H19" s="2250" t="s">
        <v>3077</v>
      </c>
      <c r="I19" s="866" t="str">
        <f>IF(H19="季度增幅（自定义）",SUMIF(N21:N24,E2,O21:O24),"")</f>
        <v/>
      </c>
      <c r="J19" s="2247"/>
      <c r="K19" s="1287"/>
      <c r="L19" s="2251" t="s">
        <v>2713</v>
      </c>
      <c r="M19" s="1497">
        <f>ROUND(SUMIF(地价!B2:F2,E2,地价!B34:F34),0)</f>
        <v>423</v>
      </c>
      <c r="N19" s="2252"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9.4" thickBot="1">
      <c r="A20" s="2254" t="s">
        <v>810</v>
      </c>
      <c r="B20" s="2255" t="s">
        <v>2715</v>
      </c>
      <c r="C20" s="868">
        <f ca="1">ROUND(POWER(1+G20,J20-I20)*(POWER(1+G20,I20)-1)/(POWER(1+G20,J20)-1),4)</f>
        <v>0.96550000000000002</v>
      </c>
      <c r="D20" s="2256" t="s">
        <v>2716</v>
      </c>
      <c r="E20" s="1506">
        <f ca="1">存贷款利率!D4/100</f>
        <v>3.85E-2</v>
      </c>
      <c r="F20" s="2256" t="s">
        <v>2708</v>
      </c>
      <c r="G20" s="873">
        <f ca="1">SUMIF(M26:P26,E2,M28:P28)</f>
        <v>4.3999999999999997E-2</v>
      </c>
      <c r="H20" s="2256" t="s">
        <v>2717</v>
      </c>
      <c r="I20" s="874">
        <f>SUMIF('数据-取费表'!C6:C15,E2,'数据-取费表'!F6:F15)/COUNTIF('数据-取费表'!C6:C15,E2)</f>
        <v>58.11</v>
      </c>
      <c r="J20" s="875">
        <f>IF(E2="住宅",70,IF(E2="商业",40,50))</f>
        <v>70</v>
      </c>
      <c r="K20" s="1287"/>
      <c r="L20" s="2257" t="s">
        <v>2718</v>
      </c>
      <c r="M20" s="1498">
        <f>ROUND(SUMPRODUCT((地价!A4:A34=YEAR(G19)&amp;"-"&amp;ROUNDUP(MONTH(G19)/3,0))*(地价!B2:F2=E2)*(地价!B4:F34)),0)</f>
        <v>718</v>
      </c>
      <c r="N20" s="2258" t="s">
        <v>2719</v>
      </c>
      <c r="O20" s="2259" t="s">
        <v>2720</v>
      </c>
      <c r="P20" s="2260"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4.4">
      <c r="A21" s="2261" t="s">
        <v>811</v>
      </c>
      <c r="B21" s="2262" t="s">
        <v>3070</v>
      </c>
      <c r="C21" s="876">
        <f>IF(B21="容积率修正",IF(G3&lt;=10,D22,J22),C23)</f>
        <v>1.1795</v>
      </c>
      <c r="D21" s="2263"/>
      <c r="E21" s="2263"/>
      <c r="F21" s="2263"/>
      <c r="G21" s="2263"/>
      <c r="H21" s="2263"/>
      <c r="I21" s="2263"/>
      <c r="J21" s="2264"/>
      <c r="K21" s="1287"/>
      <c r="L21" s="3017"/>
      <c r="M21" s="3017"/>
      <c r="N21" s="2265" t="s">
        <v>2722</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4">
      <c r="A22" s="2139" t="s">
        <v>2723</v>
      </c>
      <c r="B22" s="2266" t="s">
        <v>2724</v>
      </c>
      <c r="C22" s="1537" t="s">
        <v>2725</v>
      </c>
      <c r="D22" s="1537">
        <f>IF(E22=G22,F22,IF(G3&lt;=10,ROUND(F22+(H22-F22)*(G3-E22)/(G22-E22),4),"——"))</f>
        <v>1.1795</v>
      </c>
      <c r="E22" s="855">
        <f>ROUNDDOWN(G3,1)</f>
        <v>1.2</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1.1795</v>
      </c>
      <c r="G22" s="855">
        <f>ROUNDUP(G3,1)</f>
        <v>1.2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1.1795</v>
      </c>
      <c r="I22" s="1537" t="s">
        <v>155</v>
      </c>
      <c r="J22" s="877" t="str">
        <f>IF(G3&gt;10,D113,"——")</f>
        <v>——</v>
      </c>
      <c r="K22" s="1287"/>
      <c r="L22" s="3017"/>
      <c r="M22" s="3017"/>
      <c r="N22" s="2265" t="s">
        <v>2726</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9.4"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 thickBot="1">
      <c r="A24" s="2254" t="s">
        <v>812</v>
      </c>
      <c r="B24" s="2245" t="s">
        <v>2730</v>
      </c>
      <c r="C24" s="863">
        <f>SUMIF(A45:A88,E2,B45:B88)</f>
        <v>1.0972</v>
      </c>
      <c r="D24" s="2246"/>
      <c r="E24" s="2273"/>
      <c r="F24" s="2273"/>
      <c r="G24" s="2273"/>
      <c r="H24" s="2273"/>
      <c r="I24" s="2273"/>
      <c r="J24" s="2274"/>
      <c r="K24" s="1287"/>
      <c r="L24" s="3017"/>
      <c r="M24" s="3017"/>
      <c r="N24" s="2275" t="s">
        <v>2731</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4.4">
      <c r="A26" s="2278"/>
      <c r="B26" s="2266" t="s">
        <v>2734</v>
      </c>
      <c r="C26" s="2540">
        <f ca="1">IF(B21="容积率修正",E29+SUM(E33:E39),SUM(V2:V16)+SUM(E33:E39))</f>
        <v>2478</v>
      </c>
      <c r="D26" s="2279"/>
      <c r="E26" s="2235"/>
      <c r="F26" s="2280"/>
      <c r="G26" s="2235"/>
      <c r="H26" s="2235"/>
      <c r="I26" s="2235"/>
      <c r="J26" s="2281"/>
      <c r="K26" s="1280"/>
      <c r="L26" s="3015" t="s">
        <v>2634</v>
      </c>
      <c r="M26" s="2208" t="s">
        <v>2698</v>
      </c>
      <c r="N26" s="2208" t="s">
        <v>2699</v>
      </c>
      <c r="O26" s="2208" t="s">
        <v>2700</v>
      </c>
      <c r="P26" s="3016" t="s">
        <v>2701</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 thickBot="1">
      <c r="A27" s="2278"/>
      <c r="B27" s="2282" t="s">
        <v>2735</v>
      </c>
      <c r="C27" s="870">
        <f ca="1">E30+SUM(I33:I39)</f>
        <v>68</v>
      </c>
      <c r="D27" s="2283"/>
      <c r="E27" s="2284"/>
      <c r="F27" s="2285"/>
      <c r="G27" s="2284"/>
      <c r="H27" s="2284"/>
      <c r="I27" s="2284"/>
      <c r="J27" s="2286"/>
      <c r="K27" s="1280"/>
      <c r="L27" s="2241"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 thickBot="1">
      <c r="A28" s="2287"/>
      <c r="B28" s="2288" t="s">
        <v>2736</v>
      </c>
      <c r="C28" s="2289" t="s">
        <v>2737</v>
      </c>
      <c r="D28" s="2289" t="s">
        <v>2738</v>
      </c>
      <c r="E28" s="2290" t="s">
        <v>2739</v>
      </c>
      <c r="F28" s="2291"/>
      <c r="G28" s="2223"/>
      <c r="H28" s="2223"/>
      <c r="I28" s="2223"/>
      <c r="J28" s="2224"/>
      <c r="K28" s="1280"/>
      <c r="L28" s="2242"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f ca="1">ROUND(C5*C18*C19*C20*C21*C24,0)</f>
        <v>76791</v>
      </c>
      <c r="D29" s="2294">
        <f>270/0.94</f>
        <v>287.2340425531915</v>
      </c>
      <c r="E29" s="879">
        <f ca="1">ROUND(C29*D29/10000,0)</f>
        <v>2206</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8" thickBot="1">
      <c r="A30" s="2298"/>
      <c r="B30" s="2299" t="s">
        <v>2742</v>
      </c>
      <c r="C30" s="193">
        <f ca="1">ROUND(IF(E2="工业",C29*M39,C29*M38),0)</f>
        <v>19198</v>
      </c>
      <c r="D30" s="2300"/>
      <c r="E30" s="879">
        <f ca="1">ROUND(C30*D30/10000,0)</f>
        <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3.8">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36">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59"/>
      <c r="B33" s="2310" t="s">
        <v>2748</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64"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3.8">
      <c r="A34" s="3360"/>
      <c r="B34" s="2227" t="s">
        <v>2749</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60"/>
      <c r="B35" s="2227" t="s">
        <v>2750</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60"/>
      <c r="K35" s="1280"/>
      <c r="L35" s="1280"/>
      <c r="M35" s="1280"/>
      <c r="N35" s="1280"/>
      <c r="O35" s="1280">
        <v>200000</v>
      </c>
      <c r="P35" s="1280">
        <f>D29</f>
        <v>287.2340425531915</v>
      </c>
      <c r="Q35" s="1280">
        <f>O35/'比较法-住宅'!I47</f>
        <v>1.4271646519858996</v>
      </c>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8" thickBot="1">
      <c r="A36" s="3361"/>
      <c r="B36" s="2227" t="s">
        <v>2751</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61"/>
      <c r="K36" s="1280"/>
      <c r="L36" s="2181"/>
      <c r="M36" s="2181"/>
      <c r="N36" s="1280">
        <v>0.5</v>
      </c>
      <c r="O36" s="1280">
        <f>O35*N36</f>
        <v>100000</v>
      </c>
      <c r="P36" s="1280">
        <f>D38</f>
        <v>235.32595744680845</v>
      </c>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2753</v>
      </c>
      <c r="M37" s="2314"/>
      <c r="N37" s="1280"/>
      <c r="O37" s="1280">
        <f>(O35*P35+O36*P36)/'数据-汇总表'!E3</f>
        <v>154966.7105314589</v>
      </c>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f ca="1">ROUND(D5*C19*C41*C24*F38,0)</f>
        <v>11552</v>
      </c>
      <c r="D38" s="2294">
        <f>'数据-汇总表'!E3-基准地价修正!D29</f>
        <v>235.32595744680845</v>
      </c>
      <c r="E38" s="176">
        <f t="shared" ca="1" si="7"/>
        <v>272</v>
      </c>
      <c r="F38" s="180">
        <f>SUMIF(修正!A45:A56,G2,修正!G45:G56)</f>
        <v>0.3</v>
      </c>
      <c r="G38" s="176">
        <f ca="1">ROUND(IF(E2="工业",C38*$M$39,C38*$M$38),0)</f>
        <v>2888</v>
      </c>
      <c r="H38" s="176">
        <f t="shared" si="8"/>
        <v>235.32595744680845</v>
      </c>
      <c r="I38" s="176">
        <f t="shared" ca="1" si="9"/>
        <v>68</v>
      </c>
      <c r="J38" s="2311"/>
      <c r="K38" s="1280"/>
      <c r="L38" s="1606"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8"/>
      <c r="B39" s="2316" t="s">
        <v>2756</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2701</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8" t="s">
        <v>2861</v>
      </c>
      <c r="C41" s="348">
        <f ca="1">ROUND(POWER(1+E41,H41-G41)*(POWER(1+E41,G41)-1)/(POWER(1+E41,H41)-1),4)</f>
        <v>0.91210000000000002</v>
      </c>
      <c r="D41" s="176" t="s">
        <v>2708</v>
      </c>
      <c r="E41" s="2367">
        <f ca="1">G20</f>
        <v>4.3999999999999997E-2</v>
      </c>
      <c r="F41" s="176" t="s">
        <v>2717</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 thickBot="1">
      <c r="A45" s="2321" t="s">
        <v>2757</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hidden="1">
      <c r="A46" s="2323" t="s">
        <v>2758</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hidden="1">
      <c r="A47" s="2327" t="s">
        <v>2759</v>
      </c>
      <c r="B47" s="1536" t="s">
        <v>2760</v>
      </c>
      <c r="C47" s="1536" t="s">
        <v>2761</v>
      </c>
      <c r="D47" s="1536" t="s">
        <v>2762</v>
      </c>
      <c r="E47" s="758" t="s">
        <v>2763</v>
      </c>
      <c r="F47" s="2328" t="s">
        <v>2764</v>
      </c>
      <c r="G47" s="1536" t="s">
        <v>754</v>
      </c>
      <c r="H47" s="2329"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hidden="1">
      <c r="A48" s="2327" t="s">
        <v>2767</v>
      </c>
      <c r="B48" s="2330" t="str">
        <f>估价对象房地状况!C4</f>
        <v>估价对象位于XX商圈，周边商业氛围成熟，人流量大，商业繁华度好</v>
      </c>
      <c r="C48" s="2232" t="s">
        <v>3072</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hidden="1">
      <c r="A49" s="2327" t="s">
        <v>2768</v>
      </c>
      <c r="B49" s="2331" t="str">
        <f>估价对象房地状况!C18</f>
        <v>估价对象周边道路状况、公共交通通达情况、停车便捷程度，综合评价交通便捷度较好</v>
      </c>
      <c r="C49" s="2232" t="s">
        <v>3072</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2769</v>
      </c>
      <c r="B50" s="2331">
        <f>估价对象房地状况!C19</f>
        <v>0</v>
      </c>
      <c r="C50" s="2232" t="s">
        <v>3072</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hidden="1">
      <c r="A51" s="2327" t="s">
        <v>2770</v>
      </c>
      <c r="B51" s="2332" t="s">
        <v>2771</v>
      </c>
      <c r="C51" s="2232" t="s">
        <v>3072</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2772</v>
      </c>
      <c r="B52" s="2331">
        <f>估价对象房地状况!C24</f>
        <v>0</v>
      </c>
      <c r="C52" s="2232" t="s">
        <v>3072</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hidden="1">
      <c r="A53" s="2327" t="s">
        <v>2773</v>
      </c>
      <c r="B53" s="2333" t="s">
        <v>2774</v>
      </c>
      <c r="C53" s="2232" t="s">
        <v>3072</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hidden="1">
      <c r="A54" s="2334" t="s">
        <v>2775</v>
      </c>
      <c r="B54" s="1495" t="str">
        <f>估价对象房地状况!C21</f>
        <v>估价对象所在区域公共配套设施齐备情况</v>
      </c>
      <c r="C54" s="2232" t="s">
        <v>3072</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hidden="1">
      <c r="A55" s="2334" t="s">
        <v>2776</v>
      </c>
      <c r="B55" s="2331" t="str">
        <f>估价对象房地状况!C22</f>
        <v>估价对象所在区域基础设施水平</v>
      </c>
      <c r="C55" s="2232" t="s">
        <v>3072</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hidden="1" thickBot="1">
      <c r="A56" s="2335" t="s">
        <v>2777</v>
      </c>
      <c r="B56" s="2336" t="str">
        <f>估价对象房地状况!C20</f>
        <v>区域自然环境：；人文环境；综合评价环境状况一般</v>
      </c>
      <c r="C56" s="2232" t="s">
        <v>3072</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hidden="1">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hidden="1">
      <c r="A58" s="2327" t="s">
        <v>2759</v>
      </c>
      <c r="B58" s="1536"/>
      <c r="C58" s="1536" t="s">
        <v>2761</v>
      </c>
      <c r="D58" s="1536" t="s">
        <v>2762</v>
      </c>
      <c r="E58" s="758" t="s">
        <v>2763</v>
      </c>
      <c r="F58" s="2328" t="s">
        <v>2779</v>
      </c>
      <c r="G58" s="1536" t="s">
        <v>754</v>
      </c>
      <c r="H58" s="2329"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hidden="1">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hidden="1">
      <c r="A60" s="2327" t="s">
        <v>2768</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2769</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hidden="1">
      <c r="A62" s="2327" t="s">
        <v>2770</v>
      </c>
      <c r="B62" s="2332" t="s">
        <v>2771</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2772</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hidden="1">
      <c r="A64" s="2327" t="s">
        <v>2773</v>
      </c>
      <c r="B64" s="2333" t="s">
        <v>2774</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hidden="1">
      <c r="A65" s="2327" t="s">
        <v>2775</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hidden="1">
      <c r="A66" s="2327" t="s">
        <v>2776</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hidden="1" thickBot="1">
      <c r="A67" s="2335" t="s">
        <v>2777</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3" t="s">
        <v>2781</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7" t="s">
        <v>2759</v>
      </c>
      <c r="B69" s="1536"/>
      <c r="C69" s="1536" t="s">
        <v>2761</v>
      </c>
      <c r="D69" s="1536" t="s">
        <v>2762</v>
      </c>
      <c r="E69" s="758" t="s">
        <v>2763</v>
      </c>
      <c r="F69" s="2328" t="s">
        <v>2779</v>
      </c>
      <c r="G69" s="1536" t="s">
        <v>754</v>
      </c>
      <c r="H69" s="2329"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27" t="s">
        <v>2782</v>
      </c>
      <c r="B70" s="2330" t="str">
        <f>估价对象房地状况!C15</f>
        <v>估价对象周边居住用地比例、居住小区规模和社区发展完善程度，综合评价居住社区成熟度一般</v>
      </c>
      <c r="C70" s="2232" t="s">
        <v>3072</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66">
      <c r="A71" s="2327" t="s">
        <v>2768</v>
      </c>
      <c r="B71" s="2331" t="str">
        <f>估价对象房地状况!C18</f>
        <v>估价对象周边道路状况、公共交通通达情况、停车便捷程度，综合评价交通便捷度较好</v>
      </c>
      <c r="C71" s="2232" t="s">
        <v>3072</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t="s">
        <v>3072</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3.8">
      <c r="A73" s="2327" t="s">
        <v>2783</v>
      </c>
      <c r="B73" s="2331">
        <f>估价对象房地状况!C24</f>
        <v>0</v>
      </c>
      <c r="C73" s="2232" t="s">
        <v>3072</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6.4">
      <c r="A74" s="2327" t="s">
        <v>2775</v>
      </c>
      <c r="B74" s="1495" t="str">
        <f>估价对象房地状况!C21</f>
        <v>估价对象所在区域公共配套设施齐备情况</v>
      </c>
      <c r="C74" s="2232" t="s">
        <v>3072</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6.4">
      <c r="A75" s="2327" t="s">
        <v>2776</v>
      </c>
      <c r="B75" s="1495" t="str">
        <f>估价对象房地状况!C22</f>
        <v>估价对象所在区域基础设施水平</v>
      </c>
      <c r="C75" s="2232" t="s">
        <v>3072</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36">
      <c r="A76" s="2327" t="s">
        <v>2773</v>
      </c>
      <c r="B76" s="2333" t="s">
        <v>2774</v>
      </c>
      <c r="C76" s="2232" t="s">
        <v>3072</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9.6">
      <c r="A77" s="2327" t="s">
        <v>2777</v>
      </c>
      <c r="B77" s="2330" t="str">
        <f>估价对象房地状况!C20</f>
        <v>区域自然环境：；人文环境；综合评价环境状况一般</v>
      </c>
      <c r="C77" s="2232" t="s">
        <v>3072</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36.6" thickBot="1">
      <c r="A78" s="2335" t="s">
        <v>2784</v>
      </c>
      <c r="B78" s="2339"/>
      <c r="C78" s="2232" t="s">
        <v>3072</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4.4">
      <c r="A79" s="2323" t="s">
        <v>2785</v>
      </c>
      <c r="B79" s="2324">
        <f>1+E81</f>
        <v>1</v>
      </c>
      <c r="C79" s="753"/>
      <c r="D79" s="753"/>
      <c r="E79" s="754"/>
      <c r="F79" s="2326"/>
      <c r="G79" s="6"/>
      <c r="H79" s="6"/>
      <c r="I79" s="6"/>
      <c r="J79" s="7"/>
      <c r="K79" s="7"/>
      <c r="L79" s="7"/>
      <c r="M79" s="7"/>
      <c r="N79" s="7"/>
      <c r="Z79" s="2182"/>
      <c r="AA79" s="2248"/>
      <c r="AG79" s="1282"/>
      <c r="AK79" s="2248"/>
    </row>
    <row r="80" spans="1:37" ht="25.2">
      <c r="A80" s="2327" t="s">
        <v>2759</v>
      </c>
      <c r="B80" s="1536"/>
      <c r="C80" s="1536" t="s">
        <v>2761</v>
      </c>
      <c r="D80" s="1536" t="s">
        <v>2762</v>
      </c>
      <c r="E80" s="758" t="s">
        <v>2763</v>
      </c>
      <c r="F80" s="2328" t="s">
        <v>2779</v>
      </c>
      <c r="G80" s="1536" t="s">
        <v>754</v>
      </c>
      <c r="H80" s="2329" t="s">
        <v>2765</v>
      </c>
      <c r="I80" s="1536" t="s">
        <v>2766</v>
      </c>
      <c r="J80" s="560" t="s">
        <v>2417</v>
      </c>
      <c r="K80" s="560" t="s">
        <v>2418</v>
      </c>
      <c r="L80" s="560" t="s">
        <v>2419</v>
      </c>
      <c r="M80" s="560" t="s">
        <v>2420</v>
      </c>
      <c r="N80" s="560" t="s">
        <v>2421</v>
      </c>
      <c r="Z80" s="2182"/>
      <c r="AA80" s="2248"/>
      <c r="AG80" s="1282"/>
      <c r="AK80" s="2248"/>
    </row>
    <row r="81" spans="1:37" ht="39.6">
      <c r="A81" s="2327" t="s">
        <v>2786</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66">
      <c r="A82" s="2327" t="s">
        <v>2768</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3.8">
      <c r="A84" s="2327" t="s">
        <v>2783</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6.4">
      <c r="A85" s="2327" t="s">
        <v>2775</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6.4">
      <c r="A86" s="2327" t="s">
        <v>2776</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36">
      <c r="A87" s="2327" t="s">
        <v>2773</v>
      </c>
      <c r="B87" s="2333" t="s">
        <v>2787</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53.4" thickBot="1">
      <c r="A88" s="2335" t="s">
        <v>2788</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51" t="s">
        <v>2789</v>
      </c>
      <c r="B90" s="3351"/>
      <c r="C90" s="3351"/>
      <c r="D90" s="3351"/>
      <c r="E90" s="3351"/>
      <c r="F90" s="3351"/>
      <c r="G90" s="3351"/>
      <c r="H90" s="3351"/>
      <c r="I90" s="3351"/>
      <c r="J90" s="3351"/>
      <c r="K90" s="2341"/>
      <c r="L90" s="2341"/>
      <c r="M90" s="2341"/>
      <c r="N90" s="2341"/>
    </row>
    <row r="91" spans="1:37">
      <c r="A91" s="3353" t="s">
        <v>2790</v>
      </c>
      <c r="B91" s="3353" t="s">
        <v>2791</v>
      </c>
      <c r="C91" s="2295" t="s">
        <v>2792</v>
      </c>
      <c r="D91" s="2296"/>
      <c r="E91" s="2296"/>
      <c r="F91" s="2296"/>
      <c r="G91" s="2296"/>
      <c r="H91" s="2296"/>
      <c r="I91" s="2296"/>
      <c r="J91" s="2342"/>
      <c r="K91" s="2343"/>
      <c r="L91" s="2343"/>
      <c r="M91" s="2343"/>
      <c r="N91" s="2343"/>
    </row>
    <row r="92" spans="1:37">
      <c r="A92" s="3353"/>
      <c r="B92" s="335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4"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5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5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5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5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5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55"/>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5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54" t="s">
        <v>2794</v>
      </c>
      <c r="B101" s="2348" t="s">
        <v>2795</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55"/>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55"/>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55"/>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55"/>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55"/>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55"/>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55"/>
      <c r="B108" s="3357"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56"/>
      <c r="B109" s="3358"/>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52" t="s">
        <v>2797</v>
      </c>
      <c r="B110" s="3352"/>
      <c r="C110" s="3352"/>
      <c r="D110" s="3352"/>
      <c r="E110" s="3352"/>
      <c r="F110" s="3352"/>
      <c r="G110" s="3352"/>
      <c r="H110" s="3352"/>
      <c r="I110" s="3352"/>
      <c r="J110" s="3352"/>
      <c r="K110" s="2350"/>
      <c r="L110" s="2350"/>
      <c r="M110" s="2350"/>
      <c r="N110" s="2350"/>
    </row>
    <row r="112" spans="1:14" ht="13.8" thickBot="1"/>
    <row r="113" spans="1:13" ht="25.8" thickBot="1">
      <c r="A113" s="842" t="s">
        <v>2798</v>
      </c>
      <c r="B113" s="1197">
        <f>G3</f>
        <v>1.2</v>
      </c>
      <c r="C113" s="843" t="s">
        <v>2799</v>
      </c>
      <c r="D113" s="844">
        <f>SUMPRODUCT((A115:A118=F113)*(B114:M114=H113)*B115:M118)</f>
        <v>0.87360000000000004</v>
      </c>
      <c r="E113" s="2186" t="s">
        <v>2634</v>
      </c>
      <c r="F113" s="2352" t="str">
        <f>E2</f>
        <v>住宅</v>
      </c>
      <c r="G113" s="2186" t="s">
        <v>2635</v>
      </c>
      <c r="H113" s="2352" t="str">
        <f>G2</f>
        <v>二级</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2699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2700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8" thickBot="1">
      <c r="A118" s="670" t="s">
        <v>2701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75" t="s">
        <v>614</v>
      </c>
      <c r="C61" s="757" t="s">
        <v>615</v>
      </c>
      <c r="D61" s="757" t="s">
        <v>616</v>
      </c>
      <c r="E61" s="834">
        <v>0.5</v>
      </c>
      <c r="F61" s="821">
        <v>80</v>
      </c>
    </row>
    <row r="62" spans="1:8" s="817" customFormat="1" ht="36">
      <c r="A62" s="821">
        <v>2</v>
      </c>
      <c r="B62" s="3375"/>
      <c r="C62" s="757" t="s">
        <v>617</v>
      </c>
      <c r="D62" s="757" t="s">
        <v>618</v>
      </c>
      <c r="E62" s="834">
        <v>0.5</v>
      </c>
      <c r="F62" s="821">
        <v>80</v>
      </c>
    </row>
    <row r="63" spans="1:8" s="817" customFormat="1" ht="48">
      <c r="A63" s="821">
        <v>3</v>
      </c>
      <c r="B63" s="3375"/>
      <c r="C63" s="757" t="s">
        <v>619</v>
      </c>
      <c r="D63" s="757" t="s">
        <v>620</v>
      </c>
      <c r="E63" s="834">
        <v>0.5</v>
      </c>
      <c r="F63" s="821">
        <v>80</v>
      </c>
    </row>
    <row r="64" spans="1:8" s="817" customFormat="1" ht="48">
      <c r="A64" s="821">
        <v>4</v>
      </c>
      <c r="B64" s="3375"/>
      <c r="C64" s="757" t="s">
        <v>621</v>
      </c>
      <c r="D64" s="757" t="s">
        <v>622</v>
      </c>
      <c r="E64" s="834">
        <v>0.4</v>
      </c>
      <c r="F64" s="821">
        <v>60</v>
      </c>
    </row>
    <row r="65" spans="1:6" s="817" customFormat="1" ht="48">
      <c r="A65" s="821">
        <v>5</v>
      </c>
      <c r="B65" s="3375"/>
      <c r="C65" s="757" t="s">
        <v>623</v>
      </c>
      <c r="D65" s="757" t="s">
        <v>624</v>
      </c>
      <c r="E65" s="834">
        <v>0.2</v>
      </c>
      <c r="F65" s="821">
        <v>30</v>
      </c>
    </row>
    <row r="66" spans="1:6" s="817" customFormat="1" ht="48">
      <c r="A66" s="821">
        <v>6</v>
      </c>
      <c r="B66" s="3375"/>
      <c r="C66" s="757" t="s">
        <v>625</v>
      </c>
      <c r="D66" s="757" t="s">
        <v>626</v>
      </c>
      <c r="E66" s="834">
        <v>0.3</v>
      </c>
      <c r="F66" s="821">
        <v>50</v>
      </c>
    </row>
    <row r="67" spans="1:6" s="817" customFormat="1" ht="48">
      <c r="A67" s="821">
        <v>7</v>
      </c>
      <c r="B67" s="3375"/>
      <c r="C67" s="757" t="s">
        <v>627</v>
      </c>
      <c r="D67" s="757" t="s">
        <v>628</v>
      </c>
      <c r="E67" s="834">
        <v>0.2</v>
      </c>
      <c r="F67" s="821">
        <v>30</v>
      </c>
    </row>
    <row r="68" spans="1:6" s="817" customFormat="1" ht="48">
      <c r="A68" s="821">
        <v>8</v>
      </c>
      <c r="B68" s="3375"/>
      <c r="C68" s="757" t="s">
        <v>629</v>
      </c>
      <c r="D68" s="757" t="s">
        <v>630</v>
      </c>
      <c r="E68" s="834">
        <v>0.2</v>
      </c>
      <c r="F68" s="821">
        <v>30</v>
      </c>
    </row>
    <row r="69" spans="1:6" s="817" customFormat="1" ht="48">
      <c r="A69" s="821">
        <v>9</v>
      </c>
      <c r="B69" s="3375"/>
      <c r="C69" s="757" t="s">
        <v>631</v>
      </c>
      <c r="D69" s="757" t="s">
        <v>632</v>
      </c>
      <c r="E69" s="834">
        <v>0.2</v>
      </c>
      <c r="F69" s="821">
        <v>30</v>
      </c>
    </row>
    <row r="70" spans="1:6" s="817" customFormat="1" ht="60">
      <c r="A70" s="821">
        <v>10</v>
      </c>
      <c r="B70" s="3375"/>
      <c r="C70" s="757" t="s">
        <v>633</v>
      </c>
      <c r="D70" s="757" t="s">
        <v>634</v>
      </c>
      <c r="E70" s="834">
        <v>0.2</v>
      </c>
      <c r="F70" s="821">
        <v>30</v>
      </c>
    </row>
    <row r="71" spans="1:6" s="817" customFormat="1" ht="60">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36">
      <c r="A73" s="821">
        <v>13</v>
      </c>
      <c r="B73" s="3375"/>
      <c r="C73" s="757" t="s">
        <v>639</v>
      </c>
      <c r="D73" s="757" t="s">
        <v>640</v>
      </c>
      <c r="E73" s="834">
        <v>0.4</v>
      </c>
      <c r="F73" s="821">
        <v>60</v>
      </c>
    </row>
    <row r="74" spans="1:6" s="817" customFormat="1" ht="36">
      <c r="A74" s="821">
        <v>14</v>
      </c>
      <c r="B74" s="3375"/>
      <c r="C74" s="757" t="s">
        <v>641</v>
      </c>
      <c r="D74" s="757" t="s">
        <v>642</v>
      </c>
      <c r="E74" s="834">
        <v>0.2</v>
      </c>
      <c r="F74" s="821">
        <v>30</v>
      </c>
    </row>
    <row r="75" spans="1:6" s="817" customFormat="1" ht="36">
      <c r="A75" s="821">
        <v>15</v>
      </c>
      <c r="B75" s="3375"/>
      <c r="C75" s="757" t="s">
        <v>643</v>
      </c>
      <c r="D75" s="757" t="s">
        <v>644</v>
      </c>
      <c r="E75" s="834">
        <v>0.2</v>
      </c>
      <c r="F75" s="821">
        <v>30</v>
      </c>
    </row>
    <row r="76" spans="1:6" s="817" customFormat="1" ht="36">
      <c r="A76" s="821">
        <v>16</v>
      </c>
      <c r="B76" s="3375" t="s">
        <v>645</v>
      </c>
      <c r="C76" s="757" t="s">
        <v>646</v>
      </c>
      <c r="D76" s="757" t="s">
        <v>647</v>
      </c>
      <c r="E76" s="834">
        <v>0.5</v>
      </c>
      <c r="F76" s="821">
        <v>80</v>
      </c>
    </row>
    <row r="77" spans="1:6" s="817" customFormat="1" ht="36">
      <c r="A77" s="821">
        <v>17</v>
      </c>
      <c r="B77" s="3375"/>
      <c r="C77" s="757" t="s">
        <v>648</v>
      </c>
      <c r="D77" s="757" t="s">
        <v>649</v>
      </c>
      <c r="E77" s="834">
        <v>0.5</v>
      </c>
      <c r="F77" s="821">
        <v>80</v>
      </c>
    </row>
    <row r="78" spans="1:6" s="817" customFormat="1" ht="36">
      <c r="A78" s="821">
        <v>18</v>
      </c>
      <c r="B78" s="3375"/>
      <c r="C78" s="757" t="s">
        <v>650</v>
      </c>
      <c r="D78" s="757" t="s">
        <v>651</v>
      </c>
      <c r="E78" s="834">
        <v>0.2</v>
      </c>
      <c r="F78" s="821">
        <v>30</v>
      </c>
    </row>
    <row r="79" spans="1:6" s="817" customFormat="1" ht="36">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60">
      <c r="A82" s="821">
        <v>22</v>
      </c>
      <c r="B82" s="3375"/>
      <c r="C82" s="757" t="s">
        <v>658</v>
      </c>
      <c r="D82" s="757" t="s">
        <v>659</v>
      </c>
      <c r="E82" s="834">
        <v>0.2</v>
      </c>
      <c r="F82" s="821">
        <v>30</v>
      </c>
    </row>
    <row r="83" spans="1:6" s="817" customFormat="1" ht="60">
      <c r="A83" s="821">
        <v>23</v>
      </c>
      <c r="B83" s="3375"/>
      <c r="C83" s="757" t="s">
        <v>660</v>
      </c>
      <c r="D83" s="757" t="s">
        <v>661</v>
      </c>
      <c r="E83" s="834">
        <v>0.2</v>
      </c>
      <c r="F83" s="821">
        <v>30</v>
      </c>
    </row>
    <row r="84" spans="1:6" s="817" customFormat="1" ht="48">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36">
      <c r="A89" s="821">
        <v>29</v>
      </c>
      <c r="B89" s="3375"/>
      <c r="C89" s="757" t="s">
        <v>672</v>
      </c>
      <c r="D89" s="757" t="s">
        <v>673</v>
      </c>
      <c r="E89" s="834">
        <v>0.2</v>
      </c>
      <c r="F89" s="821">
        <v>30</v>
      </c>
    </row>
    <row r="90" spans="1:6" s="817" customFormat="1" ht="36">
      <c r="A90" s="821">
        <v>30</v>
      </c>
      <c r="B90" s="3375"/>
      <c r="C90" s="757" t="s">
        <v>674</v>
      </c>
      <c r="D90" s="757" t="s">
        <v>675</v>
      </c>
      <c r="E90" s="834">
        <v>0.2</v>
      </c>
      <c r="F90" s="821">
        <v>30</v>
      </c>
    </row>
    <row r="91" spans="1:6" s="817" customFormat="1" ht="48">
      <c r="A91" s="821">
        <v>31</v>
      </c>
      <c r="B91" s="3375"/>
      <c r="C91" s="757" t="s">
        <v>676</v>
      </c>
      <c r="D91" s="757" t="s">
        <v>677</v>
      </c>
      <c r="E91" s="834">
        <v>0.2</v>
      </c>
      <c r="F91" s="821">
        <v>30</v>
      </c>
    </row>
    <row r="92" spans="1:6" s="817" customFormat="1" ht="36">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60">
      <c r="A94" s="821">
        <v>34</v>
      </c>
      <c r="B94" s="3375"/>
      <c r="C94" s="821" t="s">
        <v>683</v>
      </c>
      <c r="D94" s="757" t="s">
        <v>684</v>
      </c>
      <c r="E94" s="834">
        <v>0.2</v>
      </c>
      <c r="F94" s="821">
        <v>30</v>
      </c>
    </row>
    <row r="95" spans="1:6" s="817" customFormat="1" ht="48">
      <c r="A95" s="821">
        <v>35</v>
      </c>
      <c r="B95" s="3375"/>
      <c r="C95" s="821" t="s">
        <v>685</v>
      </c>
      <c r="D95" s="757" t="s">
        <v>686</v>
      </c>
      <c r="E95" s="834">
        <v>0.2</v>
      </c>
      <c r="F95" s="821">
        <v>30</v>
      </c>
    </row>
    <row r="96" spans="1:6" s="817" customFormat="1" ht="72">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36">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75" t="s">
        <v>708</v>
      </c>
      <c r="C105" s="821" t="s">
        <v>709</v>
      </c>
      <c r="D105" s="757" t="s">
        <v>710</v>
      </c>
      <c r="E105" s="834">
        <v>0.2</v>
      </c>
      <c r="F105" s="821">
        <v>30</v>
      </c>
    </row>
    <row r="106" spans="1:6" s="817" customFormat="1" ht="48">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48">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75" t="s">
        <v>724</v>
      </c>
      <c r="C111" s="821" t="s">
        <v>725</v>
      </c>
      <c r="D111" s="757" t="s">
        <v>726</v>
      </c>
      <c r="E111" s="834">
        <v>0.2</v>
      </c>
      <c r="F111" s="821">
        <v>30</v>
      </c>
    </row>
    <row r="112" spans="1:6" s="817" customFormat="1" ht="36">
      <c r="A112" s="821">
        <v>52</v>
      </c>
      <c r="B112" s="3375"/>
      <c r="C112" s="821" t="s">
        <v>727</v>
      </c>
      <c r="D112" s="757" t="s">
        <v>728</v>
      </c>
      <c r="E112" s="834">
        <v>0.2</v>
      </c>
      <c r="F112" s="821">
        <v>30</v>
      </c>
    </row>
    <row r="113" spans="1:6" s="817" customFormat="1" ht="36">
      <c r="A113" s="821">
        <v>53</v>
      </c>
      <c r="B113" s="337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1.3255999999999999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3" customWidth="1"/>
    <col min="2" max="2" width="12.44140625" style="1663" customWidth="1"/>
    <col min="3" max="3" width="12.109375" style="1663" customWidth="1"/>
    <col min="4" max="4" width="14.109375" style="1663" customWidth="1"/>
    <col min="5" max="5" width="12.44140625" style="1663" customWidth="1"/>
    <col min="6" max="16384" width="9" style="1663"/>
  </cols>
  <sheetData>
    <row r="1" spans="1:16" ht="21.6">
      <c r="A1" s="2054" t="s">
        <v>2820</v>
      </c>
      <c r="B1" s="2361"/>
      <c r="C1" s="2361"/>
      <c r="D1" s="2361"/>
      <c r="E1" s="2361"/>
      <c r="F1" s="3022"/>
      <c r="G1" s="3022"/>
      <c r="H1" s="3022"/>
      <c r="I1" s="3022"/>
      <c r="J1" s="3022"/>
      <c r="K1" s="3022"/>
      <c r="L1" s="3022"/>
      <c r="M1" s="3022"/>
      <c r="N1" s="3022"/>
      <c r="O1" s="3022"/>
      <c r="P1" s="3022"/>
    </row>
    <row r="2" spans="1:16" ht="15.6">
      <c r="A2" s="2359" t="s">
        <v>2812</v>
      </c>
      <c r="B2" s="2826">
        <f ca="1">SUMIF(B6:B13,"&lt;&gt;#ref!",B6:B13)</f>
        <v>2478</v>
      </c>
      <c r="C2" s="2359" t="s">
        <v>2813</v>
      </c>
      <c r="D2" s="2359" t="s">
        <v>2814</v>
      </c>
      <c r="E2" s="2836">
        <f ca="1">SUMIF(E6:E13,"&lt;&gt;#ref!",E6:E13)</f>
        <v>522.55999999999995</v>
      </c>
      <c r="F2" s="3022"/>
      <c r="G2" s="3022"/>
      <c r="H2" s="3022"/>
      <c r="I2" s="3022"/>
      <c r="J2" s="3022"/>
      <c r="K2" s="3022"/>
      <c r="L2" s="3022"/>
      <c r="M2" s="3022"/>
      <c r="N2" s="3022"/>
      <c r="O2" s="3022"/>
      <c r="P2" s="3022"/>
    </row>
    <row r="3" spans="1:16" ht="15.6">
      <c r="A3" s="2359" t="s">
        <v>2815</v>
      </c>
      <c r="B3" s="2826">
        <f ca="1">ROUND(B2*10000/E2,0)</f>
        <v>47420</v>
      </c>
      <c r="C3" s="2359" t="s">
        <v>2821</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2816</v>
      </c>
      <c r="B5" s="2834" t="s">
        <v>2817</v>
      </c>
      <c r="C5" s="2360"/>
      <c r="D5" s="3022"/>
      <c r="E5" s="2835" t="s">
        <v>2818</v>
      </c>
      <c r="F5" s="3022"/>
      <c r="G5" s="3022"/>
      <c r="H5" s="3022"/>
      <c r="I5" s="3022"/>
      <c r="J5" s="3022"/>
      <c r="K5" s="3022"/>
      <c r="L5" s="3022"/>
      <c r="M5" s="3022"/>
      <c r="N5" s="3022"/>
      <c r="O5" s="3022"/>
      <c r="P5" s="3022"/>
    </row>
    <row r="6" spans="1:16" ht="15.6">
      <c r="A6" s="2833" t="s">
        <v>2819</v>
      </c>
      <c r="B6" s="2826">
        <f ca="1">SUMIF(INDIRECT("'"&amp;A6&amp;"'"&amp;"!A:A"),"总价",INDIRECT("'"&amp;A6&amp;"'"&amp;"!B:B"))</f>
        <v>2478</v>
      </c>
      <c r="C6" s="2359" t="s">
        <v>2813</v>
      </c>
      <c r="D6" s="3022"/>
      <c r="E6" s="2836">
        <f ca="1">SUMIF(INDIRECT("'"&amp;A6&amp;"'"&amp;"!C:C"),"建筑面积",INDIRECT("'"&amp;A6&amp;"'"&amp;"!D:D"))</f>
        <v>522.55999999999995</v>
      </c>
      <c r="F6" s="3022"/>
      <c r="G6" s="3022"/>
      <c r="H6" s="3022"/>
      <c r="I6" s="3022"/>
      <c r="J6" s="3022"/>
      <c r="K6" s="3022"/>
      <c r="L6" s="3022"/>
      <c r="M6" s="3022"/>
      <c r="N6" s="3022"/>
      <c r="O6" s="3022"/>
      <c r="P6" s="3022"/>
    </row>
    <row r="7" spans="1:16" ht="15.6">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6">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8" customFormat="1" ht="1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2853</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3078</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3057</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2854</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3058</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3056</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2870</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2868</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2867</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8" thickBot="1">
      <c r="A12" s="2421" t="s">
        <v>2866</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2864</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8" thickBot="1">
      <c r="A14" s="2421" t="s">
        <v>2862</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2865</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9">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 customHeight="1">
      <c r="A16" s="2421" t="s">
        <v>2860</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9"/>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 customHeight="1">
      <c r="A17" s="2421" t="s">
        <v>2859</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9"/>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2852</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6"/>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82">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 customHeight="1">
      <c r="A20" s="2421" t="s">
        <v>2851</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9"/>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9"/>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6"/>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82">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9"/>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9"/>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8"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80"/>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8" thickBot="1">
      <c r="A27" s="2421" t="s">
        <v>151</v>
      </c>
      <c r="B27" s="2436">
        <v>333</v>
      </c>
      <c r="C27" s="2436">
        <v>277</v>
      </c>
      <c r="D27" s="2436">
        <f t="shared" si="167"/>
        <v>277</v>
      </c>
      <c r="E27" s="2436">
        <v>459</v>
      </c>
      <c r="F27" s="2437">
        <v>249</v>
      </c>
      <c r="G27" s="3378">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9"/>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9"/>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80"/>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8" thickBot="1">
      <c r="A31" s="2421" t="s">
        <v>147</v>
      </c>
      <c r="B31" s="2450">
        <v>318</v>
      </c>
      <c r="C31" s="2450">
        <v>268</v>
      </c>
      <c r="D31" s="2450">
        <f t="shared" si="167"/>
        <v>268</v>
      </c>
      <c r="E31" s="2450">
        <v>437</v>
      </c>
      <c r="F31" s="2451">
        <v>237</v>
      </c>
      <c r="G31" s="3378">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9"/>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8"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9"/>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8"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80"/>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8" thickBot="1">
      <c r="A35" s="2421" t="s">
        <v>1130</v>
      </c>
      <c r="B35" s="2436">
        <v>299</v>
      </c>
      <c r="C35" s="2436">
        <v>252</v>
      </c>
      <c r="D35" s="2436">
        <f t="shared" si="167"/>
        <v>252</v>
      </c>
      <c r="E35" s="2436">
        <v>409</v>
      </c>
      <c r="F35" s="2437">
        <v>227</v>
      </c>
      <c r="G35" s="3383">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4"/>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4"/>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5"/>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8" thickBot="1">
      <c r="A39" s="2421" t="s">
        <v>1134</v>
      </c>
      <c r="B39" s="2471">
        <v>278</v>
      </c>
      <c r="C39" s="2471">
        <v>234</v>
      </c>
      <c r="D39" s="2471">
        <f t="shared" si="167"/>
        <v>234</v>
      </c>
      <c r="E39" s="2471">
        <v>379</v>
      </c>
      <c r="F39" s="2472">
        <v>220</v>
      </c>
      <c r="G39" s="3378">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9"/>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9"/>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8" thickBot="1">
      <c r="A42" s="2421" t="s">
        <v>1137</v>
      </c>
      <c r="B42" s="2422">
        <f>B41/(1+N41)</f>
        <v>275.19025476197027</v>
      </c>
      <c r="C42" s="2473">
        <v>232</v>
      </c>
      <c r="D42" s="2473">
        <f t="shared" si="167"/>
        <v>232</v>
      </c>
      <c r="E42" s="2422">
        <f t="shared" si="178"/>
        <v>375.65990977608692</v>
      </c>
      <c r="F42" s="2422">
        <f t="shared" si="178"/>
        <v>214.12518283971252</v>
      </c>
      <c r="G42" s="3380"/>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8" thickBot="1">
      <c r="A43" s="2421" t="s">
        <v>1138</v>
      </c>
      <c r="B43" s="2436">
        <v>275</v>
      </c>
      <c r="C43" s="2436">
        <v>232</v>
      </c>
      <c r="D43" s="2436">
        <f t="shared" si="167"/>
        <v>232</v>
      </c>
      <c r="E43" s="2436">
        <v>376</v>
      </c>
      <c r="F43" s="2437">
        <v>213</v>
      </c>
      <c r="G43" s="3378">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9">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9">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8"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80">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8" thickBot="1">
      <c r="A47" s="2421" t="s">
        <v>1142</v>
      </c>
      <c r="B47" s="2436">
        <v>269</v>
      </c>
      <c r="C47" s="2436">
        <v>221</v>
      </c>
      <c r="D47" s="2436">
        <f t="shared" si="167"/>
        <v>221</v>
      </c>
      <c r="E47" s="2436">
        <v>373</v>
      </c>
      <c r="F47" s="2437">
        <v>196</v>
      </c>
      <c r="G47" s="3378">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9">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9">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8"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80">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8" thickBot="1">
      <c r="A51" s="2421" t="s">
        <v>1146</v>
      </c>
      <c r="B51" s="2436">
        <v>220</v>
      </c>
      <c r="C51" s="2436">
        <v>187</v>
      </c>
      <c r="D51" s="2436">
        <f t="shared" si="167"/>
        <v>187</v>
      </c>
      <c r="E51" s="2436">
        <v>301</v>
      </c>
      <c r="F51" s="2437">
        <v>168</v>
      </c>
      <c r="G51" s="3378">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9">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9">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80">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8" thickBot="1">
      <c r="A55" s="2421" t="s">
        <v>1150</v>
      </c>
      <c r="B55" s="2471">
        <v>214</v>
      </c>
      <c r="C55" s="2471">
        <v>188</v>
      </c>
      <c r="D55" s="2471">
        <f t="shared" si="167"/>
        <v>188</v>
      </c>
      <c r="E55" s="2471">
        <v>289</v>
      </c>
      <c r="F55" s="2472">
        <v>166</v>
      </c>
      <c r="G55" s="3378">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9">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9">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8"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80">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8" thickBot="1">
      <c r="A59" s="2421" t="s">
        <v>1154</v>
      </c>
      <c r="B59" s="2436">
        <v>188</v>
      </c>
      <c r="C59" s="2436">
        <v>165</v>
      </c>
      <c r="D59" s="2436">
        <f t="shared" si="167"/>
        <v>165</v>
      </c>
      <c r="E59" s="2436">
        <v>254</v>
      </c>
      <c r="F59" s="2437">
        <v>148</v>
      </c>
      <c r="G59" s="3378">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9">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9">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80">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8" thickBot="1">
      <c r="A63" s="2421" t="s">
        <v>1158</v>
      </c>
      <c r="B63" s="2450">
        <v>159</v>
      </c>
      <c r="C63" s="2450">
        <v>141</v>
      </c>
      <c r="D63" s="2450">
        <f t="shared" si="167"/>
        <v>141</v>
      </c>
      <c r="E63" s="2450">
        <v>195</v>
      </c>
      <c r="F63" s="2451">
        <v>122</v>
      </c>
      <c r="G63" s="3378">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9">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9">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80">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8" thickBot="1">
      <c r="A67" s="2421" t="s">
        <v>1162</v>
      </c>
      <c r="B67" s="2450">
        <v>138</v>
      </c>
      <c r="C67" s="2450">
        <v>131</v>
      </c>
      <c r="D67" s="2450">
        <f t="shared" si="167"/>
        <v>131</v>
      </c>
      <c r="E67" s="2450">
        <v>155</v>
      </c>
      <c r="F67" s="2451">
        <v>114</v>
      </c>
      <c r="G67" s="3378">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9">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9">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80">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8" thickBot="1">
      <c r="A71" s="2421" t="s">
        <v>1166</v>
      </c>
      <c r="B71" s="2471">
        <v>121</v>
      </c>
      <c r="C71" s="2471">
        <v>122</v>
      </c>
      <c r="D71" s="2471">
        <f t="shared" si="167"/>
        <v>122</v>
      </c>
      <c r="E71" s="2471">
        <v>124</v>
      </c>
      <c r="F71" s="2472">
        <v>107</v>
      </c>
      <c r="G71" s="3378">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9">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9">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8"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80">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8" thickBot="1">
      <c r="A75" s="2421" t="s">
        <v>1170</v>
      </c>
      <c r="B75" s="2491">
        <v>111</v>
      </c>
      <c r="C75" s="2491">
        <v>114</v>
      </c>
      <c r="D75" s="2491">
        <f t="shared" si="167"/>
        <v>114</v>
      </c>
      <c r="E75" s="2491">
        <v>108</v>
      </c>
      <c r="F75" s="2492">
        <v>104</v>
      </c>
      <c r="G75" s="3378">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9">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9">
        <v>2003</v>
      </c>
      <c r="H77" s="2434">
        <v>2</v>
      </c>
      <c r="I77" s="2493"/>
      <c r="J77" s="2493"/>
      <c r="K77" s="2493"/>
      <c r="L77" s="2493"/>
      <c r="X77" s="2485"/>
      <c r="Y77" s="2485"/>
      <c r="Z77" s="2485"/>
    </row>
    <row r="78" spans="1:26" ht="13.8" thickBot="1">
      <c r="A78" s="2421" t="s">
        <v>1173</v>
      </c>
      <c r="B78" s="2495">
        <f t="shared" si="203"/>
        <v>107.25</v>
      </c>
      <c r="C78" s="2495">
        <f t="shared" si="203"/>
        <v>108.75</v>
      </c>
      <c r="D78" s="2495">
        <f t="shared" si="167"/>
        <v>108.75</v>
      </c>
      <c r="E78" s="2495">
        <f t="shared" si="204"/>
        <v>105.75</v>
      </c>
      <c r="F78" s="2495">
        <f t="shared" si="204"/>
        <v>102.5</v>
      </c>
      <c r="G78" s="3380">
        <v>2003</v>
      </c>
      <c r="H78" s="2496">
        <v>1</v>
      </c>
      <c r="I78" s="2493"/>
      <c r="J78" s="2493"/>
      <c r="K78" s="2493"/>
      <c r="L78" s="2493"/>
      <c r="S78" s="2424"/>
      <c r="T78" s="2409"/>
      <c r="U78" s="2409"/>
      <c r="X78" s="2485"/>
      <c r="Y78" s="2485"/>
      <c r="Z78" s="2485"/>
    </row>
    <row r="79" spans="1:26" ht="13.8" thickBot="1">
      <c r="A79" s="2421" t="s">
        <v>1174</v>
      </c>
      <c r="B79" s="2497">
        <v>106</v>
      </c>
      <c r="C79" s="2497">
        <v>107</v>
      </c>
      <c r="D79" s="2497">
        <f t="shared" si="167"/>
        <v>107</v>
      </c>
      <c r="E79" s="2497">
        <v>105</v>
      </c>
      <c r="F79" s="2498">
        <v>102</v>
      </c>
      <c r="G79" s="3378">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9">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9">
        <v>2002</v>
      </c>
      <c r="H81" s="2434">
        <v>2</v>
      </c>
      <c r="I81" s="2493"/>
      <c r="J81" s="2493"/>
      <c r="K81" s="2493"/>
      <c r="L81" s="2493"/>
      <c r="X81" s="2485"/>
      <c r="Y81" s="2485"/>
      <c r="Z81" s="2485"/>
    </row>
    <row r="82" spans="1:26" s="2458" customFormat="1" ht="13.8" thickBot="1">
      <c r="A82" s="2454" t="s">
        <v>1177</v>
      </c>
      <c r="B82" s="2461">
        <f t="shared" si="205"/>
        <v>103</v>
      </c>
      <c r="C82" s="2461">
        <f t="shared" si="205"/>
        <v>104</v>
      </c>
      <c r="D82" s="2461">
        <f t="shared" si="167"/>
        <v>104</v>
      </c>
      <c r="E82" s="2461">
        <f t="shared" si="206"/>
        <v>103.5</v>
      </c>
      <c r="F82" s="2461">
        <f t="shared" si="206"/>
        <v>100.5</v>
      </c>
      <c r="G82" s="3380">
        <v>2002</v>
      </c>
      <c r="H82" s="2499">
        <v>1</v>
      </c>
      <c r="I82" s="2500"/>
      <c r="J82" s="2500"/>
      <c r="K82" s="2500"/>
      <c r="L82" s="2500"/>
      <c r="N82" s="2501"/>
      <c r="S82" s="2501"/>
      <c r="X82" s="2502"/>
      <c r="Y82" s="2502"/>
      <c r="Z82" s="2502"/>
    </row>
    <row r="83" spans="1:26" ht="13.8"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8"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8"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90" t="s">
        <v>2823</v>
      </c>
      <c r="D1" s="3391"/>
      <c r="E1" s="3391"/>
      <c r="F1" s="3391"/>
      <c r="G1" s="3391"/>
      <c r="H1" s="3391"/>
      <c r="I1" s="3391"/>
      <c r="J1" s="3391"/>
      <c r="K1" s="3391"/>
      <c r="L1" s="3391"/>
      <c r="M1" s="3391"/>
      <c r="N1" s="3391"/>
      <c r="O1" s="3391"/>
      <c r="P1" s="3391"/>
      <c r="Q1" s="3391"/>
      <c r="R1" s="3391"/>
      <c r="S1" s="3392"/>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5"/>
      <c r="F19" s="1525"/>
      <c r="G19" s="1525"/>
      <c r="H19" s="1190"/>
      <c r="I19" s="164"/>
      <c r="J19" s="164"/>
      <c r="K19" s="164"/>
      <c r="L19" s="164"/>
      <c r="M19" s="164"/>
      <c r="N19" s="164"/>
      <c r="O19" s="164"/>
      <c r="P19" s="164"/>
      <c r="Q19" s="164"/>
      <c r="R19" s="727"/>
      <c r="S19" s="134"/>
    </row>
    <row r="20" spans="1:45" ht="16.2" thickBot="1">
      <c r="A20" s="671" t="s">
        <v>2835</v>
      </c>
      <c r="B20" s="300" t="e">
        <f ca="1">IF(D20="——",S22,S22-F20)</f>
        <v>#REF!</v>
      </c>
      <c r="C20" s="164"/>
      <c r="D20" s="2365"/>
      <c r="E20" s="1526"/>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6">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7" t="s">
        <v>33</v>
      </c>
      <c r="D22" s="3388"/>
      <c r="E22" s="3388"/>
      <c r="F22" s="3388"/>
      <c r="G22" s="3388"/>
      <c r="H22" s="3388"/>
      <c r="I22" s="3388"/>
      <c r="J22" s="3388"/>
      <c r="K22" s="3388"/>
      <c r="L22" s="3388"/>
      <c r="M22" s="3388"/>
      <c r="N22" s="3388"/>
      <c r="O22" s="3388"/>
      <c r="P22" s="3388"/>
      <c r="Q22" s="3389"/>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8" customWidth="1"/>
    <col min="2" max="2" width="37.21875" style="1678" customWidth="1"/>
    <col min="3" max="3" width="11.33203125" style="1678" customWidth="1"/>
    <col min="4" max="4" width="31.77734375" style="1678" customWidth="1"/>
    <col min="5" max="5" width="0.44140625" style="1678" customWidth="1"/>
    <col min="6" max="7" width="13" style="1678" customWidth="1"/>
    <col min="8" max="16384" width="9" style="1678"/>
  </cols>
  <sheetData>
    <row r="1" spans="1:5" ht="17.399999999999999">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8" thickBot="1">
      <c r="A4" s="1679"/>
      <c r="B4" s="3061" t="s">
        <v>1594</v>
      </c>
      <c r="C4" s="3061"/>
      <c r="D4" s="3061"/>
      <c r="E4" s="1679"/>
    </row>
    <row r="5" spans="1:5" ht="16.2" thickTop="1">
      <c r="A5" s="1677"/>
      <c r="B5" s="3059" t="s">
        <v>1586</v>
      </c>
      <c r="C5" s="1680" t="s">
        <v>1587</v>
      </c>
      <c r="D5" s="959">
        <f ca="1">结果表!H101</f>
        <v>7038</v>
      </c>
      <c r="E5" s="1677"/>
    </row>
    <row r="6" spans="1:5" ht="15.6">
      <c r="A6" s="1677"/>
      <c r="B6" s="3059"/>
      <c r="C6" s="1680" t="s">
        <v>1588</v>
      </c>
      <c r="D6" s="959" t="str">
        <f ca="1">NUMBERSTRING(INT(D5*10000),2)&amp;"元整"</f>
        <v>柒仟零叁拾捌万元整</v>
      </c>
      <c r="E6" s="1677"/>
    </row>
    <row r="7" spans="1:5" ht="15.6">
      <c r="A7" s="1677"/>
      <c r="B7" s="3064"/>
      <c r="C7" s="1681" t="s">
        <v>1589</v>
      </c>
      <c r="D7" s="960">
        <f ca="1">结果表!H102</f>
        <v>134683</v>
      </c>
      <c r="E7" s="1677"/>
    </row>
    <row r="8" spans="1:5" ht="15.6">
      <c r="A8" s="1677"/>
      <c r="B8" s="3065" t="str">
        <f>结果表!E103</f>
        <v>2.估价师知悉的法定优先受偿款</v>
      </c>
      <c r="C8" s="1682" t="s">
        <v>1590</v>
      </c>
      <c r="D8" s="960">
        <f>结果表!H103</f>
        <v>0</v>
      </c>
      <c r="E8" s="1677"/>
    </row>
    <row r="9" spans="1:5" ht="15.6">
      <c r="A9" s="1677"/>
      <c r="B9" s="3067"/>
      <c r="C9" s="1680" t="s">
        <v>1588</v>
      </c>
      <c r="D9" s="959" t="str">
        <f>NUMBERSTRING(INT(D8*10000),2)&amp;"元整"</f>
        <v>零元整</v>
      </c>
      <c r="E9" s="1677"/>
    </row>
    <row r="10" spans="1:5" ht="15.6">
      <c r="A10" s="1677"/>
      <c r="B10" s="1683" t="s">
        <v>1593</v>
      </c>
      <c r="C10" s="1684" t="s">
        <v>1591</v>
      </c>
      <c r="D10" s="961">
        <f>结果表!H104</f>
        <v>0</v>
      </c>
      <c r="E10" s="1677"/>
    </row>
    <row r="11" spans="1:5" ht="15.6">
      <c r="A11" s="1677"/>
      <c r="B11" s="1683" t="s">
        <v>1595</v>
      </c>
      <c r="C11" s="1684" t="s">
        <v>1596</v>
      </c>
      <c r="D11" s="961">
        <f>结果表!H105</f>
        <v>0</v>
      </c>
      <c r="E11" s="1677"/>
    </row>
    <row r="12" spans="1:5" ht="15.6">
      <c r="A12" s="1677"/>
      <c r="B12" s="1683" t="s">
        <v>1597</v>
      </c>
      <c r="C12" s="1684" t="s">
        <v>1596</v>
      </c>
      <c r="D12" s="961">
        <f>结果表!H106</f>
        <v>0</v>
      </c>
      <c r="E12" s="1677"/>
    </row>
    <row r="13" spans="1:5" ht="15.6">
      <c r="A13" s="1677"/>
      <c r="B13" s="3058" t="str">
        <f>结果表!E107</f>
        <v>3.房地产抵押价值</v>
      </c>
      <c r="C13" s="1685" t="s">
        <v>1587</v>
      </c>
      <c r="D13" s="962">
        <f ca="1">结果表!H107</f>
        <v>7038</v>
      </c>
      <c r="E13" s="1677"/>
    </row>
    <row r="14" spans="1:5" ht="15.6">
      <c r="A14" s="1677"/>
      <c r="B14" s="3059"/>
      <c r="C14" s="1680" t="s">
        <v>1588</v>
      </c>
      <c r="D14" s="959" t="str">
        <f ca="1">NUMBERSTRING(INT(D13*10000),2)&amp;"元整"</f>
        <v>柒仟零叁拾捌万元整</v>
      </c>
      <c r="E14" s="1677"/>
    </row>
    <row r="15" spans="1:5" ht="15.6">
      <c r="A15" s="1677"/>
      <c r="B15" s="3064"/>
      <c r="C15" s="1681" t="s">
        <v>1598</v>
      </c>
      <c r="D15" s="968">
        <f ca="1">结果表!H108</f>
        <v>134683</v>
      </c>
      <c r="E15" s="1677"/>
    </row>
    <row r="16" spans="1:5" ht="15.6">
      <c r="A16" s="1677"/>
      <c r="B16" s="3065" t="str">
        <f>结果表!E109</f>
        <v>——</v>
      </c>
      <c r="C16" s="1685" t="s">
        <v>1599</v>
      </c>
      <c r="D16" s="1686" t="str">
        <f>结果表!H109</f>
        <v>——</v>
      </c>
      <c r="E16" s="1677"/>
    </row>
    <row r="17" spans="1:5" ht="15.6">
      <c r="A17" s="1677"/>
      <c r="B17" s="3066"/>
      <c r="C17" s="1680" t="s">
        <v>1600</v>
      </c>
      <c r="D17" s="959" t="e">
        <f>NUMBERSTRING(INT(D16*10000),2)&amp;"元整"</f>
        <v>#VALUE!</v>
      </c>
      <c r="E17" s="1677"/>
    </row>
    <row r="18" spans="1:5" ht="15.6">
      <c r="A18" s="1677"/>
      <c r="B18" s="3067"/>
      <c r="C18" s="1681" t="s">
        <v>1589</v>
      </c>
      <c r="D18" s="968" t="str">
        <f>结果表!H110</f>
        <v>——</v>
      </c>
      <c r="E18" s="1677"/>
    </row>
    <row r="19" spans="1:5" ht="15.6">
      <c r="A19" s="1677"/>
      <c r="B19" s="3058" t="str">
        <f>结果表!E111</f>
        <v>4.抵押净值</v>
      </c>
      <c r="C19" s="1685" t="s">
        <v>1587</v>
      </c>
      <c r="D19" s="960">
        <f ca="1">结果表!H111</f>
        <v>5622</v>
      </c>
      <c r="E19" s="1677"/>
    </row>
    <row r="20" spans="1:5" ht="15.6">
      <c r="A20" s="1677"/>
      <c r="B20" s="3059"/>
      <c r="C20" s="1680" t="s">
        <v>1600</v>
      </c>
      <c r="D20" s="959" t="str">
        <f ca="1">NUMBERSTRING(INT(D19*10000),2)&amp;"元整"</f>
        <v>伍仟陆佰贰拾贰万元整</v>
      </c>
      <c r="E20" s="1677"/>
    </row>
    <row r="21" spans="1:5" ht="16.2" thickBot="1">
      <c r="A21" s="1677"/>
      <c r="B21" s="3060"/>
      <c r="C21" s="1687" t="s">
        <v>1598</v>
      </c>
      <c r="D21" s="969">
        <f ca="1">结果表!H112</f>
        <v>107586</v>
      </c>
      <c r="E21" s="1677"/>
    </row>
    <row r="22" spans="1:5" ht="14.4" thickTop="1">
      <c r="A22" s="1677"/>
      <c r="B22" s="1688" t="s">
        <v>1601</v>
      </c>
      <c r="C22" s="1677"/>
      <c r="D22" s="1677"/>
      <c r="E22" s="1677"/>
    </row>
    <row r="23" spans="1:5">
      <c r="A23" s="1677"/>
      <c r="B23" s="1677"/>
      <c r="C23" s="1677"/>
      <c r="D23" s="1677"/>
      <c r="E23" s="1677"/>
    </row>
    <row r="24" spans="1:5" ht="17.399999999999999">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28019</v>
      </c>
      <c r="C2" s="2" t="s">
        <v>133</v>
      </c>
      <c r="D2" s="205"/>
      <c r="E2" s="205"/>
      <c r="F2" s="205"/>
      <c r="G2" s="205"/>
    </row>
    <row r="3" spans="1:7" s="206" customFormat="1" ht="18" customHeight="1" thickBot="1">
      <c r="A3" s="209" t="s">
        <v>85</v>
      </c>
      <c r="B3" s="210">
        <f ca="1">ROUND(B2*10000/'数据-汇总表'!E3,0)</f>
        <v>536187</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261</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13</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v>
      </c>
      <c r="D42" s="244"/>
      <c r="E42" s="244"/>
      <c r="F42" s="245"/>
      <c r="G42" s="3297" t="s">
        <v>121</v>
      </c>
    </row>
    <row r="43" spans="1:7" ht="13.5" customHeight="1">
      <c r="A43" s="888" t="s">
        <v>792</v>
      </c>
      <c r="B43" s="221" t="s">
        <v>1032</v>
      </c>
      <c r="C43" s="244">
        <f ca="1">ROUND(IF('数据-取费表'!B22&lt;=1,C39*F22*'数据-取费表'!B21/2,C39*(POWER((1+F22),'数据-取费表'!B21/2)-1)),0)</f>
        <v>0</v>
      </c>
      <c r="D43" s="244"/>
      <c r="E43" s="244"/>
      <c r="F43" s="245"/>
      <c r="G43" s="3298"/>
    </row>
    <row r="44" spans="1:7" ht="13.5" customHeight="1">
      <c r="A44" s="888" t="s">
        <v>793</v>
      </c>
      <c r="B44" s="221" t="s">
        <v>1034</v>
      </c>
      <c r="C44" s="244">
        <f ca="1">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45</v>
      </c>
      <c r="D45" s="241">
        <f>C47</f>
        <v>3.0000000000000001E-3</v>
      </c>
      <c r="E45" s="242" t="s">
        <v>129</v>
      </c>
      <c r="F45" s="252"/>
      <c r="G45" s="253" t="s">
        <v>1040</v>
      </c>
    </row>
    <row r="46" spans="1:7" s="220" customFormat="1" ht="13.5" customHeight="1">
      <c r="A46" s="888" t="s">
        <v>794</v>
      </c>
      <c r="B46" s="254" t="s">
        <v>1033</v>
      </c>
      <c r="C46" s="255">
        <f>ROUND((C33+C39)*F27,0)</f>
        <v>45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387</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329</v>
      </c>
      <c r="D51" s="238"/>
      <c r="E51" s="238"/>
      <c r="F51" s="270"/>
      <c r="G51" s="240" t="s">
        <v>64</v>
      </c>
    </row>
    <row r="52" spans="1:7" s="214" customFormat="1" ht="16.8" thickBot="1">
      <c r="A52" s="271" t="s">
        <v>65</v>
      </c>
      <c r="B52" s="272"/>
      <c r="C52" s="273">
        <f ca="1">C31+C51</f>
        <v>28019</v>
      </c>
      <c r="D52" s="272"/>
      <c r="E52" s="272"/>
      <c r="F52" s="272"/>
      <c r="G52" s="274"/>
    </row>
    <row r="55" spans="1:7" ht="15">
      <c r="B55" s="276" t="s">
        <v>66</v>
      </c>
      <c r="C55" s="277"/>
    </row>
    <row r="56" spans="1:7">
      <c r="B56" s="279" t="s">
        <v>67</v>
      </c>
      <c r="C56" s="280">
        <f ca="1">ROUND(C51/C52,3)</f>
        <v>1.2E-2</v>
      </c>
    </row>
    <row r="57" spans="1:7">
      <c r="B57" s="279" t="s">
        <v>68</v>
      </c>
      <c r="C57" s="281">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393" t="s">
        <v>839</v>
      </c>
      <c r="B1" s="3393"/>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0" customFormat="1" ht="1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5.6">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6.8">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9" t="s">
        <v>1338</v>
      </c>
      <c r="E1" s="1513" t="s">
        <v>1342</v>
      </c>
      <c r="F1" s="1514" t="s">
        <v>1346</v>
      </c>
    </row>
    <row r="2" spans="1:13" ht="19.8">
      <c r="A2" s="1520" t="s">
        <v>1339</v>
      </c>
    </row>
    <row r="3" spans="1:13" ht="15.6">
      <c r="A3" s="1521" t="s">
        <v>1340</v>
      </c>
    </row>
    <row r="4" spans="1:13">
      <c r="A4" s="1511" t="s">
        <v>1341</v>
      </c>
      <c r="B4" s="1516" t="s">
        <v>1343</v>
      </c>
      <c r="C4" s="1517"/>
      <c r="D4" s="1518"/>
      <c r="E4" s="1516" t="s">
        <v>27</v>
      </c>
      <c r="F4" s="1517"/>
      <c r="G4" s="1518"/>
      <c r="H4" s="1516" t="s">
        <v>1344</v>
      </c>
      <c r="I4" s="1517"/>
      <c r="J4" s="1518"/>
      <c r="K4" s="1516" t="s">
        <v>6</v>
      </c>
      <c r="L4" s="1517"/>
      <c r="M4" s="1518"/>
    </row>
    <row r="5" spans="1:13">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 workbookViewId="0">
      <selection activeCell="E34" sqref="E34"/>
    </sheetView>
  </sheetViews>
  <sheetFormatPr defaultRowHeight="14.4"/>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3" customWidth="1"/>
    <col min="2" max="9" width="12.109375" style="1663" customWidth="1"/>
    <col min="10" max="16384" width="9" style="1663"/>
  </cols>
  <sheetData>
    <row r="1" spans="1:9" ht="18"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1605</v>
      </c>
      <c r="B2" s="3069" t="s">
        <v>1606</v>
      </c>
      <c r="C2" s="3069" t="s">
        <v>1607</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6">
      <c r="A3" s="3070"/>
      <c r="B3" s="3070"/>
      <c r="C3" s="3070"/>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5750</v>
      </c>
      <c r="E4" s="963">
        <f ca="1">结果表!E118</f>
        <v>110035</v>
      </c>
      <c r="F4" s="963">
        <f ca="1">结果表!F118</f>
        <v>1288</v>
      </c>
      <c r="G4" s="963">
        <f ca="1">结果表!G118</f>
        <v>24648</v>
      </c>
      <c r="H4" s="963">
        <f ca="1">结果表!H118</f>
        <v>7038</v>
      </c>
      <c r="I4" s="963">
        <f ca="1">结果表!I118</f>
        <v>134683</v>
      </c>
    </row>
    <row r="5" spans="1:9" ht="30" customHeight="1">
      <c r="A5" s="3070" t="s">
        <v>1604</v>
      </c>
      <c r="B5" s="3070"/>
      <c r="C5" s="3070"/>
      <c r="D5" s="3071" t="str">
        <f ca="1">结果表!D119</f>
        <v>伍仟柒佰伍拾万元整</v>
      </c>
      <c r="E5" s="3071"/>
      <c r="F5" s="3071" t="str">
        <f ca="1">结果表!F119</f>
        <v>壹仟贰佰捌拾捌万元整</v>
      </c>
      <c r="G5" s="3071"/>
      <c r="H5" s="3071" t="str">
        <f ca="1">结果表!H119</f>
        <v>柒仟零叁拾捌万元整</v>
      </c>
      <c r="I5" s="3071"/>
    </row>
    <row r="6" spans="1:9" ht="15.6">
      <c r="A6" s="3072" t="str">
        <f>结果表!A120</f>
        <v>估价师知悉的法定优先受偿款</v>
      </c>
      <c r="B6" s="3072"/>
      <c r="C6" s="3072"/>
      <c r="D6" s="3072">
        <f>结果表!D120</f>
        <v>0</v>
      </c>
      <c r="E6" s="3072"/>
      <c r="F6" s="3072"/>
      <c r="G6" s="3072"/>
      <c r="H6" s="3072"/>
      <c r="I6" s="3072"/>
    </row>
    <row r="7" spans="1:9" ht="15">
      <c r="A7" s="3070" t="s">
        <v>1604</v>
      </c>
      <c r="B7" s="3070"/>
      <c r="C7" s="3070"/>
      <c r="D7" s="3073" t="str">
        <f>结果表!D121</f>
        <v>零元整</v>
      </c>
      <c r="E7" s="3074"/>
      <c r="F7" s="3074"/>
      <c r="G7" s="3074"/>
      <c r="H7" s="3074"/>
      <c r="I7" s="3075"/>
    </row>
    <row r="8" spans="1:9" ht="15.6">
      <c r="A8" s="3072" t="str">
        <f>结果表!A122</f>
        <v>房地产抵押价值</v>
      </c>
      <c r="B8" s="3072"/>
      <c r="C8" s="3072"/>
      <c r="D8" s="3072">
        <f ca="1">结果表!D122</f>
        <v>7038</v>
      </c>
      <c r="E8" s="3072"/>
      <c r="F8" s="3072"/>
      <c r="G8" s="3072"/>
      <c r="H8" s="3072"/>
      <c r="I8" s="3072"/>
    </row>
    <row r="9" spans="1:9" ht="15">
      <c r="A9" s="3070" t="s">
        <v>1604</v>
      </c>
      <c r="B9" s="3070"/>
      <c r="C9" s="3070"/>
      <c r="D9" s="3071" t="str">
        <f ca="1">结果表!D123</f>
        <v>柒仟零叁拾捌万元整</v>
      </c>
      <c r="E9" s="3071"/>
      <c r="F9" s="3071"/>
      <c r="G9" s="3071"/>
      <c r="H9" s="3071"/>
      <c r="I9" s="3071"/>
    </row>
    <row r="10" spans="1:9" ht="15.6">
      <c r="A10" s="3072" t="str">
        <f>结果表!A124</f>
        <v/>
      </c>
      <c r="B10" s="3072"/>
      <c r="C10" s="3072"/>
      <c r="D10" s="3072" t="str">
        <f>结果表!D124</f>
        <v>——</v>
      </c>
      <c r="E10" s="3072"/>
      <c r="F10" s="3072"/>
      <c r="G10" s="3072"/>
      <c r="H10" s="3072"/>
      <c r="I10" s="3072"/>
    </row>
    <row r="11" spans="1:9" ht="15">
      <c r="A11" s="3070" t="s">
        <v>1604</v>
      </c>
      <c r="B11" s="3070"/>
      <c r="C11" s="3070"/>
      <c r="D11" s="3071" t="e">
        <f>结果表!D125</f>
        <v>#VALUE!</v>
      </c>
      <c r="E11" s="3071"/>
      <c r="F11" s="3071"/>
      <c r="G11" s="3071"/>
      <c r="H11" s="3071"/>
      <c r="I11" s="3071"/>
    </row>
    <row r="12" spans="1:9" ht="15.6">
      <c r="A12" s="3072" t="str">
        <f>结果表!A126</f>
        <v>抵押净值</v>
      </c>
      <c r="B12" s="3072"/>
      <c r="C12" s="3072"/>
      <c r="D12" s="3072">
        <f ca="1">结果表!D126</f>
        <v>5622</v>
      </c>
      <c r="E12" s="3072"/>
      <c r="F12" s="3072"/>
      <c r="G12" s="3072"/>
      <c r="H12" s="3072"/>
      <c r="I12" s="3072"/>
    </row>
    <row r="13" spans="1:9" ht="15.6" thickBot="1">
      <c r="A13" s="3076" t="s">
        <v>1604</v>
      </c>
      <c r="B13" s="3076"/>
      <c r="C13" s="3076"/>
      <c r="D13" s="3077" t="str">
        <f ca="1">结果表!D127</f>
        <v>伍仟陆佰贰拾贰万元整</v>
      </c>
      <c r="E13" s="3077"/>
      <c r="F13" s="3077"/>
      <c r="G13" s="3077"/>
      <c r="H13" s="3077"/>
      <c r="I13" s="3077"/>
    </row>
    <row r="14" spans="1:9" ht="14.4" thickTop="1">
      <c r="A14" s="3078" t="s">
        <v>1609</v>
      </c>
      <c r="B14" s="3078"/>
      <c r="C14" s="3078"/>
      <c r="D14" s="3078"/>
      <c r="E14" s="3078"/>
      <c r="F14" s="3078"/>
      <c r="G14" s="3078"/>
      <c r="H14" s="3078"/>
      <c r="I14" s="3078"/>
    </row>
    <row r="16" spans="1:9" ht="17.399999999999999">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3" customWidth="1"/>
    <col min="2" max="3" width="22.33203125" style="1663" customWidth="1"/>
    <col min="4" max="4" width="23" style="1663" customWidth="1"/>
    <col min="5" max="16384" width="9" style="1663"/>
  </cols>
  <sheetData>
    <row r="1" spans="1:4" ht="17.399999999999999">
      <c r="A1" s="3079" t="s">
        <v>1626</v>
      </c>
      <c r="B1" s="3079"/>
      <c r="C1" s="3079"/>
      <c r="D1" s="3079"/>
    </row>
    <row r="2" spans="1:4" ht="17.399999999999999">
      <c r="A2" s="3080" t="s">
        <v>1610</v>
      </c>
      <c r="B2" s="3080"/>
      <c r="C2" s="3080"/>
      <c r="D2" s="3080"/>
    </row>
    <row r="3" spans="1:4" ht="17.399999999999999">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7.399999999999999">
      <c r="A6" s="3080" t="s">
        <v>1616</v>
      </c>
      <c r="B6" s="3080"/>
      <c r="C6" s="3080"/>
      <c r="D6" s="3080"/>
    </row>
    <row r="7" spans="1:4" ht="17.399999999999999">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7.399999999999999">
      <c r="A10" s="1702" t="s">
        <v>1618</v>
      </c>
      <c r="B10" s="684"/>
      <c r="C10" s="684"/>
      <c r="D10" s="684"/>
    </row>
    <row r="11" spans="1:4" ht="30" customHeight="1">
      <c r="A11" s="3081" t="s">
        <v>1619</v>
      </c>
      <c r="B11" s="3082"/>
      <c r="C11" s="3082"/>
      <c r="D11" s="3082"/>
    </row>
    <row r="12" spans="1:4" ht="15.6">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1620</v>
      </c>
      <c r="B16" s="3085"/>
      <c r="C16" s="3085"/>
      <c r="D16" s="3085"/>
    </row>
    <row r="17" spans="1:4" ht="144" customHeight="1">
      <c r="A17" s="3085" t="s">
        <v>1621</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1622</v>
      </c>
      <c r="B22" s="3087"/>
      <c r="C22" s="3087"/>
      <c r="D22" s="3087"/>
    </row>
    <row r="23" spans="1:4">
      <c r="A23" s="1703"/>
      <c r="B23" s="1675"/>
      <c r="C23" s="1675"/>
      <c r="D23" s="1675"/>
    </row>
    <row r="24" spans="1:4">
      <c r="A24" s="1703"/>
      <c r="B24" s="1675"/>
      <c r="C24" s="1675"/>
      <c r="D24" s="1675"/>
    </row>
    <row r="25" spans="1:4" ht="17.399999999999999">
      <c r="A25" s="1704" t="s">
        <v>1623</v>
      </c>
    </row>
    <row r="26" spans="1:4" ht="17.399999999999999">
      <c r="A26" s="1673"/>
    </row>
    <row r="27" spans="1:4" ht="17.399999999999999">
      <c r="A27" s="1673" t="s">
        <v>1624</v>
      </c>
    </row>
    <row r="30" spans="1:4" ht="17.399999999999999">
      <c r="D30" s="1704" t="s">
        <v>1625</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1" customWidth="1"/>
    <col min="3" max="10" width="12.44140625" style="1661" customWidth="1"/>
    <col min="11" max="16384" width="9" style="1661"/>
  </cols>
  <sheetData>
    <row r="1" spans="1:10" ht="17.399999999999999">
      <c r="A1" s="1694" t="s">
        <v>838</v>
      </c>
      <c r="B1" s="1705"/>
      <c r="C1" s="1705"/>
      <c r="D1" s="1705"/>
      <c r="E1" s="1705"/>
      <c r="F1" s="1705"/>
      <c r="G1" s="1705"/>
      <c r="H1" s="1705"/>
      <c r="I1" s="1705"/>
      <c r="J1" s="1705"/>
    </row>
    <row r="2" spans="1:10" ht="17.399999999999999">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1" customWidth="1"/>
    <col min="2" max="16384" width="14.44140625" style="1693"/>
  </cols>
  <sheetData>
    <row r="1" spans="1:7" s="1708" customFormat="1" ht="17.399999999999999">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4.4">
      <c r="A15" s="3093" t="s">
        <v>1633</v>
      </c>
      <c r="B15" s="3088" t="s">
        <v>136</v>
      </c>
      <c r="C15" s="3089"/>
    </row>
    <row r="16" spans="1:7" ht="14.4">
      <c r="A16" s="3094"/>
      <c r="B16" s="3088" t="s">
        <v>69</v>
      </c>
      <c r="C16" s="3089"/>
    </row>
    <row r="17" spans="1:3" ht="14.4">
      <c r="A17" s="3094"/>
      <c r="B17" s="3091" t="s">
        <v>1634</v>
      </c>
      <c r="C17" s="1718" t="s">
        <v>1633</v>
      </c>
    </row>
    <row r="18" spans="1:3" ht="14.4">
      <c r="A18" s="3094"/>
      <c r="B18" s="3091"/>
      <c r="C18" s="1718" t="s">
        <v>1635</v>
      </c>
    </row>
    <row r="19" spans="1:3" ht="14.4">
      <c r="A19" s="3094"/>
      <c r="B19" s="3091"/>
      <c r="C19" s="1718" t="s">
        <v>1636</v>
      </c>
    </row>
    <row r="20" spans="1:3" ht="14.4">
      <c r="A20" s="3095"/>
      <c r="B20" s="3090" t="s">
        <v>1637</v>
      </c>
      <c r="C20" s="3089"/>
    </row>
    <row r="21" spans="1:3" ht="14.4">
      <c r="A21" s="1719" t="s">
        <v>1638</v>
      </c>
      <c r="B21" s="1720"/>
      <c r="C21" s="1721"/>
    </row>
    <row r="22" spans="1:3" ht="14.4">
      <c r="A22" s="3092" t="s">
        <v>1639</v>
      </c>
      <c r="B22" s="3090" t="s">
        <v>1640</v>
      </c>
      <c r="C22" s="3089"/>
    </row>
    <row r="23" spans="1:3" ht="14.4">
      <c r="A23" s="3092"/>
      <c r="B23" s="3090" t="s">
        <v>1641</v>
      </c>
      <c r="C23" s="3089"/>
    </row>
    <row r="24" spans="1:3" ht="14.4">
      <c r="A24" s="3092"/>
      <c r="B24" s="3090" t="s">
        <v>1642</v>
      </c>
      <c r="C24" s="3089"/>
    </row>
    <row r="25" spans="1:3" ht="14.4">
      <c r="A25" s="3092"/>
      <c r="B25" s="3091" t="s">
        <v>1643</v>
      </c>
      <c r="C25" s="1718" t="s">
        <v>1644</v>
      </c>
    </row>
    <row r="26" spans="1:3" ht="14.4">
      <c r="A26" s="3092"/>
      <c r="B26" s="3091"/>
      <c r="C26" s="1718" t="s">
        <v>1645</v>
      </c>
    </row>
    <row r="27" spans="1:3" ht="14.4">
      <c r="A27" s="3092"/>
      <c r="B27" s="3091"/>
      <c r="C27" s="1718" t="s">
        <v>1646</v>
      </c>
    </row>
    <row r="28" spans="1:3" ht="14.4">
      <c r="A28" s="3092"/>
      <c r="B28" s="3091"/>
      <c r="C28" s="1718" t="s">
        <v>1647</v>
      </c>
    </row>
    <row r="29" spans="1:3" ht="14.4">
      <c r="A29" s="3092"/>
      <c r="B29" s="3091"/>
      <c r="C29" s="1718" t="s">
        <v>1648</v>
      </c>
    </row>
    <row r="30" spans="1:3" ht="14.4">
      <c r="A30" s="3092"/>
      <c r="B30" s="3091"/>
      <c r="C30" s="1718" t="s">
        <v>1649</v>
      </c>
    </row>
    <row r="31" spans="1:3" ht="14.4">
      <c r="A31" s="3092"/>
      <c r="B31" s="3091"/>
      <c r="C31" s="1718" t="s">
        <v>1650</v>
      </c>
    </row>
    <row r="32" spans="1:3" ht="14.4">
      <c r="A32" s="3092"/>
      <c r="B32" s="3091"/>
      <c r="C32" s="1718" t="s">
        <v>1651</v>
      </c>
    </row>
    <row r="33" spans="1:3" ht="14.4">
      <c r="A33" s="3092"/>
      <c r="B33" s="3091"/>
      <c r="C33" s="1718" t="s">
        <v>1652</v>
      </c>
    </row>
    <row r="34" spans="1:3">
      <c r="A34" s="1722" t="s">
        <v>76</v>
      </c>
    </row>
    <row r="37" spans="1:3">
      <c r="A37" s="1722" t="s">
        <v>1653</v>
      </c>
    </row>
    <row r="38" spans="1:3" ht="14.4">
      <c r="A38" s="1723" t="s">
        <v>77</v>
      </c>
    </row>
    <row r="39" spans="1:3" ht="14.4">
      <c r="A39" s="1723" t="s">
        <v>78</v>
      </c>
    </row>
    <row r="40" spans="1:3" ht="14.4">
      <c r="A40" s="1723" t="s">
        <v>79</v>
      </c>
    </row>
    <row r="41" spans="1:3" ht="14.4">
      <c r="A41" s="1724" t="s">
        <v>80</v>
      </c>
    </row>
    <row r="42" spans="1:3" ht="14.4">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2879</v>
      </c>
      <c r="B2" s="2560">
        <f ca="1">TODAY()</f>
        <v>44311</v>
      </c>
      <c r="C2" s="2561" t="s">
        <v>2880</v>
      </c>
      <c r="D2" s="2561"/>
      <c r="E2" s="2561"/>
      <c r="F2" s="2557"/>
      <c r="G2" s="2557"/>
      <c r="H2" s="2557"/>
    </row>
    <row r="3" spans="1:8" ht="24" customHeight="1">
      <c r="A3" s="2562" t="s">
        <v>2881</v>
      </c>
      <c r="B3" s="2563" t="s">
        <v>2882</v>
      </c>
      <c r="C3" s="2563" t="s">
        <v>2883</v>
      </c>
      <c r="D3" s="2564" t="s">
        <v>2884</v>
      </c>
      <c r="E3" s="2565" t="s">
        <v>2885</v>
      </c>
      <c r="F3" s="1473" t="s">
        <v>2886</v>
      </c>
      <c r="G3" s="2563" t="s">
        <v>2883</v>
      </c>
      <c r="H3" s="2564" t="s">
        <v>2887</v>
      </c>
    </row>
    <row r="4" spans="1:8" ht="24" customHeight="1">
      <c r="A4" s="1473" t="s">
        <v>2888</v>
      </c>
      <c r="B4" s="1473">
        <f ca="1">IF(C4&lt;B2,"已过期",1119970066)</f>
        <v>1119970066</v>
      </c>
      <c r="C4" s="2566">
        <v>44876</v>
      </c>
      <c r="D4" s="2567" t="str">
        <f ca="1">A4&amp;"（注册号："&amp;B4&amp;"）"</f>
        <v>梁津（注册号：1119970066）</v>
      </c>
      <c r="E4" s="2568" t="s">
        <v>2888</v>
      </c>
      <c r="F4" s="1473">
        <f ca="1">IF(G4&lt;B2,"已过期",96010014)</f>
        <v>96010014</v>
      </c>
      <c r="G4" s="2569">
        <v>47118</v>
      </c>
      <c r="H4" s="2570" t="str">
        <f ca="1">E4&amp;"（注册号："&amp;F4&amp;"）"</f>
        <v>梁津（注册号：96010014）</v>
      </c>
    </row>
    <row r="5" spans="1:8" ht="24" customHeight="1">
      <c r="A5" s="1473" t="s">
        <v>2889</v>
      </c>
      <c r="B5" s="1473">
        <f ca="1">IF(C5&lt;B2,"已过期",1119970111)</f>
        <v>1119970111</v>
      </c>
      <c r="C5" s="2566">
        <v>44876</v>
      </c>
      <c r="D5" s="2567" t="str">
        <f t="shared" ref="D5:D15" ca="1" si="0">A5&amp;"（注册号："&amp;B5&amp;"）"</f>
        <v>叶凌（注册号：1119970111）</v>
      </c>
      <c r="E5" s="2568" t="s">
        <v>2889</v>
      </c>
      <c r="F5" s="1473">
        <f ca="1">IF(G5&lt;B2,"已过期",94010078)</f>
        <v>94010078</v>
      </c>
      <c r="G5" s="2569">
        <v>46387</v>
      </c>
      <c r="H5" s="2570" t="str">
        <f t="shared" ref="H5:H16" ca="1" si="1">E5&amp;"（注册号："&amp;F5&amp;"）"</f>
        <v>叶凌（注册号：94010078）</v>
      </c>
    </row>
    <row r="6" spans="1:8" ht="24" customHeight="1">
      <c r="A6" s="1473" t="s">
        <v>2890</v>
      </c>
      <c r="B6" s="1473">
        <f ca="1">IF(C6&lt;B2,"已过期",1120050019)</f>
        <v>1120050019</v>
      </c>
      <c r="C6" s="2566">
        <v>44395</v>
      </c>
      <c r="D6" s="2567" t="str">
        <f t="shared" ca="1" si="0"/>
        <v>王鹏（注册号：1120050019）</v>
      </c>
      <c r="E6" s="2568" t="s">
        <v>2890</v>
      </c>
      <c r="F6" s="1473">
        <f ca="1">IF(G6&lt;B2,"已过期",2002110030)</f>
        <v>2002110030</v>
      </c>
      <c r="G6" s="2569">
        <v>46387</v>
      </c>
      <c r="H6" s="2570" t="str">
        <f t="shared" ca="1" si="1"/>
        <v>王鹏（注册号：2002110030）</v>
      </c>
    </row>
    <row r="7" spans="1:8" ht="24" customHeight="1">
      <c r="A7" s="1473" t="s">
        <v>2891</v>
      </c>
      <c r="B7" s="1473">
        <f ca="1">IF(C7&lt;B2,"已过期",1120000080)</f>
        <v>1120000080</v>
      </c>
      <c r="C7" s="2566">
        <v>44876</v>
      </c>
      <c r="D7" s="2567" t="str">
        <f t="shared" ca="1" si="0"/>
        <v>欧红伟（注册号：1120000080）</v>
      </c>
      <c r="E7" s="2568" t="s">
        <v>2891</v>
      </c>
      <c r="F7" s="1473">
        <f ca="1">IF(G7&lt;B2,"已过期",2000110082)</f>
        <v>2000110082</v>
      </c>
      <c r="G7" s="2569">
        <v>46387</v>
      </c>
      <c r="H7" s="2570" t="str">
        <f t="shared" ca="1" si="1"/>
        <v>欧红伟（注册号：2000110082）</v>
      </c>
    </row>
    <row r="8" spans="1:8" ht="24" customHeight="1">
      <c r="A8" s="1473" t="s">
        <v>2892</v>
      </c>
      <c r="B8" s="1473">
        <f ca="1">IF(C8&lt;B2,"已过期",1419970001)</f>
        <v>1419970001</v>
      </c>
      <c r="C8" s="2566">
        <v>44899</v>
      </c>
      <c r="D8" s="2567" t="str">
        <f t="shared" ca="1" si="0"/>
        <v>吴薇（注册号：1419970001）</v>
      </c>
      <c r="E8" s="2568" t="s">
        <v>2892</v>
      </c>
      <c r="F8" s="1473">
        <f ca="1">IF(G8&lt;B2,"已过期",2002110125)</f>
        <v>2002110125</v>
      </c>
      <c r="G8" s="2569">
        <v>47118</v>
      </c>
      <c r="H8" s="2570" t="str">
        <f t="shared" ca="1" si="1"/>
        <v>吴薇（注册号：2002110125）</v>
      </c>
    </row>
    <row r="9" spans="1:8" ht="24" customHeight="1">
      <c r="A9" s="1473" t="s">
        <v>2893</v>
      </c>
      <c r="B9" s="1473">
        <f ca="1">IF(C9&lt;B2,"已过期",1120060040)</f>
        <v>1120060040</v>
      </c>
      <c r="C9" s="2571">
        <v>44554</v>
      </c>
      <c r="D9" s="2567" t="str">
        <f t="shared" ca="1" si="0"/>
        <v>陈颖（注册号：1120060040）</v>
      </c>
      <c r="E9" s="2568" t="s">
        <v>2893</v>
      </c>
      <c r="F9" s="1473">
        <f ca="1">IF(G9&lt;B2,"已过期",2004110096)</f>
        <v>2004110096</v>
      </c>
      <c r="G9" s="2569">
        <v>47118</v>
      </c>
      <c r="H9" s="2570" t="str">
        <f t="shared" ca="1" si="1"/>
        <v>陈颖（注册号：2004110096）</v>
      </c>
    </row>
    <row r="10" spans="1:8" ht="24" customHeight="1">
      <c r="A10" s="1473" t="s">
        <v>2894</v>
      </c>
      <c r="B10" s="1473">
        <f ca="1">IF(C10&lt;B2,"已过期",1120100036)</f>
        <v>1120100036</v>
      </c>
      <c r="C10" s="2571">
        <v>44675</v>
      </c>
      <c r="D10" s="2567" t="str">
        <f t="shared" ca="1" si="0"/>
        <v>崔锴（注册号：1120100036）</v>
      </c>
      <c r="E10" s="2568" t="s">
        <v>2894</v>
      </c>
      <c r="F10" s="1473">
        <f ca="1">IF(G10&lt;B2,"已过期",2010110070)</f>
        <v>2010110070</v>
      </c>
      <c r="G10" s="2569">
        <v>47907</v>
      </c>
      <c r="H10" s="2570" t="str">
        <f t="shared" ca="1" si="1"/>
        <v>崔锴（注册号：2010110070）</v>
      </c>
    </row>
    <row r="11" spans="1:8" ht="24" customHeight="1">
      <c r="A11" s="1473" t="s">
        <v>2895</v>
      </c>
      <c r="B11" s="1473">
        <f ca="1">IF(C11&lt;B2,"已过期",1120070131)</f>
        <v>1120070131</v>
      </c>
      <c r="C11" s="2566">
        <v>44849</v>
      </c>
      <c r="D11" s="2567" t="str">
        <f t="shared" ca="1" si="0"/>
        <v>郑燚（注册号：1120070131）</v>
      </c>
      <c r="E11" s="2568" t="s">
        <v>2895</v>
      </c>
      <c r="F11" s="1473">
        <f ca="1">IF(G11&lt;B2,"已过期",2014110011)</f>
        <v>2014110011</v>
      </c>
      <c r="G11" s="2569">
        <v>49302</v>
      </c>
      <c r="H11" s="2570" t="str">
        <f t="shared" ca="1" si="1"/>
        <v>郑燚（注册号：2014110011）</v>
      </c>
    </row>
    <row r="12" spans="1:8" ht="24" customHeight="1">
      <c r="A12" s="1473" t="s">
        <v>2896</v>
      </c>
      <c r="B12" s="1473">
        <f ca="1">IF(C12&lt;B2,"已过期",1120040230)</f>
        <v>1120040230</v>
      </c>
      <c r="C12" s="2571">
        <v>44864</v>
      </c>
      <c r="D12" s="2567" t="str">
        <f t="shared" ca="1" si="0"/>
        <v>苏海（注册号：1120040230）</v>
      </c>
      <c r="E12" s="2568" t="s">
        <v>2896</v>
      </c>
      <c r="F12" s="1473">
        <f ca="1">IF(G12&lt;B2,"已过期",98030020)</f>
        <v>98030020</v>
      </c>
      <c r="G12" s="2569">
        <v>47118</v>
      </c>
      <c r="H12" s="2570" t="str">
        <f t="shared" ca="1" si="1"/>
        <v>苏海（注册号：98030020）</v>
      </c>
    </row>
    <row r="13" spans="1:8" ht="24" customHeight="1">
      <c r="A13" s="1473" t="s">
        <v>2897</v>
      </c>
      <c r="B13" s="1473">
        <f ca="1">IF(C13&lt;B2,"已过期",1120020033)</f>
        <v>1120020033</v>
      </c>
      <c r="C13" s="2566">
        <v>44339</v>
      </c>
      <c r="D13" s="2567" t="str">
        <f t="shared" ca="1" si="0"/>
        <v>刘敬东（注册号：1120020033）</v>
      </c>
      <c r="E13" s="2568" t="s">
        <v>2897</v>
      </c>
      <c r="F13" s="1473">
        <f ca="1">IF(G13&lt;B2,"已过期",2000110137)</f>
        <v>2000110137</v>
      </c>
      <c r="G13" s="2569">
        <v>46387</v>
      </c>
      <c r="H13" s="2570" t="str">
        <f t="shared" ca="1" si="1"/>
        <v>刘敬东（注册号：2000110137）</v>
      </c>
    </row>
    <row r="14" spans="1:8" ht="24" customHeight="1">
      <c r="A14" s="1473" t="s">
        <v>2898</v>
      </c>
      <c r="B14" s="1473">
        <f ca="1">IF(C14&lt;B2,"已过期",1119980106)</f>
        <v>1119980106</v>
      </c>
      <c r="C14" s="2571">
        <v>44969</v>
      </c>
      <c r="D14" s="2567" t="str">
        <f t="shared" ca="1" si="0"/>
        <v>刘俊财（注册号：1119980106）</v>
      </c>
      <c r="E14" s="2568" t="s">
        <v>2898</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2899</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4"/>
      <c r="E18" s="3098" t="s">
        <v>2902</v>
      </c>
      <c r="F18" s="3097"/>
      <c r="G18" s="3097"/>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2021-04-25T01:55:10Z</dcterms:modified>
</cp:coreProperties>
</file>