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1" sheetId="78" r:id="rId14"/>
    <sheet name="面积表-2" sheetId="79"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比较法-住宅" sheetId="21" state="hidden" r:id="rId24"/>
    <sheet name="比较法-商业" sheetId="33" r:id="rId25"/>
    <sheet name="比较法-办公" sheetId="34" state="hidden" r:id="rId26"/>
    <sheet name="比较法-车位" sheetId="35" state="hidden" r:id="rId27"/>
    <sheet name="收益法（汇总）" sheetId="70" state="hidden" r:id="rId28"/>
    <sheet name="收益法" sheetId="15" r:id="rId29"/>
    <sheet name="收益法 (元)" sheetId="67" state="hidden" r:id="rId30"/>
    <sheet name="酒店收入计算" sheetId="66"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链接报告" sheetId="80" r:id="rId47"/>
    <sheet name="Sheet1" sheetId="82" r:id="rId48"/>
    <sheet name="Sheet2" sheetId="83" r:id="rId49"/>
  </sheets>
  <externalReferences>
    <externalReference r:id="rId50"/>
  </externalReferences>
  <definedNames>
    <definedName name="_xlnm._FilterDatabase" localSheetId="25" hidden="1">'比较法-办公'!$A$1:$L$50</definedName>
    <definedName name="_xlnm._FilterDatabase" localSheetId="32" hidden="1">'比较法-仓储'!$A$1:$L$37</definedName>
    <definedName name="_xlnm._FilterDatabase" localSheetId="26" hidden="1">'比较法-车位'!$A$1:$L$39</definedName>
    <definedName name="_xlnm._FilterDatabase" localSheetId="31"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4" i="78" l="1"/>
  <c r="E23" i="79" l="1"/>
  <c r="B30" i="31"/>
  <c r="B31" i="31"/>
  <c r="B32" i="31"/>
  <c r="B33" i="31"/>
  <c r="B34" i="31"/>
  <c r="B35" i="31"/>
  <c r="B36" i="31"/>
  <c r="B37" i="31"/>
  <c r="B38" i="31"/>
  <c r="B39" i="31"/>
  <c r="B40" i="31"/>
  <c r="B41" i="31"/>
  <c r="B42" i="31"/>
  <c r="B43" i="31"/>
  <c r="B44" i="31"/>
  <c r="B45" i="31"/>
  <c r="B46" i="31"/>
  <c r="B47" i="31"/>
  <c r="B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29" i="31"/>
  <c r="J1" i="80" l="1"/>
  <c r="I1" i="80"/>
  <c r="D18" i="31"/>
  <c r="E18" i="31"/>
  <c r="E1" i="80"/>
  <c r="H3" i="80"/>
  <c r="H4" i="80"/>
  <c r="H5" i="80"/>
  <c r="H6" i="80"/>
  <c r="H2" i="80"/>
  <c r="H26" i="80" l="1"/>
  <c r="E22" i="79"/>
  <c r="E47" i="33" l="1"/>
  <c r="C19" i="6" l="1"/>
  <c r="B26" i="31"/>
  <c r="B27" i="31"/>
  <c r="B28" i="31"/>
  <c r="B25" i="31"/>
  <c r="I13" i="3"/>
  <c r="E8" i="78"/>
  <c r="F19" i="6" l="1"/>
  <c r="B5" i="4" l="1"/>
  <c r="B7" i="4"/>
  <c r="Y6" i="1"/>
  <c r="D7" i="71" l="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L13" i="3" s="1"/>
  <c r="AZ13" i="3" s="1"/>
  <c r="BO13" i="3"/>
  <c r="BP13" i="3"/>
  <c r="BQ13" i="3"/>
  <c r="BR13" i="3"/>
  <c r="BS13" i="3"/>
  <c r="BT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A16" i="3" s="1"/>
  <c r="AZ16" i="3" s="1"/>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s="1"/>
  <c r="N6" i="71"/>
  <c r="N7" i="71"/>
  <c r="N8" i="71"/>
  <c r="N9" i="71"/>
  <c r="N10" i="71"/>
  <c r="N11" i="71"/>
  <c r="N12" i="71"/>
  <c r="N13" i="71"/>
  <c r="N14" i="71"/>
  <c r="N15" i="71"/>
  <c r="N16" i="71"/>
  <c r="N17" i="71"/>
  <c r="N18" i="71"/>
  <c r="N19" i="71"/>
  <c r="N20" i="71"/>
  <c r="N21" i="71"/>
  <c r="X5" i="71"/>
  <c r="Q6" i="71"/>
  <c r="Q7" i="71"/>
  <c r="AB5" i="71" s="1"/>
  <c r="Q8" i="71"/>
  <c r="Q9" i="71"/>
  <c r="Q10" i="71"/>
  <c r="Q11" i="71"/>
  <c r="Q12" i="71"/>
  <c r="Q13" i="71"/>
  <c r="Q14" i="71"/>
  <c r="Q15" i="71"/>
  <c r="Q16" i="71"/>
  <c r="Q17" i="71"/>
  <c r="Q18" i="71"/>
  <c r="Q19" i="71"/>
  <c r="Q20" i="71"/>
  <c r="Q21" i="71"/>
  <c r="P6" i="71"/>
  <c r="E6" i="71" s="1"/>
  <c r="P7" i="71"/>
  <c r="P8" i="71"/>
  <c r="P9" i="71"/>
  <c r="P10" i="71"/>
  <c r="E10" i="71" s="1"/>
  <c r="P11" i="71"/>
  <c r="P12" i="71"/>
  <c r="P13" i="71"/>
  <c r="P14" i="71"/>
  <c r="P15" i="71"/>
  <c r="P16" i="71"/>
  <c r="P17" i="71"/>
  <c r="P18" i="71"/>
  <c r="P19" i="71"/>
  <c r="P20" i="71"/>
  <c r="P21" i="71"/>
  <c r="AA5" i="71"/>
  <c r="O6" i="71"/>
  <c r="O7" i="71"/>
  <c r="Y5" i="71" s="1"/>
  <c r="Z5" i="71" s="1"/>
  <c r="O8" i="71"/>
  <c r="O9" i="71"/>
  <c r="O10" i="71"/>
  <c r="O11" i="71"/>
  <c r="C12" i="71" s="1"/>
  <c r="O12" i="71"/>
  <c r="O13" i="71"/>
  <c r="O14" i="71"/>
  <c r="O15" i="71"/>
  <c r="C16" i="71" s="1"/>
  <c r="O16" i="71"/>
  <c r="O17" i="71"/>
  <c r="O18" i="71"/>
  <c r="O19" i="71"/>
  <c r="C20" i="71" s="1"/>
  <c r="O20" i="71"/>
  <c r="O21" i="71"/>
  <c r="C6" i="71"/>
  <c r="T6" i="71"/>
  <c r="F6" i="71"/>
  <c r="F5" i="71"/>
  <c r="B6" i="71"/>
  <c r="S6" i="71" s="1"/>
  <c r="B5" i="71"/>
  <c r="D6" i="71"/>
  <c r="U6" i="71"/>
  <c r="C5" i="71"/>
  <c r="D5" i="71"/>
  <c r="Y6" i="71"/>
  <c r="Z6" i="71" s="1"/>
  <c r="X6" i="71"/>
  <c r="A2" i="53"/>
  <c r="B2" i="1"/>
  <c r="B10" i="71"/>
  <c r="B9" i="71" s="1"/>
  <c r="B8" i="71" s="1"/>
  <c r="C10" i="71"/>
  <c r="C9" i="71"/>
  <c r="C8" i="71" s="1"/>
  <c r="D8" i="71" s="1"/>
  <c r="F10" i="71"/>
  <c r="F9" i="71" s="1"/>
  <c r="F8" i="71" s="1"/>
  <c r="D10" i="71"/>
  <c r="D11" i="71"/>
  <c r="B12" i="71"/>
  <c r="B13" i="71" s="1"/>
  <c r="B14" i="71" s="1"/>
  <c r="S14" i="71" s="1"/>
  <c r="E12" i="71"/>
  <c r="F12" i="71"/>
  <c r="F13" i="71" s="1"/>
  <c r="F14" i="71" s="1"/>
  <c r="V14" i="71" s="1"/>
  <c r="E13" i="71"/>
  <c r="E14" i="71" s="1"/>
  <c r="U14" i="71" s="1"/>
  <c r="D15" i="71"/>
  <c r="B16" i="71"/>
  <c r="B17" i="71" s="1"/>
  <c r="B18" i="71" s="1"/>
  <c r="S18" i="71" s="1"/>
  <c r="E16" i="71"/>
  <c r="F16" i="71"/>
  <c r="F17" i="71" s="1"/>
  <c r="F18" i="71" s="1"/>
  <c r="V18" i="71" s="1"/>
  <c r="E17" i="71"/>
  <c r="E18" i="71" s="1"/>
  <c r="U18" i="71" s="1"/>
  <c r="D19" i="71"/>
  <c r="B20" i="71"/>
  <c r="B21" i="71" s="1"/>
  <c r="B22" i="71" s="1"/>
  <c r="S22" i="71" s="1"/>
  <c r="E20" i="71"/>
  <c r="F20" i="71"/>
  <c r="F21" i="71" s="1"/>
  <c r="F22" i="71" s="1"/>
  <c r="V22"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T50" i="71" s="1"/>
  <c r="B50" i="71"/>
  <c r="S50" i="71"/>
  <c r="B49" i="71"/>
  <c r="B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s="1"/>
  <c r="Q35" i="71"/>
  <c r="F36" i="71" s="1"/>
  <c r="F37" i="71" s="1"/>
  <c r="F38" i="71" s="1"/>
  <c r="V38" i="71" s="1"/>
  <c r="P35" i="71"/>
  <c r="E36" i="7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s="1"/>
  <c r="B26" i="71" s="1"/>
  <c r="S26" i="71" s="1"/>
  <c r="D23" i="71"/>
  <c r="Q22" i="71"/>
  <c r="P22" i="71"/>
  <c r="O22" i="71"/>
  <c r="N22" i="71"/>
  <c r="AB21" i="71"/>
  <c r="AA21" i="71"/>
  <c r="Y21" i="71"/>
  <c r="Z21" i="71" s="1"/>
  <c r="X21" i="71"/>
  <c r="AB20" i="71"/>
  <c r="Y20" i="71"/>
  <c r="Z20" i="71" s="1"/>
  <c r="AB18" i="71"/>
  <c r="Y18" i="71"/>
  <c r="Z18" i="71" s="1"/>
  <c r="AB17" i="71"/>
  <c r="Y17" i="71"/>
  <c r="Z17" i="71"/>
  <c r="AB16" i="71"/>
  <c r="Y16" i="71"/>
  <c r="Z16" i="71" s="1"/>
  <c r="AB14" i="71"/>
  <c r="Y14" i="71"/>
  <c r="Z14" i="71" s="1"/>
  <c r="AB13" i="71"/>
  <c r="Y13" i="71"/>
  <c r="Z13" i="71"/>
  <c r="AB12" i="71"/>
  <c r="Y12" i="71"/>
  <c r="Z12" i="71" s="1"/>
  <c r="X11" i="71"/>
  <c r="AA11" i="71"/>
  <c r="X15" i="71"/>
  <c r="X19" i="71"/>
  <c r="AA19" i="71"/>
  <c r="N50"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Y3" i="71"/>
  <c r="Z3" i="71" s="1"/>
  <c r="Y7" i="71"/>
  <c r="Z7" i="71" s="1"/>
  <c r="Y8" i="71"/>
  <c r="Z8" i="71" s="1"/>
  <c r="Y9" i="71"/>
  <c r="Z9" i="71" s="1"/>
  <c r="Y10" i="71"/>
  <c r="Z10" i="71" s="1"/>
  <c r="X7" i="71"/>
  <c r="X8" i="71"/>
  <c r="X9" i="71"/>
  <c r="X3" i="71"/>
  <c r="X10" i="71"/>
  <c r="E37" i="71"/>
  <c r="E38" i="71" s="1"/>
  <c r="U38" i="71" s="1"/>
  <c r="E45" i="71"/>
  <c r="E46" i="71" s="1"/>
  <c r="U46" i="71" s="1"/>
  <c r="U50" i="71"/>
  <c r="C45" i="71"/>
  <c r="D45" i="71" s="1"/>
  <c r="N49" i="71"/>
  <c r="O50" i="71"/>
  <c r="C49" i="71"/>
  <c r="C48" i="71" s="1"/>
  <c r="C53" i="71"/>
  <c r="C52" i="71" s="1"/>
  <c r="D52" i="71" s="1"/>
  <c r="E53" i="71"/>
  <c r="E52" i="71"/>
  <c r="D54" i="71"/>
  <c r="C57" i="71"/>
  <c r="D57" i="71" s="1"/>
  <c r="C61" i="71"/>
  <c r="D61" i="71" s="1"/>
  <c r="E61" i="71"/>
  <c r="E60" i="71"/>
  <c r="D62" i="71"/>
  <c r="C65" i="71"/>
  <c r="C64" i="71" s="1"/>
  <c r="D64" i="71" s="1"/>
  <c r="C69" i="71"/>
  <c r="T10" i="71"/>
  <c r="S10" i="71"/>
  <c r="AB3" i="71"/>
  <c r="AB7" i="71"/>
  <c r="AB8" i="71"/>
  <c r="AB9" i="71"/>
  <c r="AB10" i="71"/>
  <c r="AA3" i="71"/>
  <c r="AA7" i="71"/>
  <c r="AA8" i="71"/>
  <c r="AA9" i="71"/>
  <c r="AA10" i="71"/>
  <c r="U10" i="71"/>
  <c r="O49" i="71"/>
  <c r="C46" i="71"/>
  <c r="D46" i="71" s="1"/>
  <c r="D65" i="71"/>
  <c r="C56" i="71"/>
  <c r="D56" i="71" s="1"/>
  <c r="D69" i="71"/>
  <c r="C68" i="71"/>
  <c r="D68" i="71"/>
  <c r="C60" i="71"/>
  <c r="D60" i="71" s="1"/>
  <c r="D53"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U25" i="40" s="1"/>
  <c r="G94" i="40"/>
  <c r="J25" i="40"/>
  <c r="W25" i="40" s="1"/>
  <c r="F103" i="39"/>
  <c r="H29" i="39"/>
  <c r="U29" i="39" s="1"/>
  <c r="G103" i="39"/>
  <c r="J29" i="39"/>
  <c r="W29" i="39" s="1"/>
  <c r="J18" i="36"/>
  <c r="AC18" i="36" s="1"/>
  <c r="F68" i="35"/>
  <c r="H18" i="35"/>
  <c r="U18" i="35" s="1"/>
  <c r="S18" i="35"/>
  <c r="G68" i="35"/>
  <c r="J18" i="35"/>
  <c r="H21" i="37"/>
  <c r="F21" i="37"/>
  <c r="AA21" i="37" s="1"/>
  <c r="F84" i="34"/>
  <c r="H21" i="34"/>
  <c r="AB21" i="34" s="1"/>
  <c r="H21" i="33"/>
  <c r="U21" i="33" s="1"/>
  <c r="F21" i="33"/>
  <c r="AA21" i="33" s="1"/>
  <c r="E83" i="21"/>
  <c r="S21" i="21"/>
  <c r="H1" i="69"/>
  <c r="AC25" i="40"/>
  <c r="AB25" i="40"/>
  <c r="AB29" i="39"/>
  <c r="W18" i="36"/>
  <c r="AB21" i="37"/>
  <c r="U21" i="37"/>
  <c r="S21" i="37"/>
  <c r="U21" i="34"/>
  <c r="AB18" i="35"/>
  <c r="AC18" i="35"/>
  <c r="W18" i="35"/>
  <c r="J21" i="37"/>
  <c r="G84" i="34"/>
  <c r="J21" i="34"/>
  <c r="J21" i="33"/>
  <c r="W21" i="33" s="1"/>
  <c r="F83" i="21"/>
  <c r="H21" i="21"/>
  <c r="AB21" i="21" s="1"/>
  <c r="F38" i="69"/>
  <c r="E37" i="69"/>
  <c r="F36" i="69"/>
  <c r="F35" i="69"/>
  <c r="F21" i="69"/>
  <c r="C21" i="69" s="1"/>
  <c r="F20" i="69"/>
  <c r="E10" i="69"/>
  <c r="E9" i="69"/>
  <c r="F7" i="69"/>
  <c r="C7" i="69" s="1"/>
  <c r="AC21" i="37"/>
  <c r="W21" i="37"/>
  <c r="AC21" i="34"/>
  <c r="W21" i="34"/>
  <c r="AC21" i="33"/>
  <c r="U21" i="21"/>
  <c r="G83" i="21"/>
  <c r="J21" i="21"/>
  <c r="W21" i="21" s="1"/>
  <c r="C40" i="69"/>
  <c r="F38" i="68"/>
  <c r="E37" i="68"/>
  <c r="F36" i="68"/>
  <c r="F35" i="68"/>
  <c r="F21" i="68"/>
  <c r="C21" i="68" s="1"/>
  <c r="F20" i="68"/>
  <c r="E10" i="68"/>
  <c r="E9" i="68"/>
  <c r="F7" i="68"/>
  <c r="C7" i="68"/>
  <c r="AC21" i="21"/>
  <c r="Q72" i="67"/>
  <c r="Q59" i="67"/>
  <c r="Q58" i="67"/>
  <c r="Q51" i="67"/>
  <c r="J50" i="67"/>
  <c r="M47" i="67"/>
  <c r="D46" i="67"/>
  <c r="F33" i="67"/>
  <c r="F61" i="67" s="1"/>
  <c r="F23" i="67"/>
  <c r="D24" i="67"/>
  <c r="F21" i="67"/>
  <c r="F20" i="67"/>
  <c r="M19" i="67"/>
  <c r="F18" i="67"/>
  <c r="F17" i="67"/>
  <c r="F15" i="67"/>
  <c r="D22"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R259" i="31"/>
  <c r="S259" i="31" s="1"/>
  <c r="R260" i="31"/>
  <c r="R261" i="31"/>
  <c r="S261" i="31" s="1"/>
  <c r="R262" i="31"/>
  <c r="R263" i="31"/>
  <c r="S263" i="31" s="1"/>
  <c r="R264" i="31"/>
  <c r="S264" i="31" s="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S296" i="31" s="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Q25"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G22" i="69" s="1"/>
  <c r="B23" i="1"/>
  <c r="B24" i="1"/>
  <c r="F34" i="11" s="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6" i="31"/>
  <c r="S354" i="31"/>
  <c r="S350" i="31"/>
  <c r="S348" i="31"/>
  <c r="S346" i="31"/>
  <c r="S342" i="31"/>
  <c r="S340" i="31"/>
  <c r="S338" i="31"/>
  <c r="S334" i="31"/>
  <c r="S332" i="31"/>
  <c r="S330" i="31"/>
  <c r="S326" i="31"/>
  <c r="S324" i="31"/>
  <c r="S322" i="31"/>
  <c r="S320" i="31"/>
  <c r="S318" i="31"/>
  <c r="S316" i="31"/>
  <c r="S310" i="31"/>
  <c r="S308" i="31"/>
  <c r="S304" i="31"/>
  <c r="S302" i="31"/>
  <c r="S300" i="31"/>
  <c r="S294" i="31"/>
  <c r="S292" i="31"/>
  <c r="S288" i="31"/>
  <c r="S286" i="31"/>
  <c r="S284" i="31"/>
  <c r="S278" i="31"/>
  <c r="S276" i="31"/>
  <c r="S272" i="31"/>
  <c r="S270" i="31"/>
  <c r="S268" i="31"/>
  <c r="S262" i="31"/>
  <c r="S260" i="31"/>
  <c r="S258" i="31"/>
  <c r="S256" i="31"/>
  <c r="S253" i="31"/>
  <c r="S251" i="31"/>
  <c r="S249" i="31"/>
  <c r="S247" i="31"/>
  <c r="S245" i="31"/>
  <c r="S243" i="31"/>
  <c r="S241" i="31"/>
  <c r="S239" i="31"/>
  <c r="S237" i="31"/>
  <c r="S235" i="31"/>
  <c r="S233" i="31"/>
  <c r="S231" i="31"/>
  <c r="S229" i="31"/>
  <c r="S227" i="31"/>
  <c r="S225"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c r="Q31" i="33"/>
  <c r="Z31" i="33"/>
  <c r="Q30" i="33"/>
  <c r="Z30" i="33"/>
  <c r="Q29" i="33"/>
  <c r="Z29" i="33"/>
  <c r="Q28" i="33"/>
  <c r="Z28" i="33"/>
  <c r="Q27" i="33"/>
  <c r="Z27" i="33"/>
  <c r="Q26" i="33"/>
  <c r="Z26" i="33"/>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c r="E101" i="39"/>
  <c r="H19" i="39"/>
  <c r="AB19" i="39" s="1"/>
  <c r="F19" i="39"/>
  <c r="AA19" i="39"/>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c r="J17" i="39"/>
  <c r="J27" i="39"/>
  <c r="AC27" i="39" s="1"/>
  <c r="F27" i="39"/>
  <c r="F11" i="21"/>
  <c r="S11" i="21" s="1"/>
  <c r="S40" i="21"/>
  <c r="U34" i="21"/>
  <c r="S34" i="21"/>
  <c r="C25" i="39"/>
  <c r="C27" i="39"/>
  <c r="C21" i="39"/>
  <c r="H11" i="39"/>
  <c r="C15" i="39"/>
  <c r="H32" i="33"/>
  <c r="AB32" i="33" s="1"/>
  <c r="H11" i="21"/>
  <c r="U11" i="21"/>
  <c r="J11" i="21"/>
  <c r="W11" i="21"/>
  <c r="H37" i="40"/>
  <c r="U37" i="40"/>
  <c r="H36" i="40"/>
  <c r="AB36" i="40"/>
  <c r="F35" i="40"/>
  <c r="AA35" i="40"/>
  <c r="H23" i="40"/>
  <c r="AB23" i="40"/>
  <c r="H17" i="40"/>
  <c r="U17" i="40" s="1"/>
  <c r="J15" i="40"/>
  <c r="W15" i="40" s="1"/>
  <c r="J11" i="40"/>
  <c r="W11" i="40" s="1"/>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c r="H29" i="33"/>
  <c r="U29" i="33"/>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AB11" i="36"/>
  <c r="J10" i="36"/>
  <c r="AC10" i="36" s="1"/>
  <c r="AB30" i="21"/>
  <c r="AA14" i="37"/>
  <c r="W31" i="34"/>
  <c r="W13" i="36"/>
  <c r="W11" i="36"/>
  <c r="AB46" i="34"/>
  <c r="AA14" i="34"/>
  <c r="AB45"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H25" i="21"/>
  <c r="U25" i="21"/>
  <c r="F25" i="21"/>
  <c r="S25" i="21"/>
  <c r="J25" i="21"/>
  <c r="AC25" i="21"/>
  <c r="E125" i="33"/>
  <c r="F125" i="33"/>
  <c r="H43" i="33"/>
  <c r="AB43"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U12" i="37"/>
  <c r="AT6" i="3"/>
  <c r="H5" i="3"/>
  <c r="AA25" i="21"/>
  <c r="C12" i="43"/>
  <c r="H19" i="40"/>
  <c r="U19" i="40"/>
  <c r="F88" i="40"/>
  <c r="G88" i="40"/>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36" i="43"/>
  <c r="F81" i="43"/>
  <c r="H83" i="43" s="1"/>
  <c r="H113" i="43"/>
  <c r="F48" i="43"/>
  <c r="H52" i="43"/>
  <c r="N7" i="43"/>
  <c r="F70" i="43"/>
  <c r="H73" i="43" s="1"/>
  <c r="M6" i="43"/>
  <c r="M11" i="43"/>
  <c r="E17" i="43"/>
  <c r="F39" i="43"/>
  <c r="I17" i="43"/>
  <c r="F35" i="43"/>
  <c r="J17" i="43"/>
  <c r="F6" i="1"/>
  <c r="S14" i="35"/>
  <c r="U43" i="21"/>
  <c r="U35" i="21"/>
  <c r="AC35" i="21"/>
  <c r="U10" i="21"/>
  <c r="G8" i="1"/>
  <c r="G9" i="1"/>
  <c r="G10" i="1"/>
  <c r="F48" i="9"/>
  <c r="O52" i="9"/>
  <c r="W37" i="37"/>
  <c r="W44" i="34"/>
  <c r="AC44" i="34"/>
  <c r="S15" i="37"/>
  <c r="U13" i="37"/>
  <c r="U12" i="40"/>
  <c r="AA12" i="40"/>
  <c r="J37" i="33"/>
  <c r="W37" i="33" s="1"/>
  <c r="AC17" i="34"/>
  <c r="J34" i="33"/>
  <c r="W34" i="33" s="1"/>
  <c r="F33" i="34"/>
  <c r="S33" i="34"/>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C40" i="11"/>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c r="P9" i="1"/>
  <c r="AE9" i="1"/>
  <c r="D93" i="9"/>
  <c r="E12" i="6"/>
  <c r="E15" i="6"/>
  <c r="K6" i="1"/>
  <c r="B29" i="1" s="1"/>
  <c r="C8" i="68" s="1"/>
  <c r="E13" i="6"/>
  <c r="E58" i="40"/>
  <c r="G29" i="6"/>
  <c r="W27" i="34"/>
  <c r="AC27" i="34"/>
  <c r="AB34" i="36"/>
  <c r="U34" i="36"/>
  <c r="AB33" i="36"/>
  <c r="U33" i="36"/>
  <c r="AC12" i="39"/>
  <c r="W12" i="39"/>
  <c r="AC39" i="40"/>
  <c r="W39" i="40"/>
  <c r="B113" i="43"/>
  <c r="I117" i="43" s="1"/>
  <c r="J117" i="43" s="1"/>
  <c r="K117" i="43" s="1"/>
  <c r="L117" i="43" s="1"/>
  <c r="W12" i="33"/>
  <c r="AC12" i="33"/>
  <c r="AA32" i="36"/>
  <c r="S32" i="36"/>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S21" i="39" s="1"/>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U41" i="33" s="1"/>
  <c r="U42" i="33"/>
  <c r="S42" i="33"/>
  <c r="J35" i="33"/>
  <c r="W35" i="33" s="1"/>
  <c r="S37" i="33"/>
  <c r="AA37" i="33"/>
  <c r="S39" i="33"/>
  <c r="J32" i="33"/>
  <c r="AC32" i="33" s="1"/>
  <c r="S46" i="33"/>
  <c r="W43" i="33"/>
  <c r="S43" i="33"/>
  <c r="H25" i="33"/>
  <c r="AB25" i="33" s="1"/>
  <c r="F25" i="33"/>
  <c r="S25" i="33" s="1"/>
  <c r="J23" i="33"/>
  <c r="W23" i="33" s="1"/>
  <c r="H23" i="33"/>
  <c r="U23" i="33" s="1"/>
  <c r="F19" i="33"/>
  <c r="S19" i="33" s="1"/>
  <c r="W19" i="33"/>
  <c r="J17" i="33"/>
  <c r="AC17" i="33" s="1"/>
  <c r="S15" i="33"/>
  <c r="W15" i="33"/>
  <c r="U9" i="33"/>
  <c r="J10" i="33"/>
  <c r="W10" i="33" s="1"/>
  <c r="H10" i="33"/>
  <c r="U10" i="33" s="1"/>
  <c r="AA10"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E10" i="6"/>
  <c r="E11" i="6"/>
  <c r="E61" i="39"/>
  <c r="A24" i="51"/>
  <c r="B18" i="72" s="1"/>
  <c r="U29" i="34"/>
  <c r="E14" i="6"/>
  <c r="E64" i="39" s="1"/>
  <c r="E5" i="6"/>
  <c r="I115" i="43"/>
  <c r="J115" i="43" s="1"/>
  <c r="K115" i="43" s="1"/>
  <c r="L115" i="43" s="1"/>
  <c r="M115" i="43" s="1"/>
  <c r="P10" i="1"/>
  <c r="E32" i="6"/>
  <c r="L19" i="6"/>
  <c r="G1" i="68"/>
  <c r="K1" i="12"/>
  <c r="C107" i="43"/>
  <c r="B116" i="43"/>
  <c r="C116" i="43" s="1"/>
  <c r="M117" i="43"/>
  <c r="E57" i="40"/>
  <c r="B117" i="43"/>
  <c r="C117" i="43" s="1"/>
  <c r="S2" i="43"/>
  <c r="E56" i="40"/>
  <c r="E19" i="69"/>
  <c r="E19" i="68"/>
  <c r="E19" i="11"/>
  <c r="E1" i="73"/>
  <c r="G41" i="69"/>
  <c r="G41" i="68"/>
  <c r="G27" i="12"/>
  <c r="G41" i="11"/>
  <c r="G25" i="12"/>
  <c r="C109" i="43"/>
  <c r="C100" i="43"/>
  <c r="E11" i="43"/>
  <c r="E10" i="43"/>
  <c r="E9" i="43"/>
  <c r="E8" i="43"/>
  <c r="C7" i="43"/>
  <c r="E81" i="43"/>
  <c r="B79" i="43"/>
  <c r="AD11" i="43"/>
  <c r="AD13" i="43" s="1"/>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M47" i="9"/>
  <c r="C46" i="36"/>
  <c r="D46" i="36" s="1"/>
  <c r="C59" i="34"/>
  <c r="D59" i="34" s="1"/>
  <c r="E59" i="34" s="1"/>
  <c r="F59" i="34" s="1"/>
  <c r="C52" i="37"/>
  <c r="D52" i="37" s="1"/>
  <c r="E52" i="37" s="1"/>
  <c r="F52" i="37" s="1"/>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s="1"/>
  <c r="F30" i="11"/>
  <c r="C48" i="11" s="1"/>
  <c r="F28" i="67"/>
  <c r="C28" i="67" s="1"/>
  <c r="F31" i="12"/>
  <c r="F52" i="9"/>
  <c r="C31" i="12"/>
  <c r="M18" i="67"/>
  <c r="F32" i="67"/>
  <c r="F60" i="67" s="1"/>
  <c r="F30" i="69"/>
  <c r="C48" i="69" s="1"/>
  <c r="F32" i="15"/>
  <c r="F60" i="15" s="1"/>
  <c r="M18" i="15"/>
  <c r="F28" i="15"/>
  <c r="E63" i="39"/>
  <c r="T11" i="1"/>
  <c r="D19" i="12"/>
  <c r="C19" i="12" s="1"/>
  <c r="AQ9" i="1"/>
  <c r="AR11" i="1"/>
  <c r="E59" i="40"/>
  <c r="D68" i="39"/>
  <c r="D70" i="39" s="1"/>
  <c r="C28" i="15"/>
  <c r="T9" i="1"/>
  <c r="T13" i="1"/>
  <c r="C48" i="68"/>
  <c r="C77" i="9"/>
  <c r="C74" i="9" s="1"/>
  <c r="C30" i="69"/>
  <c r="D9" i="68"/>
  <c r="C9" i="68" s="1"/>
  <c r="S7" i="1"/>
  <c r="E7" i="70"/>
  <c r="C24" i="12"/>
  <c r="AA39" i="40"/>
  <c r="S39" i="40"/>
  <c r="S12" i="33"/>
  <c r="AA12" i="33"/>
  <c r="C16" i="43"/>
  <c r="D68" i="9"/>
  <c r="F54" i="9"/>
  <c r="J32" i="39"/>
  <c r="H107" i="39"/>
  <c r="I107" i="39" s="1"/>
  <c r="J107" i="39" s="1"/>
  <c r="K107" i="39" s="1"/>
  <c r="L107" i="39" s="1"/>
  <c r="M107"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AA25" i="33"/>
  <c r="J25" i="33"/>
  <c r="AC25" i="33" s="1"/>
  <c r="F23" i="33"/>
  <c r="S23" i="33" s="1"/>
  <c r="H19" i="33"/>
  <c r="U19" i="33" s="1"/>
  <c r="H17" i="33"/>
  <c r="AB17" i="33" s="1"/>
  <c r="F17" i="33"/>
  <c r="AA17" i="33" s="1"/>
  <c r="W17" i="33"/>
  <c r="AB10" i="33"/>
  <c r="AC37" i="21"/>
  <c r="U33" i="21"/>
  <c r="S37" i="21"/>
  <c r="AA23" i="21"/>
  <c r="AB15" i="21"/>
  <c r="J23" i="21"/>
  <c r="F85" i="21"/>
  <c r="G85" i="21" s="1"/>
  <c r="H23" i="21"/>
  <c r="S13" i="21"/>
  <c r="D6" i="52"/>
  <c r="D121" i="9"/>
  <c r="D7" i="52"/>
  <c r="K120" i="9"/>
  <c r="S6" i="43"/>
  <c r="S3" i="43"/>
  <c r="O14" i="1"/>
  <c r="P14" i="1"/>
  <c r="C5" i="43"/>
  <c r="E48" i="35"/>
  <c r="F48" i="35" s="1"/>
  <c r="G48" i="35"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T7" i="1"/>
  <c r="C30" i="11"/>
  <c r="A18" i="62"/>
  <c r="B64" i="72" s="1"/>
  <c r="D3" i="33"/>
  <c r="C33" i="33" s="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S17" i="33"/>
  <c r="U23" i="21"/>
  <c r="AB23" i="21"/>
  <c r="AC23" i="21"/>
  <c r="W23" i="21"/>
  <c r="P7" i="1"/>
  <c r="G39" i="43"/>
  <c r="I39" i="43" s="1"/>
  <c r="E68" i="39"/>
  <c r="F68" i="39"/>
  <c r="G68" i="39" s="1"/>
  <c r="H68" i="39" s="1"/>
  <c r="C5" i="68"/>
  <c r="W11" i="37"/>
  <c r="W11" i="34"/>
  <c r="AC11" i="34"/>
  <c r="R7" i="1"/>
  <c r="C13" i="12"/>
  <c r="F11" i="12"/>
  <c r="C23" i="12" s="1"/>
  <c r="E70" i="39"/>
  <c r="R8" i="1"/>
  <c r="G70" i="39"/>
  <c r="AE7" i="1"/>
  <c r="AE8" i="1"/>
  <c r="AG6" i="1"/>
  <c r="H109" i="9"/>
  <c r="H110" i="9" s="1"/>
  <c r="D18" i="53" s="1"/>
  <c r="B35" i="72" s="1"/>
  <c r="D124" i="9"/>
  <c r="D10" i="52" s="1"/>
  <c r="H14" i="74"/>
  <c r="B7" i="74" s="1"/>
  <c r="H112" i="9"/>
  <c r="D21" i="53"/>
  <c r="B39" i="72" s="1"/>
  <c r="H111" i="9"/>
  <c r="D126" i="9" s="1"/>
  <c r="D19" i="53"/>
  <c r="B38" i="72" s="1"/>
  <c r="D59" i="9"/>
  <c r="M55" i="9"/>
  <c r="D20" i="53"/>
  <c r="B40" i="72" s="1"/>
  <c r="AD3" i="71"/>
  <c r="F43" i="67"/>
  <c r="AO13" i="1"/>
  <c r="M24" i="15"/>
  <c r="B7" i="76"/>
  <c r="F16" i="15"/>
  <c r="M28" i="15"/>
  <c r="F4" i="73"/>
  <c r="F13" i="67"/>
  <c r="M28" i="67"/>
  <c r="M23" i="15"/>
  <c r="AO8" i="1"/>
  <c r="L47" i="67"/>
  <c r="B13" i="76"/>
  <c r="F40" i="67"/>
  <c r="F38" i="15"/>
  <c r="E13" i="76"/>
  <c r="L48" i="67"/>
  <c r="F16" i="67"/>
  <c r="M22" i="15"/>
  <c r="F42" i="67"/>
  <c r="AO11" i="1"/>
  <c r="F26" i="67"/>
  <c r="F42" i="15"/>
  <c r="C76" i="67"/>
  <c r="D4" i="73"/>
  <c r="M27" i="15"/>
  <c r="M26" i="15"/>
  <c r="D6" i="73"/>
  <c r="D7" i="73"/>
  <c r="E12" i="76"/>
  <c r="F20" i="31"/>
  <c r="F37" i="67"/>
  <c r="F6" i="15"/>
  <c r="F6" i="67"/>
  <c r="F38" i="67"/>
  <c r="D2" i="35"/>
  <c r="F3" i="73"/>
  <c r="F9" i="67"/>
  <c r="AO12" i="1"/>
  <c r="D2" i="21"/>
  <c r="F43" i="15"/>
  <c r="B12" i="76"/>
  <c r="AO7" i="1"/>
  <c r="F26" i="15"/>
  <c r="F7" i="15"/>
  <c r="L48" i="15"/>
  <c r="C76" i="15"/>
  <c r="M8" i="15"/>
  <c r="F40" i="15"/>
  <c r="M27" i="67"/>
  <c r="F7" i="73"/>
  <c r="M24" i="67"/>
  <c r="F36" i="15"/>
  <c r="D2" i="34"/>
  <c r="F8" i="67"/>
  <c r="F7" i="67"/>
  <c r="L47" i="15"/>
  <c r="B8" i="76"/>
  <c r="J15" i="15"/>
  <c r="E2" i="69"/>
  <c r="J15" i="67"/>
  <c r="F6" i="73"/>
  <c r="E11" i="76"/>
  <c r="M9" i="15"/>
  <c r="D5" i="73"/>
  <c r="F8" i="15"/>
  <c r="M29" i="67"/>
  <c r="E2" i="68"/>
  <c r="M9" i="67"/>
  <c r="M23" i="67"/>
  <c r="E10" i="76"/>
  <c r="F13" i="15"/>
  <c r="D3" i="73"/>
  <c r="D2" i="33"/>
  <c r="F37" i="15"/>
  <c r="E8" i="76"/>
  <c r="AO10" i="1"/>
  <c r="B9" i="76"/>
  <c r="B10" i="76"/>
  <c r="E7" i="76"/>
  <c r="D2" i="36"/>
  <c r="M22" i="67"/>
  <c r="M8" i="67"/>
  <c r="M6" i="15"/>
  <c r="AO9" i="1"/>
  <c r="E9" i="76"/>
  <c r="M26" i="67"/>
  <c r="F9" i="15"/>
  <c r="D2" i="37"/>
  <c r="B11" i="76"/>
  <c r="M29" i="15"/>
  <c r="M6" i="67"/>
  <c r="F36" i="67"/>
  <c r="F5" i="73"/>
  <c r="J53" i="67" l="1"/>
  <c r="F1" i="67" s="1"/>
  <c r="P74" i="67"/>
  <c r="Q52" i="67"/>
  <c r="F30" i="6"/>
  <c r="E29" i="6"/>
  <c r="K15" i="1" s="1"/>
  <c r="AB13" i="21"/>
  <c r="U13" i="21"/>
  <c r="AC27" i="21"/>
  <c r="W27" i="21"/>
  <c r="AC29" i="21"/>
  <c r="W29" i="21"/>
  <c r="W26" i="33"/>
  <c r="AC26" i="33"/>
  <c r="I14" i="74"/>
  <c r="B8" i="74" s="1"/>
  <c r="D127" i="9"/>
  <c r="D13" i="52" s="1"/>
  <c r="D12" i="52"/>
  <c r="D58" i="21"/>
  <c r="E58" i="21" s="1"/>
  <c r="F58" i="21" s="1"/>
  <c r="G58" i="21" s="1"/>
  <c r="H58" i="21" s="1"/>
  <c r="I58" i="21" s="1"/>
  <c r="J58" i="21" s="1"/>
  <c r="K58" i="21" s="1"/>
  <c r="L58" i="21" s="1"/>
  <c r="M58" i="21" s="1"/>
  <c r="N58" i="21" s="1"/>
  <c r="O58" i="21" s="1"/>
  <c r="J7" i="21"/>
  <c r="F7" i="21"/>
  <c r="H7" i="21"/>
  <c r="G30" i="6"/>
  <c r="G31" i="6" s="1"/>
  <c r="E28" i="6"/>
  <c r="S12" i="21"/>
  <c r="AA12" i="21"/>
  <c r="D125" i="9"/>
  <c r="D11" i="52" s="1"/>
  <c r="D16" i="53"/>
  <c r="F70" i="39"/>
  <c r="W17" i="21"/>
  <c r="F31" i="6"/>
  <c r="J12" i="36"/>
  <c r="H12" i="36"/>
  <c r="J24" i="36"/>
  <c r="H24" i="36"/>
  <c r="I7" i="33"/>
  <c r="J7" i="33" s="1"/>
  <c r="W7" i="33" s="1"/>
  <c r="E7" i="33"/>
  <c r="F7" i="33" s="1"/>
  <c r="S7" i="33" s="1"/>
  <c r="G7" i="33"/>
  <c r="H7" i="33" s="1"/>
  <c r="U7" i="33" s="1"/>
  <c r="AB27" i="36"/>
  <c r="AA39" i="34"/>
  <c r="S45" i="33"/>
  <c r="AC30" i="34"/>
  <c r="W11" i="35"/>
  <c r="S11" i="36"/>
  <c r="AB11" i="35"/>
  <c r="AA44" i="33"/>
  <c r="H23" i="35"/>
  <c r="J23" i="35"/>
  <c r="A15" i="62"/>
  <c r="B61" i="72" s="1"/>
  <c r="F3" i="35"/>
  <c r="O48" i="71"/>
  <c r="O47" i="71"/>
  <c r="D48" i="71"/>
  <c r="C37" i="71"/>
  <c r="D36" i="71"/>
  <c r="N47" i="71"/>
  <c r="N48" i="71"/>
  <c r="D20" i="71"/>
  <c r="C21" i="71"/>
  <c r="D16" i="71"/>
  <c r="C17" i="71"/>
  <c r="D12" i="71"/>
  <c r="C13" i="71"/>
  <c r="E9" i="71"/>
  <c r="E8" i="71" s="1"/>
  <c r="V10" i="71"/>
  <c r="E5" i="71"/>
  <c r="V6" i="71"/>
  <c r="D24" i="71"/>
  <c r="C25" i="71"/>
  <c r="C29" i="71"/>
  <c r="D29" i="71" s="1"/>
  <c r="D28" i="71"/>
  <c r="C33" i="71"/>
  <c r="D32" i="71"/>
  <c r="C41" i="71"/>
  <c r="D40" i="71"/>
  <c r="AZ545" i="3"/>
  <c r="AZ537" i="3"/>
  <c r="AZ529" i="3"/>
  <c r="AZ521" i="3"/>
  <c r="AZ513" i="3"/>
  <c r="AZ505" i="3"/>
  <c r="C40" i="68"/>
  <c r="S21" i="33"/>
  <c r="D49" i="71"/>
  <c r="D58" i="71"/>
  <c r="E57" i="71"/>
  <c r="E56" i="71" s="1"/>
  <c r="Q50" i="71"/>
  <c r="D50" i="71"/>
  <c r="E49" i="71"/>
  <c r="F49" i="71"/>
  <c r="AH10" i="43"/>
  <c r="AD10" i="43"/>
  <c r="Z10" i="43"/>
  <c r="AG10" i="43"/>
  <c r="AC10" i="43"/>
  <c r="D9" i="71"/>
  <c r="J51" i="15"/>
  <c r="AA6" i="71"/>
  <c r="AB6" i="7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G5" i="3"/>
  <c r="B3" i="3" s="1"/>
  <c r="E69" i="3" s="1"/>
  <c r="BL549" i="3"/>
  <c r="AZ549" i="3" s="1"/>
  <c r="BA548" i="3"/>
  <c r="AZ548" i="3" s="1"/>
  <c r="BL545" i="3"/>
  <c r="BA544" i="3"/>
  <c r="AZ544" i="3" s="1"/>
  <c r="BL541" i="3"/>
  <c r="AZ541" i="3" s="1"/>
  <c r="BA540" i="3"/>
  <c r="AZ540" i="3" s="1"/>
  <c r="BL537" i="3"/>
  <c r="BA536" i="3"/>
  <c r="AZ536" i="3" s="1"/>
  <c r="BL533" i="3"/>
  <c r="AZ533" i="3" s="1"/>
  <c r="BA532" i="3"/>
  <c r="AZ532" i="3" s="1"/>
  <c r="BL529" i="3"/>
  <c r="BA528" i="3"/>
  <c r="AZ528" i="3" s="1"/>
  <c r="BL525" i="3"/>
  <c r="AZ525" i="3" s="1"/>
  <c r="BA524" i="3"/>
  <c r="AZ524" i="3" s="1"/>
  <c r="BL521" i="3"/>
  <c r="BA520" i="3"/>
  <c r="AZ520" i="3" s="1"/>
  <c r="BL517" i="3"/>
  <c r="AZ517" i="3" s="1"/>
  <c r="BA516" i="3"/>
  <c r="AZ516" i="3" s="1"/>
  <c r="BL513" i="3"/>
  <c r="BA512" i="3"/>
  <c r="AZ512" i="3" s="1"/>
  <c r="BL509" i="3"/>
  <c r="AZ509" i="3" s="1"/>
  <c r="BA508" i="3"/>
  <c r="AZ508" i="3" s="1"/>
  <c r="BL505" i="3"/>
  <c r="BL331" i="3"/>
  <c r="AZ331" i="3" s="1"/>
  <c r="BA330" i="3"/>
  <c r="AZ330" i="3" s="1"/>
  <c r="BL327" i="3"/>
  <c r="AZ327" i="3" s="1"/>
  <c r="BA326" i="3"/>
  <c r="AZ326" i="3" s="1"/>
  <c r="BL323" i="3"/>
  <c r="AZ323" i="3" s="1"/>
  <c r="BA322" i="3"/>
  <c r="AZ322" i="3" s="1"/>
  <c r="BL319" i="3"/>
  <c r="AZ319" i="3" s="1"/>
  <c r="BA318" i="3"/>
  <c r="AZ318" i="3" s="1"/>
  <c r="BL315" i="3"/>
  <c r="AZ315" i="3" s="1"/>
  <c r="BA314" i="3"/>
  <c r="AZ314"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AZ177" i="3"/>
  <c r="AZ169" i="3"/>
  <c r="AZ161" i="3"/>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A180" i="3"/>
  <c r="AZ180" i="3" s="1"/>
  <c r="BL177" i="3"/>
  <c r="BA176" i="3"/>
  <c r="AZ176" i="3" s="1"/>
  <c r="BL173" i="3"/>
  <c r="AZ173" i="3" s="1"/>
  <c r="BA172" i="3"/>
  <c r="AZ172" i="3" s="1"/>
  <c r="BL169" i="3"/>
  <c r="BA168" i="3"/>
  <c r="AZ168" i="3" s="1"/>
  <c r="BL165" i="3"/>
  <c r="AZ165" i="3" s="1"/>
  <c r="BA164" i="3"/>
  <c r="AZ164" i="3" s="1"/>
  <c r="BL161" i="3"/>
  <c r="BA160" i="3"/>
  <c r="AZ160" i="3" s="1"/>
  <c r="BL157" i="3"/>
  <c r="AZ157" i="3" s="1"/>
  <c r="AZ67" i="3"/>
  <c r="BL69" i="3"/>
  <c r="AZ69" i="3" s="1"/>
  <c r="BA68" i="3"/>
  <c r="BL67" i="3"/>
  <c r="AC10" i="33"/>
  <c r="AA14" i="33"/>
  <c r="U17" i="33"/>
  <c r="U32" i="33"/>
  <c r="AC11" i="39"/>
  <c r="AB8" i="39"/>
  <c r="AC29" i="39"/>
  <c r="W40" i="39"/>
  <c r="S29" i="39"/>
  <c r="AA21" i="39"/>
  <c r="S11" i="39"/>
  <c r="AA41" i="39"/>
  <c r="U40" i="39"/>
  <c r="S40" i="39"/>
  <c r="AB32" i="39"/>
  <c r="S32" i="39"/>
  <c r="W23" i="39"/>
  <c r="U21" i="39"/>
  <c r="U17" i="39"/>
  <c r="U9" i="39"/>
  <c r="O16" i="1"/>
  <c r="K1" i="73"/>
  <c r="F34" i="68"/>
  <c r="C36" i="68" s="1"/>
  <c r="G22" i="11"/>
  <c r="G26" i="12"/>
  <c r="G22" i="68"/>
  <c r="P16" i="1"/>
  <c r="C11" i="12" s="1"/>
  <c r="C12" i="12" s="1"/>
  <c r="E16" i="6"/>
  <c r="E237" i="3"/>
  <c r="E261" i="3"/>
  <c r="E304" i="3"/>
  <c r="E528" i="3"/>
  <c r="E565" i="3"/>
  <c r="E183" i="3"/>
  <c r="E213" i="3"/>
  <c r="E361" i="3"/>
  <c r="E17" i="3"/>
  <c r="E503" i="3"/>
  <c r="E302"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236" i="3"/>
  <c r="E188" i="3"/>
  <c r="J33" i="33"/>
  <c r="F33" i="33"/>
  <c r="H33" i="33"/>
  <c r="U40" i="33"/>
  <c r="U25" i="33"/>
  <c r="AB21" i="33"/>
  <c r="S41" i="33"/>
  <c r="J36" i="33"/>
  <c r="G111" i="33"/>
  <c r="F91" i="33"/>
  <c r="J27" i="33" s="1"/>
  <c r="W27" i="33" s="1"/>
  <c r="AB23" i="33"/>
  <c r="B16" i="49"/>
  <c r="B4" i="49"/>
  <c r="E16" i="49"/>
  <c r="S38" i="33"/>
  <c r="AC35" i="33"/>
  <c r="S32" i="33"/>
  <c r="W25" i="33"/>
  <c r="E11" i="49"/>
  <c r="E10" i="49"/>
  <c r="E6" i="49"/>
  <c r="U35" i="33"/>
  <c r="W32" i="33"/>
  <c r="S26" i="33"/>
  <c r="AB26" i="33"/>
  <c r="AC23" i="33"/>
  <c r="AA23" i="33"/>
  <c r="AA19" i="33"/>
  <c r="W40" i="33"/>
  <c r="C36" i="11"/>
  <c r="N104" i="46"/>
  <c r="M7" i="1"/>
  <c r="Q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E60" i="40"/>
  <c r="E65" i="39"/>
  <c r="E66" i="39" s="1"/>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J22" i="43"/>
  <c r="B8" i="49"/>
  <c r="E5" i="49"/>
  <c r="E8" i="49"/>
  <c r="B9" i="49"/>
  <c r="E7" i="49"/>
  <c r="B10" i="49"/>
  <c r="AA7" i="33"/>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G16" i="1"/>
  <c r="F10" i="39" s="1"/>
  <c r="AC7" i="33"/>
  <c r="AB7" i="33"/>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C14" i="67"/>
  <c r="G1" i="73"/>
  <c r="C16" i="15"/>
  <c r="C17" i="67"/>
  <c r="C16" i="67"/>
  <c r="J7" i="36" l="1"/>
  <c r="H7" i="35"/>
  <c r="J7" i="35"/>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BL5" i="3"/>
  <c r="F48" i="71"/>
  <c r="Q49" i="71"/>
  <c r="D41" i="71"/>
  <c r="C42" i="71"/>
  <c r="D33" i="71"/>
  <c r="C34" i="71"/>
  <c r="D13" i="71"/>
  <c r="C14" i="71"/>
  <c r="D17" i="71"/>
  <c r="C18" i="71"/>
  <c r="D21" i="71"/>
  <c r="C22" i="71"/>
  <c r="U23" i="35"/>
  <c r="AB23" i="35"/>
  <c r="AB24" i="36"/>
  <c r="U24" i="36"/>
  <c r="U12" i="36"/>
  <c r="AB12" i="36"/>
  <c r="S7" i="21"/>
  <c r="AA7" i="21"/>
  <c r="R48" i="21" s="1"/>
  <c r="G91" i="33"/>
  <c r="H91" i="33" s="1"/>
  <c r="I91" i="33" s="1"/>
  <c r="J91" i="33" s="1"/>
  <c r="K91" i="33" s="1"/>
  <c r="L91" i="33" s="1"/>
  <c r="M91" i="33" s="1"/>
  <c r="F27" i="33"/>
  <c r="H27" i="33"/>
  <c r="AZ68" i="3"/>
  <c r="BA5" i="3"/>
  <c r="E27" i="6" s="1"/>
  <c r="AZ5"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 i="71"/>
  <c r="P49" i="71"/>
  <c r="D25" i="71"/>
  <c r="C26" i="71"/>
  <c r="D37" i="71"/>
  <c r="C38" i="71"/>
  <c r="AC23" i="35"/>
  <c r="W23" i="35"/>
  <c r="AC24" i="36"/>
  <c r="W24" i="36"/>
  <c r="AC12" i="36"/>
  <c r="W12" i="36"/>
  <c r="D17" i="53"/>
  <c r="B36" i="72" s="1"/>
  <c r="B34" i="72"/>
  <c r="E30" i="6"/>
  <c r="K20" i="6"/>
  <c r="M20" i="6" s="1"/>
  <c r="I20" i="6" s="1"/>
  <c r="S20" i="6" s="1"/>
  <c r="K24" i="6"/>
  <c r="M24" i="6" s="1"/>
  <c r="I24" i="6" s="1"/>
  <c r="K26" i="6"/>
  <c r="M26" i="6" s="1"/>
  <c r="I26" i="6" s="1"/>
  <c r="S26" i="6" s="1"/>
  <c r="K19" i="6"/>
  <c r="K23" i="6"/>
  <c r="M23" i="6" s="1"/>
  <c r="I23" i="6" s="1"/>
  <c r="S23" i="6" s="1"/>
  <c r="K14" i="1"/>
  <c r="K21" i="6"/>
  <c r="M21" i="6" s="1"/>
  <c r="I21" i="6" s="1"/>
  <c r="S21" i="6" s="1"/>
  <c r="K22" i="6"/>
  <c r="M22" i="6" s="1"/>
  <c r="I22" i="6" s="1"/>
  <c r="S22" i="6" s="1"/>
  <c r="K25" i="6"/>
  <c r="M25" i="6" s="1"/>
  <c r="I25" i="6" s="1"/>
  <c r="S25" i="6" s="1"/>
  <c r="AB7" i="21"/>
  <c r="T48" i="21" s="1"/>
  <c r="G48" i="21" s="1"/>
  <c r="U7" i="21"/>
  <c r="AC7" i="21"/>
  <c r="V48" i="21" s="1"/>
  <c r="I48" i="21" s="1"/>
  <c r="I52" i="21" s="1"/>
  <c r="J52" i="21" s="1"/>
  <c r="W7" i="21"/>
  <c r="C15" i="12"/>
  <c r="AC27" i="33"/>
  <c r="AA33" i="33"/>
  <c r="S33" i="33"/>
  <c r="AB33" i="33"/>
  <c r="U33" i="33"/>
  <c r="AC33" i="33"/>
  <c r="W33" i="33"/>
  <c r="F36" i="33"/>
  <c r="H111" i="33"/>
  <c r="I111" i="33" s="1"/>
  <c r="J111" i="33" s="1"/>
  <c r="K111" i="33" s="1"/>
  <c r="L111" i="33" s="1"/>
  <c r="M111" i="33" s="1"/>
  <c r="H36" i="33"/>
  <c r="AC36" i="33"/>
  <c r="W36" i="33"/>
  <c r="S24" i="6"/>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AA10" i="40"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N103" i="43"/>
  <c r="N106" i="43"/>
  <c r="N107" i="43"/>
  <c r="N102" i="43"/>
  <c r="N104" i="43"/>
  <c r="N109" i="43"/>
  <c r="N105" i="43"/>
  <c r="K107" i="43"/>
  <c r="K104" i="43"/>
  <c r="K106" i="43"/>
  <c r="K109" i="43"/>
  <c r="K105" i="43"/>
  <c r="K103" i="43"/>
  <c r="K102" i="43"/>
  <c r="C115" i="43"/>
  <c r="D113" i="43" s="1"/>
  <c r="L109" i="43"/>
  <c r="L106" i="43"/>
  <c r="L107" i="43"/>
  <c r="L103" i="43"/>
  <c r="L105" i="43"/>
  <c r="L104" i="43"/>
  <c r="L102" i="43"/>
  <c r="B40" i="1"/>
  <c r="K4" i="4"/>
  <c r="B46" i="48" s="1"/>
  <c r="B4" i="72" s="1"/>
  <c r="J10" i="39"/>
  <c r="AC10" i="39" s="1"/>
  <c r="H10" i="39"/>
  <c r="J10" i="40"/>
  <c r="C49" i="15"/>
  <c r="H7" i="36"/>
  <c r="F7" i="36"/>
  <c r="J7" i="37"/>
  <c r="F7" i="37"/>
  <c r="AA7" i="35"/>
  <c r="R38" i="35" s="1"/>
  <c r="S7" i="35"/>
  <c r="W10" i="39"/>
  <c r="S10" i="39"/>
  <c r="AA10" i="39"/>
  <c r="J68" i="39"/>
  <c r="I70" i="39"/>
  <c r="O19" i="43"/>
  <c r="P21" i="43"/>
  <c r="P23" i="43"/>
  <c r="B71" i="39" s="1"/>
  <c r="P24" i="43"/>
  <c r="B66" i="40" s="1"/>
  <c r="P25" i="43"/>
  <c r="P22" i="43"/>
  <c r="W7" i="36"/>
  <c r="AC7" i="36"/>
  <c r="V36" i="36" s="1"/>
  <c r="I36" i="36" s="1"/>
  <c r="H7" i="37"/>
  <c r="AB7" i="35"/>
  <c r="T38" i="35" s="1"/>
  <c r="G38" i="35" s="1"/>
  <c r="U7" i="35"/>
  <c r="AC7" i="35"/>
  <c r="V38" i="35" s="1"/>
  <c r="I38" i="35" s="1"/>
  <c r="W7" i="35"/>
  <c r="S10" i="40"/>
  <c r="U10" i="40"/>
  <c r="AB10" i="40"/>
  <c r="E63" i="40"/>
  <c r="D65" i="40"/>
  <c r="H59" i="34"/>
  <c r="I59" i="34" s="1"/>
  <c r="J59" i="34" s="1"/>
  <c r="K59" i="34" s="1"/>
  <c r="L59" i="34" s="1"/>
  <c r="M59" i="34" s="1"/>
  <c r="N59" i="34" s="1"/>
  <c r="O59" i="34" s="1"/>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F24" i="15" l="1"/>
  <c r="C24" i="15" s="1"/>
  <c r="F7" i="34"/>
  <c r="S7" i="34" s="1"/>
  <c r="T38" i="71"/>
  <c r="D38" i="71"/>
  <c r="T26" i="71"/>
  <c r="D26" i="71"/>
  <c r="E3" i="6"/>
  <c r="AY6" i="3"/>
  <c r="AB27" i="33"/>
  <c r="U27" i="33"/>
  <c r="Q48" i="71"/>
  <c r="Q47" i="71"/>
  <c r="G53" i="21"/>
  <c r="H53" i="21" s="1"/>
  <c r="G52" i="21"/>
  <c r="H52" i="21" s="1"/>
  <c r="M14" i="1"/>
  <c r="C34" i="69"/>
  <c r="K16" i="1"/>
  <c r="S6" i="1"/>
  <c r="M19" i="6"/>
  <c r="K27" i="6"/>
  <c r="P47" i="71"/>
  <c r="P48" i="71"/>
  <c r="E31" i="6"/>
  <c r="AA27" i="33"/>
  <c r="S27" i="33"/>
  <c r="R49" i="21"/>
  <c r="E48" i="21"/>
  <c r="D22" i="71"/>
  <c r="T22" i="71"/>
  <c r="D18" i="71"/>
  <c r="T18" i="71"/>
  <c r="D14" i="71"/>
  <c r="M20" i="43" s="1"/>
  <c r="C19" i="43" s="1"/>
  <c r="C33" i="43" s="1"/>
  <c r="T14" i="71"/>
  <c r="T34" i="71"/>
  <c r="D34" i="71"/>
  <c r="T42" i="71"/>
  <c r="D42" i="71"/>
  <c r="H6" i="3"/>
  <c r="E6" i="3" s="1"/>
  <c r="U36" i="33"/>
  <c r="AB36" i="33"/>
  <c r="S36" i="33"/>
  <c r="AA36" i="33"/>
  <c r="F25" i="12"/>
  <c r="C26" i="12" s="1"/>
  <c r="D25" i="12" s="1"/>
  <c r="F22" i="68"/>
  <c r="C26" i="68" s="1"/>
  <c r="D22" i="68" s="1"/>
  <c r="F22" i="11"/>
  <c r="C44" i="11" s="1"/>
  <c r="D41" i="11" s="1"/>
  <c r="F24" i="67"/>
  <c r="C24" i="67" s="1"/>
  <c r="F22" i="69"/>
  <c r="C47" i="11"/>
  <c r="D45" i="11" s="1"/>
  <c r="C29" i="11"/>
  <c r="D27" i="11" s="1"/>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AA7" i="34"/>
  <c r="R49" i="34" s="1"/>
  <c r="U7" i="37"/>
  <c r="AB7" i="37"/>
  <c r="T42" i="37" s="1"/>
  <c r="G42" i="37" s="1"/>
  <c r="U7" i="34"/>
  <c r="AB7" i="34"/>
  <c r="T49" i="34" s="1"/>
  <c r="G49" i="34" s="1"/>
  <c r="E65" i="40"/>
  <c r="F63" i="40"/>
  <c r="I42" i="35"/>
  <c r="J42" i="35" s="1"/>
  <c r="G43" i="35"/>
  <c r="H43" i="35" s="1"/>
  <c r="G42" i="35"/>
  <c r="H42" i="35" s="1"/>
  <c r="I40" i="36"/>
  <c r="J40" i="36" s="1"/>
  <c r="C35" i="43"/>
  <c r="T11" i="43"/>
  <c r="V11" i="43" s="1"/>
  <c r="T14" i="43"/>
  <c r="V14" i="43" s="1"/>
  <c r="T9" i="43"/>
  <c r="V9" i="43" s="1"/>
  <c r="T7" i="43"/>
  <c r="V7" i="43" s="1"/>
  <c r="T8" i="43"/>
  <c r="V8" i="43" s="1"/>
  <c r="T13" i="43"/>
  <c r="V13" i="43" s="1"/>
  <c r="T5" i="43"/>
  <c r="V5" i="43" s="1"/>
  <c r="T4" i="43"/>
  <c r="V4" i="43" s="1"/>
  <c r="C37" i="43"/>
  <c r="C34" i="43"/>
  <c r="K68" i="39"/>
  <c r="J70" i="39"/>
  <c r="S7" i="37"/>
  <c r="AA7" i="37"/>
  <c r="R42" i="37" s="1"/>
  <c r="S7" i="36"/>
  <c r="AA7" i="36"/>
  <c r="R36" i="36" s="1"/>
  <c r="J7" i="34"/>
  <c r="J26" i="15"/>
  <c r="J24" i="15"/>
  <c r="J18" i="15"/>
  <c r="J24" i="67"/>
  <c r="J26" i="67"/>
  <c r="J18" i="67"/>
  <c r="C10" i="67"/>
  <c r="C5" i="67" s="1"/>
  <c r="C53" i="67"/>
  <c r="C48" i="67" s="1"/>
  <c r="C10" i="15"/>
  <c r="C5" i="15" s="1"/>
  <c r="C53" i="15"/>
  <c r="C48" i="15" s="1"/>
  <c r="F41" i="67"/>
  <c r="C17" i="15"/>
  <c r="F41" i="15"/>
  <c r="F69" i="67" l="1"/>
  <c r="J29" i="67"/>
  <c r="S16" i="1"/>
  <c r="AR6" i="1"/>
  <c r="T6" i="1"/>
  <c r="AQ6" i="1"/>
  <c r="E6" i="70"/>
  <c r="E2" i="70" s="1"/>
  <c r="C29" i="43"/>
  <c r="C36" i="43"/>
  <c r="C39" i="43"/>
  <c r="E39" i="43" s="1"/>
  <c r="T6" i="43"/>
  <c r="V6" i="43" s="1"/>
  <c r="T10" i="43"/>
  <c r="V10" i="43" s="1"/>
  <c r="T15" i="43"/>
  <c r="V15" i="43" s="1"/>
  <c r="T2" i="43"/>
  <c r="V2" i="43" s="1"/>
  <c r="T3" i="43"/>
  <c r="V3" i="43" s="1"/>
  <c r="T12" i="43"/>
  <c r="V12" i="43" s="1"/>
  <c r="T16" i="43"/>
  <c r="V16" i="43" s="1"/>
  <c r="C38" i="43"/>
  <c r="E53" i="21"/>
  <c r="F53" i="21" s="1"/>
  <c r="I53" i="21"/>
  <c r="J53" i="21" s="1"/>
  <c r="E52" i="21"/>
  <c r="F52" i="21" s="1"/>
  <c r="I19" i="6"/>
  <c r="M27" i="6"/>
  <c r="M16" i="1"/>
  <c r="T16" i="1"/>
  <c r="D3" i="34"/>
  <c r="D37" i="11"/>
  <c r="C37" i="11" s="1"/>
  <c r="E6" i="6"/>
  <c r="D14" i="12"/>
  <c r="C17" i="4"/>
  <c r="B4" i="52" s="1"/>
  <c r="B43" i="72" s="1"/>
  <c r="B24" i="31"/>
  <c r="D19" i="11"/>
  <c r="C19" i="11" s="1"/>
  <c r="L18" i="9"/>
  <c r="M18" i="9"/>
  <c r="B118" i="9" s="1"/>
  <c r="B14" i="74" s="1"/>
  <c r="B1" i="74" s="1"/>
  <c r="D3" i="21"/>
  <c r="D3" i="37"/>
  <c r="C48" i="21"/>
  <c r="C49" i="21"/>
  <c r="C35" i="69"/>
  <c r="C38"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C23" i="11"/>
  <c r="C26" i="69"/>
  <c r="D22" i="69" s="1"/>
  <c r="C24" i="1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4" i="15"/>
  <c r="C15" i="15" l="1"/>
  <c r="C18" i="15"/>
  <c r="B2" i="21"/>
  <c r="B3" i="21" s="1"/>
  <c r="C7" i="74"/>
  <c r="C8" i="74"/>
  <c r="C20" i="11"/>
  <c r="C25" i="11" s="1"/>
  <c r="D10" i="68"/>
  <c r="D20" i="12"/>
  <c r="C20" i="12" s="1"/>
  <c r="C18" i="12" s="1"/>
  <c r="D10" i="69"/>
  <c r="D10" i="11"/>
  <c r="C10" i="11" s="1"/>
  <c r="C34" i="68"/>
  <c r="N16" i="1"/>
  <c r="C34" i="11"/>
  <c r="L16" i="1"/>
  <c r="S19" i="6"/>
  <c r="S27" i="6" s="1"/>
  <c r="I27" i="6"/>
  <c r="D23" i="6"/>
  <c r="R23" i="6" s="1"/>
  <c r="D11" i="6"/>
  <c r="D25" i="6"/>
  <c r="D10" i="6"/>
  <c r="H24" i="6"/>
  <c r="H20" i="6"/>
  <c r="D26" i="6"/>
  <c r="R26" i="6" s="1"/>
  <c r="D8" i="6"/>
  <c r="D15" i="6"/>
  <c r="D14" i="6"/>
  <c r="D12" i="6"/>
  <c r="D13" i="6"/>
  <c r="E61" i="40"/>
  <c r="H26" i="6"/>
  <c r="D22" i="6"/>
  <c r="R22" i="6" s="1"/>
  <c r="D20" i="6"/>
  <c r="R20" i="6" s="1"/>
  <c r="D9" i="6"/>
  <c r="L19" i="9"/>
  <c r="H25" i="6"/>
  <c r="H21" i="6"/>
  <c r="H19" i="6"/>
  <c r="M19" i="9"/>
  <c r="C118" i="9" s="1"/>
  <c r="C14" i="74" s="1"/>
  <c r="B2" i="74" s="1"/>
  <c r="D19" i="6"/>
  <c r="C18" i="4"/>
  <c r="D21" i="6"/>
  <c r="R21" i="6" s="1"/>
  <c r="D5" i="6"/>
  <c r="D28" i="6"/>
  <c r="H23" i="6"/>
  <c r="D24" i="6"/>
  <c r="R24" i="6" s="1"/>
  <c r="D6" i="6"/>
  <c r="D29" i="6"/>
  <c r="H22" i="6"/>
  <c r="C27" i="31"/>
  <c r="C25" i="31"/>
  <c r="C26" i="31"/>
  <c r="C28" i="31"/>
  <c r="B22" i="31"/>
  <c r="D17" i="12"/>
  <c r="C17" i="12" s="1"/>
  <c r="C14" i="12"/>
  <c r="C16" i="12" s="1"/>
  <c r="C22" i="1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E6" i="76"/>
  <c r="C19" i="15" l="1"/>
  <c r="C20" i="15" s="1"/>
  <c r="C23" i="15" s="1"/>
  <c r="C21" i="12"/>
  <c r="D30" i="6"/>
  <c r="R19" i="6"/>
  <c r="D27" i="6"/>
  <c r="D31" i="6" s="1"/>
  <c r="H27" i="6"/>
  <c r="R25" i="6"/>
  <c r="A10" i="51"/>
  <c r="B9" i="72" s="1"/>
  <c r="C4" i="52"/>
  <c r="B45" i="72" s="1"/>
  <c r="A7" i="51"/>
  <c r="B7" i="72" s="1"/>
  <c r="D7" i="74"/>
  <c r="D8" i="74"/>
  <c r="D16" i="6"/>
  <c r="F50" i="68"/>
  <c r="F50" i="11"/>
  <c r="F50" i="69"/>
  <c r="C28" i="11"/>
  <c r="C27" i="11" s="1"/>
  <c r="C31" i="11" s="1"/>
  <c r="C38" i="11"/>
  <c r="C35" i="11"/>
  <c r="C35" i="68"/>
  <c r="C38" i="68"/>
  <c r="C10" i="69"/>
  <c r="C8" i="69" s="1"/>
  <c r="C5" i="69" s="1"/>
  <c r="D19" i="69"/>
  <c r="C10" i="68"/>
  <c r="D19" i="68"/>
  <c r="F11" i="33"/>
  <c r="J11" i="33"/>
  <c r="H11" i="33"/>
  <c r="E2" i="76"/>
  <c r="N68" i="39"/>
  <c r="M70" i="39"/>
  <c r="B2" i="43"/>
  <c r="I63" i="40"/>
  <c r="H65" i="40"/>
  <c r="Q48" i="67"/>
  <c r="L46" i="67"/>
  <c r="J22" i="67"/>
  <c r="J13" i="67"/>
  <c r="J23" i="67" s="1"/>
  <c r="C61" i="67"/>
  <c r="C64" i="67"/>
  <c r="Q70" i="67"/>
  <c r="C56" i="67"/>
  <c r="C65" i="67" s="1"/>
  <c r="C37" i="67"/>
  <c r="C75" i="67"/>
  <c r="B6" i="76"/>
  <c r="C33" i="11" l="1"/>
  <c r="C39" i="11" s="1"/>
  <c r="C43" i="11" s="1"/>
  <c r="C22" i="12"/>
  <c r="C30" i="12" s="1"/>
  <c r="C28" i="12" s="1"/>
  <c r="C26" i="15"/>
  <c r="C29" i="15" s="1"/>
  <c r="C36" i="15" s="1"/>
  <c r="C42" i="11"/>
  <c r="C23" i="69"/>
  <c r="R6" i="1"/>
  <c r="R27" i="6"/>
  <c r="C19" i="68"/>
  <c r="D37" i="68"/>
  <c r="C37" i="68" s="1"/>
  <c r="C33" i="68" s="1"/>
  <c r="C19" i="69"/>
  <c r="C24" i="69" s="1"/>
  <c r="D37" i="69"/>
  <c r="C37" i="69" s="1"/>
  <c r="C33" i="69" s="1"/>
  <c r="I5" i="6"/>
  <c r="I6" i="6"/>
  <c r="AB11" i="33"/>
  <c r="T48" i="33" s="1"/>
  <c r="G48" i="33" s="1"/>
  <c r="U11" i="33"/>
  <c r="AC11" i="33"/>
  <c r="V48" i="33" s="1"/>
  <c r="I48" i="33" s="1"/>
  <c r="W11" i="33"/>
  <c r="AA11" i="33"/>
  <c r="R48" i="33" s="1"/>
  <c r="S11" i="33"/>
  <c r="B2" i="76"/>
  <c r="B3" i="76" s="1"/>
  <c r="I65" i="40"/>
  <c r="J63" i="40"/>
  <c r="B3" i="43"/>
  <c r="O68" i="39"/>
  <c r="O70" i="39" s="1"/>
  <c r="F7" i="39" s="1"/>
  <c r="N70" i="39"/>
  <c r="M21" i="67"/>
  <c r="F35" i="15"/>
  <c r="F35" i="67"/>
  <c r="M21" i="15"/>
  <c r="J20" i="67" l="1"/>
  <c r="J17" i="67" s="1"/>
  <c r="J16" i="67" s="1"/>
  <c r="J25" i="67" s="1"/>
  <c r="F63" i="67"/>
  <c r="C62" i="67" s="1"/>
  <c r="C59" i="67" s="1"/>
  <c r="C58" i="67" s="1"/>
  <c r="C67" i="67" s="1"/>
  <c r="C68" i="67" s="1"/>
  <c r="C71" i="67" s="1"/>
  <c r="C34" i="67"/>
  <c r="C31" i="67" s="1"/>
  <c r="C30" i="67" s="1"/>
  <c r="C39" i="67" s="1"/>
  <c r="J59" i="15"/>
  <c r="J60" i="15" s="1"/>
  <c r="Q48" i="15" s="1"/>
  <c r="C57" i="15"/>
  <c r="C64" i="15" s="1"/>
  <c r="C13" i="15"/>
  <c r="Q70" i="15" s="1"/>
  <c r="C41" i="11"/>
  <c r="C27" i="12"/>
  <c r="C25" i="12" s="1"/>
  <c r="C32" i="12" s="1"/>
  <c r="B2" i="12" s="1"/>
  <c r="B3" i="12" s="1"/>
  <c r="J14" i="15"/>
  <c r="J22" i="15" s="1"/>
  <c r="J19" i="15"/>
  <c r="Q49" i="15"/>
  <c r="C34" i="15"/>
  <c r="C31" i="15" s="1"/>
  <c r="F63" i="15"/>
  <c r="C62" i="15" s="1"/>
  <c r="J20" i="15"/>
  <c r="C39" i="68"/>
  <c r="C43" i="68" s="1"/>
  <c r="C42" i="68"/>
  <c r="C20" i="68"/>
  <c r="C25" i="68" s="1"/>
  <c r="C24" i="68"/>
  <c r="C61" i="15"/>
  <c r="L46" i="15"/>
  <c r="C20" i="69"/>
  <c r="C46" i="11"/>
  <c r="C45" i="11" s="1"/>
  <c r="C39" i="69"/>
  <c r="C43" i="69" s="1"/>
  <c r="C42" i="69"/>
  <c r="R16" i="1"/>
  <c r="R49" i="33"/>
  <c r="E48" i="33"/>
  <c r="I53" i="33" s="1"/>
  <c r="J53" i="33" s="1"/>
  <c r="I52" i="33"/>
  <c r="J52" i="33" s="1"/>
  <c r="G53" i="33"/>
  <c r="H53" i="33" s="1"/>
  <c r="G52" i="33"/>
  <c r="H52" i="33" s="1"/>
  <c r="AA7" i="39"/>
  <c r="R47" i="39" s="1"/>
  <c r="S7" i="39"/>
  <c r="J7" i="39"/>
  <c r="H7" i="39"/>
  <c r="J65" i="40"/>
  <c r="K63" i="40"/>
  <c r="L57" i="67"/>
  <c r="L60" i="67" s="1"/>
  <c r="L51" i="67"/>
  <c r="Q67" i="67" l="1"/>
  <c r="C40" i="67"/>
  <c r="Q69" i="67"/>
  <c r="Q68" i="67" s="1"/>
  <c r="C80" i="67"/>
  <c r="C79" i="67" s="1"/>
  <c r="J17" i="15"/>
  <c r="C49" i="11"/>
  <c r="C51" i="11" s="1"/>
  <c r="J13" i="15"/>
  <c r="J23" i="15" s="1"/>
  <c r="C75" i="15"/>
  <c r="C56" i="15"/>
  <c r="C65" i="15" s="1"/>
  <c r="C37" i="15"/>
  <c r="C30" i="15" s="1"/>
  <c r="C39" i="15" s="1"/>
  <c r="C41" i="68"/>
  <c r="C41" i="69"/>
  <c r="C46" i="68"/>
  <c r="C45" i="68" s="1"/>
  <c r="C22" i="68"/>
  <c r="C46" i="69"/>
  <c r="C45" i="69" s="1"/>
  <c r="C28" i="69"/>
  <c r="C27" i="69" s="1"/>
  <c r="C25" i="69"/>
  <c r="C22" i="69" s="1"/>
  <c r="C28" i="68"/>
  <c r="C27" i="68" s="1"/>
  <c r="C59" i="15"/>
  <c r="C58" i="15" s="1"/>
  <c r="C67" i="15" s="1"/>
  <c r="C68" i="15" s="1"/>
  <c r="C71" i="15" s="1"/>
  <c r="C52" i="11"/>
  <c r="B2" i="11" s="1"/>
  <c r="B3" i="11" s="1"/>
  <c r="J16" i="15"/>
  <c r="J25" i="15" s="1"/>
  <c r="C49" i="33"/>
  <c r="C48" i="33"/>
  <c r="E53" i="33"/>
  <c r="F53" i="33" s="1"/>
  <c r="E52" i="33"/>
  <c r="F52" i="33" s="1"/>
  <c r="L63" i="40"/>
  <c r="K65" i="40"/>
  <c r="AB7" i="39"/>
  <c r="T47" i="39" s="1"/>
  <c r="G47" i="39" s="1"/>
  <c r="U7" i="39"/>
  <c r="W7" i="39"/>
  <c r="AC7" i="39"/>
  <c r="V47" i="39" s="1"/>
  <c r="I47" i="39" s="1"/>
  <c r="E47" i="39"/>
  <c r="Q66" i="67"/>
  <c r="Q57" i="67"/>
  <c r="L51" i="15"/>
  <c r="Q65" i="67" l="1"/>
  <c r="Q75" i="67" s="1"/>
  <c r="Q47" i="67"/>
  <c r="Q53" i="67" s="1"/>
  <c r="C43" i="67"/>
  <c r="C45" i="67"/>
  <c r="C46" i="67" s="1"/>
  <c r="Q56" i="67"/>
  <c r="Q62" i="67" s="1"/>
  <c r="D2" i="67"/>
  <c r="C83" i="67"/>
  <c r="C82" i="67" s="1"/>
  <c r="C80" i="15"/>
  <c r="C79" i="15" s="1"/>
  <c r="C49" i="68"/>
  <c r="C51" i="68" s="1"/>
  <c r="C49" i="69"/>
  <c r="C51" i="69" s="1"/>
  <c r="C31" i="68"/>
  <c r="C56" i="11"/>
  <c r="C57" i="11" s="1"/>
  <c r="C31" i="69"/>
  <c r="C40" i="15"/>
  <c r="Q69" i="15"/>
  <c r="Q68" i="15" s="1"/>
  <c r="Q67" i="15"/>
  <c r="R48" i="39"/>
  <c r="B3" i="33"/>
  <c r="B2" i="33"/>
  <c r="E51" i="39"/>
  <c r="F51" i="39" s="1"/>
  <c r="E52" i="39"/>
  <c r="F52" i="39" s="1"/>
  <c r="I51" i="39"/>
  <c r="J51" i="39" s="1"/>
  <c r="I52" i="39"/>
  <c r="J52" i="39" s="1"/>
  <c r="C48" i="39"/>
  <c r="C47" i="39"/>
  <c r="G52" i="39"/>
  <c r="H52" i="39" s="1"/>
  <c r="G51" i="39"/>
  <c r="H51" i="39" s="1"/>
  <c r="L65" i="40"/>
  <c r="M63" i="40"/>
  <c r="C20" i="9"/>
  <c r="C19" i="9"/>
  <c r="B2" i="67" l="1"/>
  <c r="B3" i="67"/>
  <c r="C52" i="68"/>
  <c r="B2" i="68" s="1"/>
  <c r="B3" i="68" s="1"/>
  <c r="C52" i="69"/>
  <c r="B2" i="69" s="1"/>
  <c r="B3" i="69" s="1"/>
  <c r="Q47" i="15"/>
  <c r="Q53" i="15" s="1"/>
  <c r="C83" i="15"/>
  <c r="C82" i="15" s="1"/>
  <c r="Q56" i="15"/>
  <c r="Q62" i="15" s="1"/>
  <c r="C43" i="15"/>
  <c r="Q65" i="15"/>
  <c r="Q75" i="15" s="1"/>
  <c r="C46" i="15"/>
  <c r="B2" i="15"/>
  <c r="C57" i="69"/>
  <c r="C56" i="69" s="1"/>
  <c r="C57" i="68"/>
  <c r="C56" i="68" s="1"/>
  <c r="C103" i="9"/>
  <c r="C21" i="9"/>
  <c r="C102" i="9"/>
  <c r="N63" i="40"/>
  <c r="M65" i="40"/>
  <c r="B61" i="39"/>
  <c r="F61" i="39" s="1"/>
  <c r="B60" i="39"/>
  <c r="F60" i="39" s="1"/>
  <c r="B56" i="39"/>
  <c r="F56" i="39" s="1"/>
  <c r="B58" i="39"/>
  <c r="F58" i="39" s="1"/>
  <c r="B59" i="39"/>
  <c r="F59" i="39" s="1"/>
  <c r="B64" i="39"/>
  <c r="F64" i="39" s="1"/>
  <c r="B65" i="39"/>
  <c r="F65" i="39" s="1"/>
  <c r="B57" i="39"/>
  <c r="F57" i="39" s="1"/>
  <c r="B63" i="39"/>
  <c r="F63" i="39" s="1"/>
  <c r="B62" i="39"/>
  <c r="F62" i="39" s="1"/>
  <c r="D19" i="9"/>
  <c r="AO6" i="1"/>
  <c r="B6" i="70" l="1"/>
  <c r="B2" i="70" s="1"/>
  <c r="B3" i="70" s="1"/>
  <c r="D102" i="9"/>
  <c r="D21" i="9"/>
  <c r="G19" i="9"/>
  <c r="G21" i="9" s="1"/>
  <c r="D22" i="9"/>
  <c r="B3" i="15"/>
  <c r="F66" i="39"/>
  <c r="B2" i="39" s="1"/>
  <c r="B3" i="39" s="1"/>
  <c r="O63" i="40"/>
  <c r="O65" i="40" s="1"/>
  <c r="N65" i="40"/>
  <c r="D34" i="9"/>
  <c r="D35" i="9"/>
  <c r="D20" i="9"/>
  <c r="C32" i="9" l="1"/>
  <c r="H118" i="9" s="1"/>
  <c r="H119" i="9" s="1"/>
  <c r="H5" i="52" s="1"/>
  <c r="G20" i="9"/>
  <c r="R24" i="31" s="1"/>
  <c r="D103" i="9"/>
  <c r="J7" i="40"/>
  <c r="H7" i="40"/>
  <c r="F7" i="40"/>
  <c r="H4" i="52" l="1"/>
  <c r="I118" i="9"/>
  <c r="H102" i="9" s="1"/>
  <c r="D7" i="53" s="1"/>
  <c r="B21" i="72" s="1"/>
  <c r="H101" i="9"/>
  <c r="M48" i="9" s="1"/>
  <c r="C104" i="9"/>
  <c r="D14" i="74"/>
  <c r="C35" i="9"/>
  <c r="F118" i="9" s="1"/>
  <c r="G118" i="9" s="1"/>
  <c r="AB7" i="40"/>
  <c r="T42" i="40" s="1"/>
  <c r="G42" i="40" s="1"/>
  <c r="U7" i="40"/>
  <c r="AA7" i="40"/>
  <c r="R42" i="40" s="1"/>
  <c r="S7" i="40"/>
  <c r="W7" i="40"/>
  <c r="AC7" i="40"/>
  <c r="V42" i="40" s="1"/>
  <c r="I42" i="40" s="1"/>
  <c r="B5" i="74" l="1"/>
  <c r="E14" i="74"/>
  <c r="C105" i="9"/>
  <c r="D5" i="53"/>
  <c r="B20" i="72" s="1"/>
  <c r="D45" i="9"/>
  <c r="D55" i="9" s="1"/>
  <c r="M53" i="9" s="1"/>
  <c r="F119" i="9"/>
  <c r="F5" i="52" s="1"/>
  <c r="B53" i="72" s="1"/>
  <c r="I4" i="52"/>
  <c r="H107" i="9"/>
  <c r="M49" i="9" s="1"/>
  <c r="F14" i="74"/>
  <c r="G4" i="52"/>
  <c r="B52" i="72" s="1"/>
  <c r="E118" i="9"/>
  <c r="E4" i="52" s="1"/>
  <c r="B48" i="72" s="1"/>
  <c r="F4" i="52"/>
  <c r="B51" i="72" s="1"/>
  <c r="C34" i="9"/>
  <c r="D118" i="9" s="1"/>
  <c r="D119" i="9" s="1"/>
  <c r="D5" i="52" s="1"/>
  <c r="B49" i="72" s="1"/>
  <c r="D6" i="53"/>
  <c r="B22" i="72" s="1"/>
  <c r="C5" i="74"/>
  <c r="D5" i="74"/>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92" i="31"/>
  <c r="S92" i="31" s="1"/>
  <c r="R96" i="31"/>
  <c r="S96" i="31" s="1"/>
  <c r="R100" i="31"/>
  <c r="S100" i="31" s="1"/>
  <c r="R49" i="31"/>
  <c r="S49" i="31" s="1"/>
  <c r="R53" i="31"/>
  <c r="S53" i="31" s="1"/>
  <c r="R57" i="31"/>
  <c r="S57" i="31" s="1"/>
  <c r="R61" i="31"/>
  <c r="S61" i="31" s="1"/>
  <c r="R65" i="31"/>
  <c r="S65" i="31" s="1"/>
  <c r="R69" i="31"/>
  <c r="S69" i="31" s="1"/>
  <c r="R73" i="31"/>
  <c r="S73" i="31" s="1"/>
  <c r="R77" i="31"/>
  <c r="S77" i="31" s="1"/>
  <c r="R81" i="31"/>
  <c r="S81" i="31" s="1"/>
  <c r="R85" i="31"/>
  <c r="S85" i="31" s="1"/>
  <c r="R89" i="31"/>
  <c r="S89" i="31" s="1"/>
  <c r="R93" i="31"/>
  <c r="S93" i="31" s="1"/>
  <c r="R97" i="31"/>
  <c r="S97" i="31" s="1"/>
  <c r="R101" i="31"/>
  <c r="S101"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2" i="31"/>
  <c r="S102" i="31" s="1"/>
  <c r="I46" i="40"/>
  <c r="J46" i="40" s="1"/>
  <c r="R43" i="40"/>
  <c r="E42" i="40"/>
  <c r="I47" i="40" s="1"/>
  <c r="J47" i="40" s="1"/>
  <c r="G47" i="40"/>
  <c r="H47" i="40" s="1"/>
  <c r="G46" i="40"/>
  <c r="H46" i="40" s="1"/>
  <c r="R28" i="31" l="1"/>
  <c r="J2" i="80"/>
  <c r="C78" i="9"/>
  <c r="C73" i="9" s="1"/>
  <c r="R47" i="31"/>
  <c r="R26" i="31"/>
  <c r="R31" i="31"/>
  <c r="R42" i="31"/>
  <c r="R37" i="31"/>
  <c r="R40" i="31"/>
  <c r="H108" i="9"/>
  <c r="D15" i="53" s="1"/>
  <c r="B31" i="72" s="1"/>
  <c r="R39" i="31"/>
  <c r="R34" i="31"/>
  <c r="R45" i="31"/>
  <c r="R29" i="31"/>
  <c r="R32" i="31"/>
  <c r="S24" i="31"/>
  <c r="I2" i="80" s="1"/>
  <c r="R43" i="31"/>
  <c r="R35" i="31"/>
  <c r="R27" i="31"/>
  <c r="R46" i="31"/>
  <c r="R38" i="31"/>
  <c r="R30" i="31"/>
  <c r="R25" i="31"/>
  <c r="R41" i="31"/>
  <c r="R33" i="31"/>
  <c r="R44" i="31"/>
  <c r="R36" i="31"/>
  <c r="D53" i="9"/>
  <c r="C64" i="9"/>
  <c r="C63" i="9" s="1"/>
  <c r="C67" i="9" s="1"/>
  <c r="C68" i="9" s="1"/>
  <c r="D54" i="9" s="1"/>
  <c r="C93" i="9"/>
  <c r="C86" i="9" s="1"/>
  <c r="D52" i="9"/>
  <c r="C85" i="9"/>
  <c r="C72" i="9"/>
  <c r="D122" i="9"/>
  <c r="D8" i="52" s="1"/>
  <c r="D13" i="53"/>
  <c r="D14" i="53" s="1"/>
  <c r="B32" i="72" s="1"/>
  <c r="D4" i="52"/>
  <c r="B47" i="72" s="1"/>
  <c r="L68" i="9"/>
  <c r="M68" i="9" s="1"/>
  <c r="L66" i="9"/>
  <c r="M66" i="9" s="1"/>
  <c r="L63" i="9"/>
  <c r="M63" i="9" s="1"/>
  <c r="L65" i="9"/>
  <c r="M65" i="9" s="1"/>
  <c r="L64" i="9"/>
  <c r="M64" i="9" s="1"/>
  <c r="L67" i="9"/>
  <c r="M67" i="9" s="1"/>
  <c r="C79" i="9"/>
  <c r="C43" i="40"/>
  <c r="C42" i="40"/>
  <c r="E46" i="40"/>
  <c r="F46" i="40" s="1"/>
  <c r="E47" i="40"/>
  <c r="F47" i="40" s="1"/>
  <c r="J11" i="80" l="1"/>
  <c r="J16" i="80"/>
  <c r="J22" i="80"/>
  <c r="J19" i="80"/>
  <c r="J8" i="80"/>
  <c r="J24" i="80"/>
  <c r="J13" i="80"/>
  <c r="J7" i="80"/>
  <c r="J12" i="80"/>
  <c r="J15" i="80"/>
  <c r="J9" i="80"/>
  <c r="J25" i="80"/>
  <c r="J14" i="80"/>
  <c r="J3" i="80"/>
  <c r="J5" i="80"/>
  <c r="J21" i="80"/>
  <c r="J10" i="80"/>
  <c r="J23" i="80"/>
  <c r="J17" i="80"/>
  <c r="J18" i="80"/>
  <c r="J20" i="80"/>
  <c r="J4" i="80"/>
  <c r="J6" i="80"/>
  <c r="S44" i="31"/>
  <c r="I22" i="80" s="1"/>
  <c r="S41" i="31"/>
  <c r="I19" i="80" s="1"/>
  <c r="S30" i="31"/>
  <c r="I8" i="80" s="1"/>
  <c r="S46" i="31"/>
  <c r="I24" i="80" s="1"/>
  <c r="S35" i="31"/>
  <c r="I13" i="80" s="1"/>
  <c r="S29" i="31"/>
  <c r="I7" i="80" s="1"/>
  <c r="S34" i="31"/>
  <c r="I12" i="80" s="1"/>
  <c r="S37" i="31"/>
  <c r="I15" i="80" s="1"/>
  <c r="S31" i="31"/>
  <c r="I9" i="80" s="1"/>
  <c r="S47" i="31"/>
  <c r="I25" i="80" s="1"/>
  <c r="S36" i="31"/>
  <c r="I14" i="80" s="1"/>
  <c r="S33" i="31"/>
  <c r="I11" i="80" s="1"/>
  <c r="S25" i="31"/>
  <c r="I3" i="80" s="1"/>
  <c r="S38" i="31"/>
  <c r="I16" i="80" s="1"/>
  <c r="S27" i="31"/>
  <c r="I5" i="80" s="1"/>
  <c r="S43" i="31"/>
  <c r="I21" i="80" s="1"/>
  <c r="S32" i="31"/>
  <c r="I10" i="80" s="1"/>
  <c r="S45" i="31"/>
  <c r="I23" i="80" s="1"/>
  <c r="S39" i="31"/>
  <c r="I17" i="80" s="1"/>
  <c r="S40" i="31"/>
  <c r="I18" i="80" s="1"/>
  <c r="S42" i="31"/>
  <c r="I20" i="80" s="1"/>
  <c r="S26" i="31"/>
  <c r="I4" i="80" s="1"/>
  <c r="S28" i="31"/>
  <c r="I6" i="80" s="1"/>
  <c r="C95" i="9"/>
  <c r="C96" i="9" s="1"/>
  <c r="E96" i="9" s="1"/>
  <c r="E97" i="9" s="1"/>
  <c r="G14" i="74"/>
  <c r="B6" i="74" s="1"/>
  <c r="C6" i="74" s="1"/>
  <c r="D123" i="9"/>
  <c r="D9" i="52" s="1"/>
  <c r="B30" i="72"/>
  <c r="M69" i="9"/>
  <c r="N69" i="9" s="1"/>
  <c r="C80" i="9"/>
  <c r="E80" i="9" s="1"/>
  <c r="E81" i="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D6" i="74" l="1"/>
  <c r="S22" i="31"/>
  <c r="C97" i="9"/>
  <c r="D58" i="9" s="1"/>
  <c r="D56" i="9" s="1"/>
  <c r="M54" i="9" s="1"/>
  <c r="N57" i="9" s="1"/>
  <c r="N58" i="9" s="1"/>
  <c r="C81" i="9"/>
  <c r="R22" i="31" l="1"/>
  <c r="B20" i="31"/>
  <c r="B21" i="31"/>
  <c r="J26" i="80"/>
  <c r="I26" i="80"/>
  <c r="P57" i="9"/>
  <c r="N59" i="9"/>
  <c r="N61" i="9" s="1"/>
  <c r="N60" i="9" l="1"/>
  <c r="T22" i="3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<sst xmlns="http://schemas.openxmlformats.org/spreadsheetml/2006/main" count="7800" uniqueCount="3277">
  <si>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</si>
  <si>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</si>
  <si>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</si>
  <si>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</si>
  <si>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</si>
  <si>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</si>
  <si>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</si>
  <si>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</si>
  <si>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</si>
  <si>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</si>
  <si>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</si>
  <si>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</si>
  <si>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</si>
  <si>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</si>
  <si>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</si>
  <si>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</si>
  <si>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</si>
  <si>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</si>
  <si>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</si>
  <si>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</si>
  <si>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</si>
  <si>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</si>
  <si>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</si>
  <si>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</si>
  <si>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</si>
  <si>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</si>
  <si>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</si>
  <si>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</si>
  <si>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</si>
  <si>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</si>
  <si>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</si>
  <si>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</si>
  <si>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</si>
  <si>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</si>
  <si>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</si>
  <si>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</si>
  <si>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</si>
  <si>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</si>
  <si>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</si>
  <si>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</si>
  <si>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</si>
  <si>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</si>
  <si>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</si>
  <si>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</si>
  <si>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</si>
  <si>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</si>
  <si>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</si>
  <si>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</si>
  <si>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</si>
  <si>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</si>
  <si>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</si>
  <si>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</si>
  <si>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</si>
  <si>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</si>
  <si>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</si>
  <si>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</si>
  <si>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</si>
  <si>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</si>
  <si>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</si>
  <si>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</si>
  <si>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</si>
  <si>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</si>
  <si>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</si>
  <si>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</si>
  <si>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</si>
  <si>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</si>
  <si>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</si>
  <si>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</si>
  <si>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</si>
  <si>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</si>
  <si>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</si>
  <si>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</si>
  <si>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</si>
  <si>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</si>
  <si>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</si>
  <si>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</si>
  <si>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</si>
  <si>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</si>
  <si>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</si>
  <si>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</si>
  <si>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</si>
  <si>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</si>
  <si>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</si>
  <si>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</si>
  <si>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</si>
  <si>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</si>
  <si>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</si>
  <si>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</si>
  <si>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</si>
  <si>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</si>
  <si>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</si>
  <si>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</si>
  <si>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</si>
  <si>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</si>
  <si>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</si>
  <si>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</si>
  <si>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</si>
  <si>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</si>
  <si>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</si>
  <si>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</si>
  <si>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</si>
  <si>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</si>
  <si>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</si>
  <si>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</si>
  <si>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</si>
  <si>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</si>
  <si>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</si>
  <si>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</si>
  <si>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</si>
  <si>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</si>
  <si>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</si>
  <si>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</si>
  <si>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</si>
  <si>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</si>
  <si>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</si>
  <si>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</si>
  <si>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</si>
  <si>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</si>
  <si>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</si>
  <si>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</si>
  <si>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</si>
  <si>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</si>
  <si>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</si>
  <si>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</si>
  <si>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</si>
  <si>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</si>
  <si>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</si>
  <si>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</si>
  <si>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</si>
  <si>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</si>
  <si>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</si>
  <si>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</si>
  <si>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</si>
  <si>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</si>
  <si>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</si>
  <si>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</si>
  <si>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</si>
  <si>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</si>
  <si>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</si>
  <si>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</si>
  <si>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</si>
  <si>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</si>
  <si>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</si>
  <si>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</si>
  <si>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</si>
  <si>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</si>
  <si>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</si>
  <si>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</si>
  <si>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</si>
  <si>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</si>
  <si>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</si>
  <si>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</si>
  <si>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</si>
  <si>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</si>
  <si>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</si>
  <si>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</si>
  <si>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</si>
  <si>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</si>
  <si>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</si>
  <si>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</si>
  <si>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</si>
  <si>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</si>
  <si>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</si>
  <si>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</si>
  <si>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</si>
  <si>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</si>
  <si>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</si>
  <si>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</si>
  <si>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</si>
  <si>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</si>
  <si>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</si>
  <si>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</si>
  <si>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</si>
  <si>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</si>
  <si>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</si>
  <si>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</si>
  <si>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</si>
  <si>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</si>
  <si>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</si>
  <si>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</si>
  <si>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</si>
  <si>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</si>
  <si>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</si>
  <si>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</si>
  <si>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</si>
  <si>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</si>
  <si>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</si>
  <si>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</si>
  <si>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</si>
  <si>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</si>
  <si>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</si>
  <si>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</si>
  <si>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</si>
  <si>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</si>
  <si>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</si>
  <si>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</si>
  <si>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</si>
  <si>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</si>
  <si>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</si>
  <si>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</si>
  <si>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</si>
  <si>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</si>
  <si>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</si>
  <si>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</si>
  <si>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</si>
  <si>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</si>
  <si>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</si>
  <si>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</si>
  <si>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</si>
  <si>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</si>
  <si>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</si>
  <si>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</si>
  <si>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</si>
  <si>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</si>
  <si>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</si>
  <si>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</si>
  <si>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</si>
  <si>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</si>
  <si>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</si>
  <si>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</si>
  <si>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</si>
  <si>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</si>
  <si>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</si>
  <si>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</si>
  <si>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</si>
  <si>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</si>
  <si>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</si>
  <si>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</si>
  <si>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</si>
  <si>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</si>
  <si>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</si>
  <si>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</si>
  <si>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</si>
  <si>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</si>
  <si>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</si>
  <si>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</si>
  <si>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</si>
  <si>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</si>
  <si>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</si>
  <si>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</si>
  <si>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</si>
  <si>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</si>
  <si>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</si>
  <si>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</si>
  <si>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</si>
  <si>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</si>
  <si>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</si>
  <si>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</si>
  <si>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</si>
  <si>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</si>
  <si>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</si>
  <si>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</si>
  <si>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</si>
  <si>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</si>
  <si>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</si>
  <si>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</si>
  <si>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</si>
  <si>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</si>
  <si>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</si>
  <si>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</si>
  <si>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</si>
  <si>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</si>
  <si>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</si>
  <si>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</si>
  <si>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</si>
  <si>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</si>
  <si>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</si>
  <si>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</si>
  <si>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</si>
  <si>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</si>
  <si>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</si>
  <si>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</si>
  <si>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</si>
  <si>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</si>
  <si>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</si>
  <si>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</si>
  <si>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</si>
  <si>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</si>
  <si>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</si>
  <si>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</si>
  <si>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</si>
  <si>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</si>
  <si>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</si>
  <si>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</si>
  <si>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</si>
  <si>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</si>
  <si>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</si>
  <si>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</si>
  <si>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</si>
  <si>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</si>
  <si>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</si>
  <si>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</si>
  <si>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</si>
  <si>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</si>
  <si>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</si>
  <si>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</si>
  <si>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</si>
  <si>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</si>
  <si>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</si>
  <si>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</si>
  <si>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</si>
  <si>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</si>
  <si>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</si>
  <si>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</si>
  <si>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</si>
  <si>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</si>
  <si>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</si>
  <si>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</si>
  <si>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</si>
  <si>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</si>
  <si>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</si>
  <si>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</si>
  <si>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</si>
  <si>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</si>
  <si>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</si>
  <si>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</si>
  <si>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</si>
  <si>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</si>
  <si>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</si>
  <si>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</si>
  <si>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</si>
  <si>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</si>
  <si>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</si>
  <si>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</si>
  <si>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</si>
  <si>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</si>
  <si>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</si>
  <si>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</si>
  <si>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</si>
  <si>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</si>
  <si>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</si>
  <si>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</si>
  <si>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</si>
  <si>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</si>
  <si>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</si>
  <si>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</si>
  <si>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</si>
  <si>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</si>
  <si>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</si>
  <si>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</si>
  <si>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</si>
  <si>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</si>
  <si>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</si>
  <si>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</si>
  <si>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</si>
  <si>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</si>
  <si>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</si>
  <si>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</si>
  <si>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</si>
  <si>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</si>
  <si>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</si>
  <si>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</si>
  <si>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</si>
  <si>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</si>
  <si>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</si>
  <si>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</si>
  <si>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</si>
  <si>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</si>
  <si>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</si>
  <si>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</si>
  <si>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</si>
  <si>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</si>
  <si>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</si>
  <si>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</si>
  <si>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</si>
  <si>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</si>
  <si>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</si>
  <si>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</si>
  <si>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</si>
  <si>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</si>
  <si>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</si>
  <si>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</si>
  <si>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</si>
  <si>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</si>
  <si>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</si>
  <si>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</si>
  <si>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</si>
  <si>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</si>
  <si>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</si>
  <si>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</si>
  <si>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</si>
  <si>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</si>
  <si>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</si>
  <si>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</si>
  <si>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</si>
  <si>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</si>
  <si>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</si>
  <si>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</si>
  <si>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</si>
  <si>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</si>
  <si>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</si>
  <si>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</si>
  <si>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</si>
  <si>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</si>
  <si>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</si>
  <si>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</si>
  <si>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</si>
  <si>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</si>
  <si>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</si>
  <si>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</si>
  <si>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</si>
  <si>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</si>
  <si>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</si>
  <si>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</si>
  <si>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</si>
  <si>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</si>
  <si>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</si>
  <si>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</si>
  <si>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</si>
  <si>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</si>
  <si>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</si>
  <si>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</si>
  <si>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</si>
  <si>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</si>
  <si>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</si>
  <si>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</si>
  <si>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</si>
  <si>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</si>
  <si>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</si>
  <si>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</si>
  <si>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</si>
  <si>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</si>
  <si>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</si>
  <si>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</si>
  <si>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</si>
  <si>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</si>
  <si>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</si>
  <si>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</si>
  <si>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</si>
  <si>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</si>
  <si>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</si>
  <si>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</si>
  <si>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</si>
  <si>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</si>
  <si>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</si>
  <si>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</si>
  <si>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</si>
  <si>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</si>
  <si>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</si>
  <si>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</si>
  <si>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</si>
  <si>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</si>
  <si>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</si>
  <si>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</si>
  <si>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</si>
  <si>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</si>
  <si>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</si>
  <si>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</si>
  <si>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</si>
  <si>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</si>
  <si>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</si>
  <si>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</si>
  <si>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</si>
  <si>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</si>
  <si>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</si>
  <si>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</si>
  <si>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</si>
  <si>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</si>
  <si>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</si>
  <si>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</si>
  <si>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</si>
  <si>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</si>
  <si>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</si>
  <si>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</si>
  <si>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</si>
  <si>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</si>
  <si>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</si>
  <si>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</si>
  <si>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</si>
  <si>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</si>
  <si>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</si>
  <si>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</si>
  <si>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</si>
  <si>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</si>
  <si>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</si>
  <si>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</si>
  <si>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</si>
  <si>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</si>
  <si>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</si>
  <si>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</si>
  <si>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</si>
  <si>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</si>
  <si>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</si>
  <si>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</si>
  <si>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</si>
  <si>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</si>
  <si>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</si>
  <si>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</si>
  <si>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</si>
  <si>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</si>
  <si>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</si>
  <si>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</si>
  <si>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</si>
  <si>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</si>
  <si>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</si>
  <si>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</si>
  <si>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</si>
  <si>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</si>
  <si>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</si>
  <si>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</si>
  <si>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</si>
  <si>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</si>
  <si>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</si>
  <si>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</si>
  <si>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</si>
  <si>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</si>
  <si>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</si>
  <si>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</si>
  <si>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</si>
  <si>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</si>
  <si>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</si>
  <si>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</si>
  <si>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</si>
  <si>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</si>
  <si>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</si>
  <si>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</si>
  <si>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</si>
  <si>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</si>
  <si>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</si>
  <si>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</si>
  <si>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</si>
  <si>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</si>
  <si>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</si>
  <si>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</si>
  <si>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</si>
  <si>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</si>
  <si>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</si>
  <si>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</si>
  <si>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</si>
  <si>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</si>
  <si>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</si>
  <si>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</si>
  <si>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</si>
  <si>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</si>
  <si>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</si>
  <si>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</si>
  <si>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</si>
  <si>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</si>
  <si>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</si>
  <si>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</si>
  <si>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</si>
  <si>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</si>
  <si>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</si>
  <si>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</si>
  <si>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</si>
  <si>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</si>
  <si>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</si>
  <si>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</si>
  <si>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</si>
  <si>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</si>
  <si>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</si>
  <si>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</si>
  <si>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</si>
  <si>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</si>
  <si>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</si>
  <si>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</si>
  <si>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</si>
  <si>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</si>
  <si>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</si>
  <si>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</si>
  <si>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</si>
  <si>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</si>
  <si>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</si>
  <si>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</si>
  <si>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</si>
  <si>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</si>
  <si>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</si>
  <si>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</si>
  <si>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</si>
  <si>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</si>
  <si>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</si>
  <si>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</si>
  <si>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</si>
  <si>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</si>
  <si>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</si>
  <si>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</si>
  <si>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</si>
  <si>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</si>
  <si>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</si>
  <si>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</si>
  <si>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</si>
  <si>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</si>
  <si>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</si>
  <si>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</si>
  <si>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</si>
  <si>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</si>
  <si>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</si>
  <si>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</si>
  <si>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</si>
  <si>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</si>
  <si>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</si>
  <si>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</si>
  <si>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</si>
  <si>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</si>
  <si>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</si>
  <si>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</si>
  <si>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</si>
  <si>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</si>
  <si>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</si>
  <si>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</si>
  <si>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</si>
  <si>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</si>
  <si>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</si>
  <si>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</si>
  <si>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</si>
  <si>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</si>
  <si>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</si>
  <si>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</si>
  <si>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</si>
  <si>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</si>
  <si>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</si>
  <si>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</si>
  <si>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</si>
  <si>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</si>
  <si>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</si>
  <si>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</si>
  <si>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</si>
  <si>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</si>
  <si>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</si>
  <si>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</si>
  <si>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</si>
  <si>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</si>
  <si>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</si>
  <si>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</si>
  <si>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</si>
  <si>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</si>
  <si>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</si>
  <si>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</si>
  <si>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</si>
  <si>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</si>
  <si>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</si>
  <si>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</si>
  <si>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</si>
  <si>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</si>
  <si>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</si>
  <si>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</si>
  <si>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</si>
  <si>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</si>
  <si>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</si>
  <si>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</si>
  <si>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</si>
  <si>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</si>
  <si>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</si>
  <si>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</si>
  <si>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</si>
  <si>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</si>
  <si>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</si>
  <si>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</si>
  <si>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</si>
  <si>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</si>
  <si>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</si>
  <si>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</si>
  <si>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</si>
  <si>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</si>
  <si>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</si>
  <si>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</si>
  <si>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</si>
  <si>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</si>
  <si>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</si>
  <si>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</si>
  <si>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</si>
  <si>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</si>
  <si>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</si>
  <si>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</si>
  <si>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</si>
  <si>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</si>
  <si>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</si>
  <si>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</si>
  <si>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</si>
  <si>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</si>
  <si>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</si>
  <si>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</si>
  <si>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</si>
  <si>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</si>
  <si>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</si>
  <si>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</si>
  <si>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</si>
  <si>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</si>
  <si>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</si>
  <si>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</si>
  <si>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</si>
  <si>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</si>
  <si>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</si>
  <si>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</si>
  <si>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</si>
  <si>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</si>
  <si>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</si>
  <si>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</si>
  <si>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</si>
  <si>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</si>
  <si>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</si>
  <si>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</si>
  <si>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</si>
  <si>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</si>
  <si>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</si>
  <si>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</si>
  <si>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</si>
  <si>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</si>
  <si>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</si>
  <si>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</si>
  <si>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</si>
  <si>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</si>
  <si>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</si>
  <si>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</si>
  <si>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</si>
  <si>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</si>
  <si>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</si>
  <si>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</si>
  <si>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</si>
  <si>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</si>
  <si>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</si>
  <si>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</si>
  <si>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</si>
  <si>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</si>
  <si>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</si>
  <si>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</si>
  <si>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</si>
  <si>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</si>
  <si>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</si>
  <si>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</si>
  <si>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</si>
  <si>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</si>
  <si>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</si>
  <si>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</si>
  <si>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</si>
  <si>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</si>
  <si>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</si>
  <si>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</si>
  <si>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</si>
  <si>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</si>
  <si>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</si>
  <si>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</si>
  <si>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</si>
  <si>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</si>
  <si>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</si>
  <si>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</si>
  <si>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</si>
  <si>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</si>
  <si>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</si>
  <si>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</si>
  <si>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</si>
  <si>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</si>
  <si>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</si>
  <si>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</si>
  <si>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</si>
  <si>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</si>
  <si>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</si>
  <si>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</si>
  <si>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</si>
  <si>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</si>
  <si>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</si>
  <si>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</si>
  <si>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</si>
  <si>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</si>
  <si>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</si>
  <si>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</si>
  <si>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</si>
  <si>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</si>
  <si>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</si>
  <si>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</si>
  <si>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</si>
  <si>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</si>
  <si>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</si>
  <si>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</si>
  <si>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</si>
  <si>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</si>
  <si>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</si>
  <si>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</si>
  <si>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</si>
  <si>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</si>
  <si>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</si>
  <si>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</si>
  <si>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</si>
  <si>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</si>
  <si>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</si>
  <si>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</si>
  <si>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</si>
  <si>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</si>
  <si>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</si>
  <si>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</si>
  <si>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</si>
  <si>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</si>
  <si>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</si>
  <si>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</si>
  <si>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</si>
  <si>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</si>
  <si>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</si>
  <si>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</si>
  <si>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</si>
  <si>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</si>
  <si>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</si>
  <si>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</si>
  <si>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</si>
  <si>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</si>
  <si>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</si>
  <si>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</si>
  <si>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</si>
  <si>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</si>
  <si>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</si>
  <si>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</si>
  <si>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</si>
  <si>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</si>
  <si>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</si>
  <si>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</si>
  <si>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</si>
  <si>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</si>
  <si>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</si>
  <si>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</si>
  <si>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</si>
  <si>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</si>
  <si>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</si>
  <si>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</si>
  <si>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</si>
  <si>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</si>
  <si>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</si>
  <si>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</si>
  <si>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</si>
  <si>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</si>
  <si>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</si>
  <si>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</si>
  <si>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</si>
  <si>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</si>
  <si>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</si>
  <si>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</si>
  <si>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</si>
  <si>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</si>
  <si>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</si>
  <si>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</si>
  <si>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</si>
  <si>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</si>
  <si>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</si>
  <si>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</si>
  <si>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</si>
  <si>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</si>
  <si>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</si>
  <si>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</si>
  <si>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</si>
  <si>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</si>
  <si>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</si>
  <si>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</si>
  <si>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</si>
  <si>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</si>
  <si>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</si>
  <si>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</si>
  <si>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</si>
  <si>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</si>
  <si>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</si>
  <si>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</si>
  <si>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</si>
  <si>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</si>
  <si>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</si>
  <si>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</si>
  <si>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</si>
  <si>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</si>
  <si>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</si>
  <si>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</si>
  <si>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</si>
  <si>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</si>
  <si>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</si>
  <si>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</si>
  <si>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</si>
  <si>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</si>
  <si>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</si>
  <si>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</si>
  <si>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</si>
  <si>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</si>
  <si>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</si>
  <si>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</si>
  <si>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</si>
  <si>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</si>
  <si>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</si>
  <si>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</si>
  <si>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</si>
  <si>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</si>
  <si>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</si>
  <si>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</si>
  <si>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</si>
  <si>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</si>
  <si>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</si>
  <si>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</si>
  <si>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</si>
  <si>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</si>
  <si>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</si>
  <si>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</si>
  <si>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</si>
  <si>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</si>
  <si>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</si>
  <si>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</si>
  <si>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</si>
  <si>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</si>
  <si>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</si>
  <si>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</si>
  <si>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</si>
  <si>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</si>
  <si>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</si>
  <si>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</si>
  <si>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</si>
  <si>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</si>
  <si>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</si>
  <si>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</si>
  <si>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</si>
  <si>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</si>
  <si>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</si>
  <si>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</si>
  <si>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</si>
  <si>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</si>
  <si>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</si>
  <si>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</si>
  <si>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</si>
  <si>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</si>
  <si>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</si>
  <si>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</si>
  <si>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</si>
  <si>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</si>
  <si>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</si>
  <si>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</si>
  <si>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</si>
  <si>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</si>
  <si>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</si>
  <si>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</si>
  <si>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</si>
  <si>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</si>
  <si>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</si>
  <si>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</si>
  <si>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</si>
  <si>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</si>
  <si>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</si>
  <si>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</si>
  <si>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</si>
  <si>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</si>
  <si>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</si>
  <si>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</si>
  <si>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</si>
  <si>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</si>
  <si>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</si>
  <si>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</si>
  <si>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</si>
  <si>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</si>
  <si>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</si>
  <si>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</si>
  <si>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</si>
  <si>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</si>
  <si>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</si>
  <si>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</si>
  <si>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</si>
  <si>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</si>
  <si>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</si>
  <si>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</si>
  <si>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</si>
  <si>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</si>
  <si>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</si>
  <si>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</si>
  <si>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</si>
  <si>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</si>
  <si>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</si>
  <si>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</si>
  <si>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</si>
  <si>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</si>
  <si>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</si>
  <si>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</si>
  <si>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</si>
  <si>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</si>
  <si>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</si>
  <si>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</si>
  <si>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</si>
  <si>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</si>
  <si>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</si>
  <si>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</si>
  <si>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</si>
  <si>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</si>
  <si>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</si>
  <si>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</si>
  <si>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</si>
  <si>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</si>
  <si>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</si>
  <si>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</si>
  <si>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</si>
  <si>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</si>
  <si>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</si>
  <si>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</si>
  <si>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</si>
  <si>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</si>
  <si>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</si>
  <si>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</si>
  <si>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</si>
  <si>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</si>
  <si>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</si>
  <si>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</si>
  <si>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</si>
  <si>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</si>
  <si>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</si>
  <si>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</si>
  <si>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</si>
  <si>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</si>
  <si>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</si>
  <si>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</si>
  <si>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</si>
  <si>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</si>
  <si>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</si>
  <si>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</si>
  <si>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</si>
  <si>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</si>
  <si>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</si>
  <si>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</si>
  <si>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</si>
  <si>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</si>
  <si>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</si>
  <si>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</si>
  <si>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</si>
  <si>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</si>
  <si>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</si>
  <si>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</si>
  <si>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</si>
  <si>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</si>
  <si>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</si>
  <si>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</si>
  <si>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</si>
  <si>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</si>
  <si>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</si>
  <si>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</si>
  <si>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</si>
  <si>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</si>
  <si>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</si>
  <si>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</si>
  <si>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</si>
  <si>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</si>
  <si>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</si>
  <si>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</si>
  <si>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</si>
  <si>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</si>
  <si>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</si>
  <si>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</si>
  <si>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</si>
  <si>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</si>
  <si>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</si>
  <si>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</si>
  <si>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</si>
  <si>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</si>
  <si>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</si>
  <si>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</si>
  <si>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</si>
  <si>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</si>
  <si>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</si>
  <si>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</si>
  <si>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</si>
  <si>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</si>
  <si>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</si>
  <si>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</si>
  <si>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</si>
  <si>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</si>
  <si>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</si>
  <si>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</si>
  <si>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</si>
  <si>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</si>
  <si>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</si>
  <si>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</si>
  <si>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</si>
  <si>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</si>
  <si>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</si>
  <si>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</si>
  <si>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</si>
  <si>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</si>
  <si>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</si>
  <si>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</si>
  <si>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</si>
  <si>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</si>
  <si>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</si>
  <si>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</si>
  <si>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</si>
  <si>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</si>
  <si>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</si>
  <si>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</si>
  <si>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</si>
  <si>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</si>
  <si>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</si>
  <si>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</si>
  <si>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</si>
  <si>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</si>
  <si>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</si>
  <si>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</si>
  <si>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</si>
  <si>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</si>
  <si>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</si>
  <si>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</si>
  <si>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</si>
  <si>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</si>
  <si>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</si>
  <si>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</si>
  <si>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</si>
  <si>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</si>
  <si>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</si>
  <si>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</si>
  <si>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</si>
  <si>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</si>
  <si>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</si>
  <si>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</si>
  <si>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</si>
  <si>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</si>
  <si>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</si>
  <si>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</si>
  <si>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</si>
  <si>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</si>
  <si>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</si>
  <si>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</si>
  <si>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</si>
  <si>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</si>
  <si>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</si>
  <si>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</si>
  <si>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</si>
  <si>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</si>
  <si>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</si>
  <si>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</si>
  <si>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</si>
  <si>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</si>
  <si>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</si>
  <si>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</si>
  <si>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</si>
  <si>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</si>
  <si>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</si>
  <si>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</si>
  <si>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</si>
  <si>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</si>
  <si>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</si>
  <si>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</si>
  <si>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</si>
  <si>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</si>
  <si>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</si>
  <si>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</si>
  <si>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</si>
  <si>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</si>
  <si>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</si>
  <si>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</si>
  <si>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</si>
  <si>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</si>
  <si>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</si>
  <si>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</si>
  <si>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</si>
  <si>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</si>
  <si>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</si>
  <si>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</si>
  <si>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</si>
  <si>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</si>
  <si>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</si>
  <si>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</si>
  <si>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</si>
  <si>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</si>
  <si>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</si>
  <si>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</si>
  <si>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</si>
  <si>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</si>
  <si>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</si>
  <si>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</si>
  <si>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</si>
  <si>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</si>
  <si>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</si>
  <si>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</si>
  <si>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</si>
  <si>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</si>
  <si>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</si>
  <si>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</si>
  <si>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</si>
  <si>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</si>
  <si>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</si>
  <si>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</si>
  <si>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</si>
  <si>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</si>
  <si>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</si>
  <si>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</si>
  <si>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</si>
  <si>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</si>
  <si>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</si>
  <si>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</si>
  <si>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</si>
  <si>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</si>
  <si>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</si>
  <si>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</si>
  <si>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</si>
  <si>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</si>
  <si>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</si>
  <si>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</si>
  <si>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</si>
  <si>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</si>
  <si>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</si>
  <si>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</si>
  <si>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</si>
  <si>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</si>
  <si>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</si>
  <si>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</si>
  <si>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</si>
  <si>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</si>
  <si>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</si>
  <si>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</si>
  <si>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</si>
  <si>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</si>
  <si>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</si>
  <si>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</si>
  <si>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</si>
  <si>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</si>
  <si>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</si>
  <si>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</si>
  <si>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</si>
  <si>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</si>
  <si>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</si>
  <si>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</si>
  <si>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</si>
  <si>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</si>
  <si>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</si>
  <si>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</si>
  <si>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</si>
  <si>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</si>
  <si>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</si>
  <si>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</si>
  <si>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</si>
  <si>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</si>
  <si>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</si>
  <si>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</si>
  <si>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</si>
  <si>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</si>
  <si>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</si>
  <si>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</si>
  <si>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</si>
  <si>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</si>
  <si>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</si>
  <si>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</si>
  <si>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</si>
  <si>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</si>
  <si>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</si>
  <si>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</si>
  <si>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</si>
  <si>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</si>
  <si>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</si>
  <si>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</si>
  <si>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</si>
  <si>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</si>
  <si>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</si>
  <si>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</si>
  <si>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</si>
  <si>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</si>
  <si>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</si>
  <si>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</si>
  <si>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</si>
  <si>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</si>
  <si>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</si>
  <si>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</si>
  <si>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</si>
  <si>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</si>
  <si>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</si>
  <si>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</si>
  <si>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</si>
  <si>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</si>
  <si>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</si>
  <si>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</si>
  <si>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</si>
  <si>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</si>
  <si>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</si>
  <si>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</si>
  <si>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</si>
  <si>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</si>
  <si>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</si>
  <si>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</si>
  <si>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</si>
  <si>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</si>
  <si>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</si>
  <si>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</si>
  <si>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</si>
  <si>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</si>
  <si>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</si>
  <si>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</si>
  <si>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</si>
  <si>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</si>
  <si>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</si>
  <si>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</si>
  <si>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</si>
  <si>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</si>
  <si>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</si>
  <si>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</si>
  <si>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</si>
  <si>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</si>
  <si>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</si>
  <si>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</si>
  <si>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</si>
  <si>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</si>
  <si>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</si>
  <si>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</si>
  <si>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</si>
  <si>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</si>
  <si>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</si>
  <si>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</si>
  <si>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</si>
  <si>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</si>
  <si>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</si>
  <si>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</si>
  <si>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</si>
  <si>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</si>
  <si>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</si>
  <si>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</si>
  <si>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</si>
  <si>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</si>
  <si>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</si>
  <si>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</si>
  <si>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</si>
  <si>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</si>
  <si>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</si>
  <si>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</si>
  <si>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</si>
  <si>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</si>
  <si>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</si>
  <si>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</si>
  <si>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</si>
  <si>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</si>
  <si>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</si>
  <si>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</si>
  <si>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</si>
  <si>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</si>
  <si>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</si>
  <si>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</si>
  <si>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</si>
  <si>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</si>
  <si>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</si>
  <si>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</si>
  <si>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</si>
  <si>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</si>
  <si>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</si>
  <si>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</si>
  <si>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</si>
  <si>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</si>
  <si>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</si>
  <si>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</si>
  <si>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</si>
  <si>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</si>
  <si>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</si>
  <si>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</si>
  <si>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</si>
  <si>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</si>
  <si>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</si>
  <si>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</si>
  <si>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</si>
  <si>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</si>
  <si>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</si>
  <si>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</si>
  <si>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</si>
  <si>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</si>
  <si>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</si>
  <si>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</si>
  <si>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</si>
  <si>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</si>
  <si>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</si>
  <si>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</si>
  <si>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</si>
  <si>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</si>
  <si>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</si>
  <si>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</si>
  <si>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</si>
  <si>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</si>
  <si>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</si>
  <si>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</si>
  <si>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</si>
  <si>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</si>
  <si>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</si>
  <si>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</si>
  <si>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</si>
  <si>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</si>
  <si>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</si>
  <si>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</si>
  <si>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</si>
  <si>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</si>
  <si>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</si>
  <si>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</si>
  <si>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</si>
  <si>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</si>
  <si>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</si>
  <si>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</si>
  <si>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</si>
  <si>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</si>
  <si>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</si>
  <si>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</si>
  <si>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</si>
  <si>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</si>
  <si>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</si>
  <si>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</si>
  <si>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</si>
  <si>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</si>
  <si>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</si>
  <si>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</si>
  <si>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</si>
  <si>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</si>
  <si>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</si>
  <si>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</si>
  <si>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</si>
  <si>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</si>
  <si>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</si>
  <si>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</si>
  <si>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</si>
  <si>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</si>
  <si>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</si>
  <si>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</si>
  <si>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</si>
  <si>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</si>
  <si>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</si>
  <si>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</si>
  <si>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</si>
  <si>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</si>
  <si>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</si>
  <si>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</si>
  <si>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</si>
  <si>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</si>
  <si>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</si>
  <si>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</si>
  <si>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</si>
  <si>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</si>
  <si>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</si>
  <si>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</si>
  <si>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</si>
  <si>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</si>
  <si>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</si>
  <si>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</si>
  <si>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</si>
  <si>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</si>
  <si>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</si>
  <si>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</si>
  <si>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</si>
  <si>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</si>
  <si>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</si>
  <si>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</si>
  <si>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</si>
  <si>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</si>
  <si>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</si>
  <si>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</si>
  <si>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</si>
  <si>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</si>
  <si>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</si>
  <si>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</si>
  <si>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</si>
  <si>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</si>
  <si>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</si>
  <si>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</si>
  <si>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</si>
  <si>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</si>
  <si>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</si>
  <si>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</si>
  <si>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</si>
  <si>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</si>
  <si>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</si>
  <si>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</si>
  <si>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</si>
  <si>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</si>
  <si>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</si>
  <si>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</si>
  <si>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</si>
  <si>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</si>
  <si>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</si>
  <si>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</si>
  <si>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</si>
  <si>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</si>
  <si>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</si>
  <si>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</si>
  <si>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</si>
  <si>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</si>
  <si>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</si>
  <si>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</si>
  <si>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</si>
  <si>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</si>
  <si>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</si>
  <si>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</si>
  <si>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</si>
  <si>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</si>
  <si>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</si>
  <si>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</si>
  <si>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</si>
  <si>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</si>
  <si>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</si>
  <si>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</si>
  <si>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</si>
  <si>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</si>
  <si>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</si>
  <si>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</si>
  <si>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</si>
  <si>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</si>
  <si>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</si>
  <si>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</si>
  <si>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</si>
  <si>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</si>
  <si>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</si>
  <si>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</si>
  <si>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</si>
  <si>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</si>
  <si>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</si>
  <si>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</si>
  <si>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</si>
  <si>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</si>
  <si>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</si>
  <si>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</si>
  <si>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</si>
  <si>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</si>
  <si>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</si>
  <si>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</si>
  <si>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</si>
  <si>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</si>
  <si>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</si>
  <si>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</si>
  <si>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</si>
  <si>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</si>
  <si>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</si>
  <si>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</si>
  <si>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</si>
  <si>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</si>
  <si>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</si>
  <si>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</si>
  <si>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</si>
  <si>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</si>
  <si>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</si>
  <si>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</si>
  <si>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</si>
  <si>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</si>
  <si>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</si>
  <si>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</si>
  <si>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</si>
  <si>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</si>
  <si>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</si>
  <si>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</si>
  <si>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</si>
  <si>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</si>
  <si>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</si>
  <si>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</si>
  <si>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</si>
  <si>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</si>
  <si>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</si>
  <si>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</si>
  <si>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</si>
  <si>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</si>
  <si>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</si>
  <si>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</si>
  <si>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</si>
  <si>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</si>
  <si>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</si>
  <si>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</si>
  <si>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</si>
  <si>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</si>
  <si>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</si>
  <si>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</si>
  <si>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</si>
  <si>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</si>
  <si>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</si>
  <si>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</si>
  <si>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</si>
  <si>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</si>
  <si>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</si>
  <si>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</si>
  <si>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</si>
  <si>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</si>
  <si>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</si>
  <si>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</si>
  <si>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</si>
  <si>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</si>
  <si>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</si>
  <si>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</si>
  <si>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</si>
  <si>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</si>
  <si>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</si>
  <si>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</si>
  <si>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</si>
  <si>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</si>
  <si>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</si>
  <si>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</si>
  <si>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</si>
  <si>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</si>
  <si>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</si>
  <si>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</si>
  <si>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</si>
  <si>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</si>
  <si>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</si>
  <si>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</si>
  <si>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</si>
  <si>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</si>
  <si>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</si>
  <si>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</si>
  <si>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</si>
  <si>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</si>
  <si>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</si>
  <si>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</si>
  <si>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</si>
  <si>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</si>
  <si>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</si>
  <si>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</si>
  <si>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</si>
  <si>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</si>
  <si>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</si>
  <si>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</si>
  <si>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</si>
  <si>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</si>
  <si>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</si>
  <si>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</si>
  <si>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</si>
  <si>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</si>
  <si>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</si>
  <si>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</si>
  <si>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</si>
  <si>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</si>
  <si>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</si>
  <si>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</si>
  <si>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</si>
  <si>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</si>
  <si>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</si>
  <si>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</si>
  <si>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</si>
  <si>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</si>
  <si>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</si>
  <si>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</si>
  <si>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</si>
  <si>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</si>
  <si>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</si>
  <si>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</si>
  <si>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</si>
  <si>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</si>
  <si>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</si>
  <si>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</si>
  <si>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</si>
  <si>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</si>
  <si>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</si>
  <si>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</si>
  <si>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</si>
  <si>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</si>
  <si>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</si>
  <si>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</si>
  <si>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</si>
  <si>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</si>
  <si>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</si>
  <si>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</si>
  <si>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</si>
  <si>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</si>
  <si>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</si>
  <si>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</si>
  <si>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</si>
  <si>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</si>
  <si>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</si>
  <si>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</si>
  <si>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</si>
  <si>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</si>
  <si>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</si>
  <si>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</si>
  <si>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</si>
  <si>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</si>
  <si>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</si>
  <si>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</si>
  <si>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</si>
  <si>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</si>
  <si>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</si>
  <si>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</si>
  <si>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</si>
  <si>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</si>
  <si>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</si>
  <si>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</si>
  <si>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</si>
  <si>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</si>
  <si>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</si>
  <si>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</si>
  <si>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</si>
  <si>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</si>
  <si>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</si>
  <si>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</si>
  <si>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</si>
  <si>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</si>
  <si>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</si>
  <si>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</si>
  <si>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</si>
  <si>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</si>
  <si>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</si>
  <si>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</si>
  <si>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</si>
  <si>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</si>
  <si>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</si>
  <si>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</si>
  <si>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</si>
  <si>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</si>
  <si>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</si>
  <si>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</si>
  <si>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</si>
  <si>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</si>
  <si>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</si>
  <si>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</si>
  <si>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</si>
  <si>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</si>
  <si>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</si>
  <si>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</si>
  <si>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</si>
  <si>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</si>
  <si>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</si>
  <si>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</si>
  <si>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</si>
  <si>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</si>
  <si>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</si>
  <si>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</si>
  <si>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</si>
  <si>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</si>
  <si>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</si>
  <si>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</si>
  <si>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</si>
  <si>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</si>
  <si>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</si>
  <si>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</si>
  <si>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</si>
  <si>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</si>
  <si>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</si>
  <si>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</si>
  <si>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</si>
  <si>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</si>
  <si>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</si>
  <si>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</si>
  <si>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</si>
  <si>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</si>
  <si>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</si>
  <si>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</si>
  <si>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</si>
  <si>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</si>
  <si>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</si>
  <si>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</si>
  <si>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</si>
  <si>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</si>
  <si>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</si>
  <si>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</si>
  <si>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</si>
  <si>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</si>
  <si>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</si>
  <si>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</si>
  <si>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</si>
  <si>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</si>
  <si>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</si>
  <si>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</si>
  <si>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</si>
  <si>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</si>
  <si>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</si>
  <si>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</si>
  <si>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</si>
  <si>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</si>
  <si>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</si>
  <si>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</si>
  <si>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</si>
  <si>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</si>
  <si>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</si>
  <si>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</si>
  <si>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</si>
  <si>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</si>
  <si>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</si>
  <si>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</si>
  <si>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</si>
  <si>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</si>
  <si>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</si>
  <si>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</si>
  <si>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</si>
  <si>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</si>
  <si>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</si>
  <si>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</si>
  <si>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</si>
  <si>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</si>
  <si>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</si>
  <si>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</si>
  <si>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</si>
  <si>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</si>
  <si>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</si>
  <si>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</si>
  <si>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</si>
  <si>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</si>
  <si>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</si>
  <si>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</si>
  <si>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</si>
  <si>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</si>
  <si>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</si>
  <si>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</si>
  <si>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</si>
  <si>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</si>
  <si>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</si>
  <si>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</si>
  <si>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</si>
  <si>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</si>
  <si>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</si>
  <si>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</si>
  <si>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</si>
  <si>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</si>
  <si>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</si>
  <si>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</si>
  <si>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</si>
  <si>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</si>
  <si>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</si>
  <si>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</si>
  <si>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</si>
  <si>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</si>
  <si>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</si>
  <si>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</si>
  <si>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</si>
  <si>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</si>
  <si>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</si>
  <si>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</si>
  <si>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</si>
  <si>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</si>
  <si>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</si>
  <si>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</si>
  <si>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</si>
  <si>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</si>
  <si>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</si>
  <si>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</si>
  <si>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</si>
  <si>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</si>
  <si>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</si>
  <si>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</si>
  <si>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</si>
  <si>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</si>
  <si>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</si>
  <si>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</si>
  <si>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</si>
  <si>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</si>
  <si>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</si>
  <si>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</si>
  <si>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</si>
  <si>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</si>
  <si>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</si>
  <si>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</si>
  <si>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</si>
  <si>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</si>
  <si>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</si>
  <si>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</si>
  <si>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</si>
  <si>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</si>
  <si>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</si>
  <si>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</si>
  <si>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</si>
  <si>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</si>
  <si>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</si>
  <si>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</si>
  <si>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</si>
  <si>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</si>
  <si>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</si>
  <si>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</si>
  <si>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</si>
  <si>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</si>
  <si>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</si>
  <si>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</si>
  <si>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</si>
  <si>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</si>
  <si>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</si>
  <si>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</si>
  <si>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</si>
  <si>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</si>
  <si>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</si>
  <si>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</si>
  <si>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</si>
  <si>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</si>
  <si>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</si>
  <si>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</si>
  <si>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</si>
  <si>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</si>
  <si>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</si>
  <si>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</si>
  <si>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</si>
  <si>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</si>
  <si>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</si>
  <si>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</si>
  <si>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</si>
  <si>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</si>
  <si>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</si>
  <si>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</si>
  <si>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</si>
  <si>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</si>
  <si>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</si>
  <si>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</si>
  <si>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</si>
  <si>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</si>
  <si>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</si>
  <si>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</si>
  <si>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</si>
  <si>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</si>
  <si>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</si>
  <si>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</si>
  <si>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</si>
  <si>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</si>
  <si>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</si>
  <si>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</si>
  <si>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</si>
  <si>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</si>
  <si>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</si>
  <si>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</si>
  <si>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</si>
  <si>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</si>
  <si>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</si>
  <si>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</si>
  <si>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</si>
  <si>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</si>
  <si>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</si>
  <si>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</si>
  <si>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</si>
  <si>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</si>
  <si>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</si>
  <si>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</si>
  <si>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</si>
  <si>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</si>
  <si>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</si>
  <si>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</si>
  <si>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</si>
  <si>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</si>
  <si>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</si>
  <si>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</si>
  <si>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</si>
  <si>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</si>
  <si>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</si>
  <si>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</si>
  <si>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</si>
  <si>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</si>
  <si>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</si>
  <si>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</si>
  <si>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</si>
  <si>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</si>
  <si>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</si>
  <si>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</si>
  <si>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</si>
  <si>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</si>
  <si>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</si>
  <si>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</si>
  <si>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</si>
  <si>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</si>
  <si>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</si>
  <si>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</si>
  <si>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</si>
  <si>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</si>
  <si>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</si>
  <si>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</si>
  <si>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</si>
  <si>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</si>
  <si>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</si>
  <si>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</si>
  <si>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</si>
  <si>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</si>
  <si>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</si>
  <si>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</si>
  <si>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</si>
  <si>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</si>
  <si>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</si>
  <si>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</si>
  <si>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</si>
  <si>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</si>
  <si>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</si>
  <si>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</si>
  <si>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</si>
  <si>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</si>
  <si>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</si>
  <si>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</si>
  <si>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</si>
  <si>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</si>
  <si>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</si>
  <si>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</si>
  <si>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</si>
  <si>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</si>
  <si>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</si>
  <si>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</si>
  <si>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</si>
  <si>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</si>
  <si>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</si>
  <si>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</si>
  <si>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</si>
  <si>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</si>
  <si>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</si>
  <si>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</si>
  <si>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</si>
  <si>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</si>
  <si>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</si>
  <si>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</si>
  <si>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</si>
  <si>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</si>
  <si>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</si>
  <si>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</si>
  <si>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</si>
  <si>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</si>
  <si>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</si>
  <si>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</si>
  <si>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</si>
  <si>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</si>
  <si>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</si>
  <si>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</si>
  <si>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</si>
  <si>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</si>
  <si>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</si>
  <si>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</si>
  <si>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</si>
  <si>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</si>
  <si>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</si>
  <si>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</si>
  <si>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</si>
  <si>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</si>
  <si>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</si>
  <si>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</si>
  <si>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</si>
  <si>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</si>
  <si>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</si>
  <si>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</si>
  <si>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</si>
  <si>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</si>
  <si>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</si>
  <si>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</si>
  <si>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</si>
  <si>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</si>
  <si>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</si>
  <si>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</si>
  <si>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</si>
  <si>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</si>
  <si>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</si>
  <si>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</si>
  <si>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</si>
  <si>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</si>
  <si>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</si>
  <si>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</si>
  <si>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</si>
  <si>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</si>
  <si>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</si>
  <si>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</si>
  <si>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</si>
  <si>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</si>
  <si>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</si>
  <si>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</si>
  <si>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</si>
  <si>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</si>
  <si>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</si>
  <si>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</si>
  <si>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</si>
  <si>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</si>
  <si>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</si>
  <si>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</si>
  <si>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</si>
  <si>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</si>
  <si>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</si>
  <si>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</si>
  <si>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</si>
  <si>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</si>
  <si>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</si>
  <si>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</si>
  <si>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</si>
  <si>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</si>
  <si>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</si>
  <si>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</si>
  <si>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</si>
  <si>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</si>
  <si>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</si>
  <si>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</si>
  <si>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</si>
  <si>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</si>
  <si>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</si>
  <si>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</si>
  <si>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</si>
  <si>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</si>
  <si>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</si>
  <si>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</si>
  <si>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</si>
  <si>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</si>
  <si>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</si>
  <si>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</si>
  <si>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</si>
  <si>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</si>
  <si>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</si>
  <si>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</si>
  <si>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</si>
  <si>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</si>
  <si>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</si>
  <si>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</si>
  <si>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</si>
  <si>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</si>
  <si>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</si>
  <si>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</si>
  <si>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</si>
  <si>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</si>
  <si>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</si>
  <si>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</si>
  <si>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</si>
  <si>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</si>
  <si>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</si>
  <si>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</si>
  <si>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</si>
  <si>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</si>
  <si>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</si>
  <si>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</si>
  <si>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</si>
  <si>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</si>
  <si>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</si>
  <si>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</si>
  <si>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</si>
  <si>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</si>
  <si>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</si>
  <si>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</si>
  <si>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</si>
  <si>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</si>
  <si>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</si>
  <si>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</si>
  <si>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</si>
  <si>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</si>
  <si>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</si>
  <si>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</si>
  <si>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</si>
  <si>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</si>
  <si>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</si>
  <si>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</si>
  <si>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</si>
  <si>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</si>
  <si>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</si>
  <si>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</si>
  <si>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</si>
  <si>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</si>
  <si>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</si>
  <si>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</si>
  <si>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</si>
  <si>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</si>
  <si>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</si>
  <si>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</si>
  <si>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</si>
  <si>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</si>
  <si>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</si>
  <si>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</si>
  <si>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</si>
  <si>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</si>
  <si>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</si>
  <si>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</si>
  <si>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</si>
  <si>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</si>
  <si>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</si>
  <si>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</si>
  <si>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</si>
  <si>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</si>
  <si>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</si>
  <si>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</si>
  <si>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</si>
  <si>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</si>
  <si>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</si>
  <si>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</si>
  <si>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</si>
  <si>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</si>
  <si>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</si>
  <si>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</si>
  <si>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</si>
  <si>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</si>
  <si>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</si>
  <si>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</si>
  <si>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</si>
  <si>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</si>
  <si>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</si>
  <si>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</si>
  <si>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</si>
  <si>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</si>
  <si>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</si>
  <si>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</si>
  <si>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</si>
  <si>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</si>
  <si>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</si>
  <si>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</si>
  <si>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</si>
  <si>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</si>
  <si>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</si>
  <si>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</si>
  <si>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</si>
  <si>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</si>
  <si>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</si>
  <si>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</si>
  <si>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</si>
  <si>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</si>
  <si>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</si>
  <si>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</si>
  <si>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</si>
  <si>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</si>
  <si>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</si>
  <si>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</si>
  <si>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</si>
  <si>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</si>
  <si>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</si>
  <si>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</si>
  <si>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</si>
  <si>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</si>
  <si>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</si>
  <si>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</si>
  <si>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</si>
  <si>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</si>
  <si>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</si>
  <si>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</si>
  <si>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</si>
  <si>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</si>
  <si>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</si>
  <si>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</si>
  <si>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</si>
  <si>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</si>
  <si>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</si>
  <si>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</si>
  <si>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</si>
  <si>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</si>
  <si>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</si>
  <si>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</si>
  <si>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</si>
  <si>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</si>
  <si>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</si>
  <si>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</si>
  <si>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</si>
  <si>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</si>
  <si>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</si>
  <si>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</si>
  <si>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</si>
  <si>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</si>
  <si>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</si>
  <si>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</si>
  <si>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</si>
  <si>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</si>
  <si>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</si>
  <si>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</si>
  <si>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</si>
  <si>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</si>
  <si>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</si>
  <si>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</si>
  <si>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</si>
  <si>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</si>
  <si>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</si>
  <si>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</si>
  <si>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</si>
  <si>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</si>
  <si>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</si>
  <si>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</si>
  <si>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</si>
  <si>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</si>
  <si>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</si>
  <si>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</si>
  <si>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</si>
  <si>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</si>
  <si>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</si>
  <si>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</si>
  <si>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</si>
  <si>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</si>
  <si>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</si>
  <si>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</si>
  <si>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</si>
  <si>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</si>
  <si>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</si>
  <si>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</si>
  <si>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</si>
  <si>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</si>
  <si>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</si>
  <si>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</si>
  <si>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</si>
  <si>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</si>
  <si>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</si>
  <si>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</si>
  <si>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</si>
  <si>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</si>
  <si>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</si>
  <si>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</si>
  <si>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</si>
  <si>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</si>
  <si>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</si>
  <si>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</si>
  <si>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</si>
  <si>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</si>
  <si>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</si>
  <si>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</si>
  <si>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</si>
  <si>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</si>
  <si>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</si>
  <si>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</si>
  <si>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</si>
  <si>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</si>
  <si>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</si>
  <si>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</si>
  <si>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</si>
  <si>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</si>
  <si>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</si>
  <si>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</si>
  <si>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</si>
  <si>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</si>
  <si>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</si>
  <si>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</si>
  <si>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</si>
  <si>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</si>
  <si>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</si>
  <si>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</si>
  <si>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</si>
  <si>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</si>
  <si>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</si>
  <si>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</si>
  <si>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</si>
  <si>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</si>
  <si>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</si>
  <si>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</si>
  <si>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</si>
  <si>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</si>
  <si>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</si>
  <si>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</si>
  <si>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</si>
  <si>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</si>
  <si>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</si>
  <si>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</si>
  <si>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</si>
  <si>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</si>
  <si>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</si>
  <si>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</si>
  <si>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</si>
  <si>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</si>
  <si>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</si>
  <si>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</si>
  <si>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</si>
  <si>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</si>
  <si>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</si>
  <si>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</si>
  <si>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</si>
  <si>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</si>
  <si>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</si>
  <si>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</si>
  <si>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</si>
  <si>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</si>
  <si>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</si>
  <si>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</si>
  <si>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</si>
  <si>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</si>
  <si>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</si>
  <si>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</si>
  <si>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</si>
  <si>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</si>
  <si>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</si>
  <si>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</si>
  <si>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</si>
  <si>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</si>
  <si>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</si>
  <si>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</si>
  <si>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</si>
  <si>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</si>
  <si>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</si>
  <si>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</si>
  <si>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</si>
  <si>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</si>
  <si>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</si>
  <si>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</si>
  <si>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</si>
  <si>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</si>
  <si>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</si>
  <si>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</si>
  <si>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</si>
  <si>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</si>
  <si>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</si>
  <si>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</si>
  <si>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</si>
  <si>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</si>
  <si>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</si>
  <si>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</si>
  <si>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</si>
  <si>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</si>
  <si>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</si>
  <si>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</si>
  <si>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</si>
  <si>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</si>
  <si>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</si>
  <si>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</si>
  <si>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</si>
  <si>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</si>
  <si>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</si>
  <si>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</si>
  <si>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</si>
  <si>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</si>
  <si>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</si>
  <si>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</si>
  <si>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</si>
  <si>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</si>
  <si>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</si>
  <si>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</si>
  <si>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</si>
  <si>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</si>
  <si>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</si>
  <si>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</si>
  <si>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</si>
  <si>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</si>
  <si>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</si>
  <si>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</si>
  <si>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</si>
  <si>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</si>
  <si>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</si>
  <si>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</si>
  <si>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</si>
  <si>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</si>
  <si>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</si>
  <si>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</si>
  <si>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</si>
  <si>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</si>
  <si>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</si>
  <si>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</si>
  <si>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</si>
  <si>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</si>
  <si>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</si>
  <si>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</si>
  <si>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</si>
  <si>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</si>
  <si>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</si>
  <si>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</si>
  <si>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</si>
  <si>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</si>
  <si>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</si>
  <si>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</si>
  <si>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</si>
  <si>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</si>
  <si>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</si>
  <si>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</si>
  <si>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</si>
  <si>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</si>
  <si>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</si>
  <si>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</si>
  <si>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</si>
  <si>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</si>
  <si>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</si>
  <si>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</si>
  <si>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</si>
  <si>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</si>
  <si>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</si>
  <si>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</si>
  <si>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</si>
  <si>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</si>
  <si>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</si>
  <si>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</si>
  <si>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</si>
  <si>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</si>
  <si>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</si>
  <si>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</si>
  <si>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</si>
  <si>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</si>
  <si>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</si>
  <si>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</si>
  <si>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</si>
  <si>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</si>
  <si>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</si>
  <si>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</si>
  <si>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</si>
  <si>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</si>
  <si>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</si>
  <si>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</si>
  <si>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</si>
  <si>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</si>
  <si>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</si>
  <si>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</si>
  <si>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</si>
  <si>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</si>
  <si>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</si>
  <si>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</si>
  <si>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</si>
  <si>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</si>
  <si>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</si>
  <si>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</si>
  <si>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</si>
  <si>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</si>
  <si>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</si>
  <si>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</si>
  <si>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</si>
  <si>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</si>
  <si>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</si>
  <si>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</si>
  <si>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</si>
  <si>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</si>
  <si>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</si>
  <si>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</si>
  <si>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</si>
  <si>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</si>
  <si>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</si>
  <si>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</si>
  <si>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</si>
  <si>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</si>
  <si>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</si>
  <si>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</si>
  <si>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</si>
  <si>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</si>
  <si>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</si>
  <si>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</si>
  <si>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</si>
  <si>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</si>
  <si>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</si>
  <si>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</si>
  <si>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</si>
  <si>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</si>
  <si>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</si>
  <si>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</si>
  <si>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</si>
  <si>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</si>
  <si>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</si>
  <si>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</si>
  <si>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</si>
  <si>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</si>
  <si>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</si>
  <si>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</si>
  <si>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</si>
  <si>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</si>
  <si>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</si>
  <si>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</si>
  <si>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</si>
  <si>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</si>
  <si>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</si>
  <si>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</si>
  <si>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</si>
  <si>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</si>
  <si>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</si>
  <si>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</si>
  <si>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</si>
  <si>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</si>
  <si>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</si>
  <si>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</si>
  <si>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</si>
  <si>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</si>
  <si>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</si>
  <si>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</si>
  <si>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</si>
  <si>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</si>
  <si>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</si>
  <si>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</si>
  <si>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</si>
  <si>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</si>
  <si>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</si>
  <si>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</si>
  <si>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</si>
  <si>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</si>
  <si>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</si>
  <si>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</si>
  <si>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</si>
  <si>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</si>
  <si>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</si>
  <si>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</si>
  <si>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</si>
  <si>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</si>
  <si>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</si>
  <si>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</si>
  <si>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</si>
  <si>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</si>
  <si>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</si>
  <si>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</si>
  <si>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</si>
  <si>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</si>
  <si>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</si>
  <si>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</si>
  <si>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</si>
  <si>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</si>
  <si>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</si>
  <si>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</si>
  <si>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</si>
  <si>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</si>
  <si>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</si>
  <si>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</si>
  <si>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</si>
  <si>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</si>
  <si>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</si>
  <si>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</si>
  <si>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</si>
  <si>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</si>
  <si>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</si>
  <si>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</si>
  <si>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</si>
  <si>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</si>
  <si>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</si>
  <si>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</si>
  <si>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</si>
  <si>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</si>
  <si>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</si>
  <si>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</si>
  <si>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</si>
  <si>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</si>
  <si>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</si>
  <si>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</si>
  <si>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</si>
  <si>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</si>
  <si>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</si>
  <si>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</si>
  <si>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</si>
  <si>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</si>
  <si>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</si>
  <si>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</si>
  <si>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</si>
  <si>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</si>
  <si>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</si>
  <si>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</si>
  <si>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</si>
  <si>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</si>
  <si>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</si>
  <si>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</si>
  <si>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</si>
  <si>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</si>
  <si>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</si>
  <si>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</si>
  <si>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</si>
  <si>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</si>
  <si>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</si>
  <si>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</si>
  <si>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</si>
  <si>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</si>
  <si>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</si>
  <si>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</si>
  <si>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</si>
  <si>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</si>
  <si>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</si>
  <si>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</si>
  <si>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</si>
  <si>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</si>
  <si>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</si>
  <si>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</si>
  <si>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</si>
  <si>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</si>
  <si>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</si>
  <si>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</si>
  <si>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</si>
  <si>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</si>
  <si>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</si>
  <si>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</si>
  <si>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</si>
  <si>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</si>
  <si>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</si>
  <si>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</si>
  <si>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</si>
  <si>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</si>
  <si>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</si>
  <si>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</si>
  <si>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</si>
  <si>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</si>
  <si>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</si>
  <si>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</si>
  <si>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</si>
  <si>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</si>
  <si>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</si>
  <si>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</si>
  <si>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</si>
  <si>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</si>
  <si>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</si>
  <si>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</si>
  <si>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</si>
  <si>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</si>
  <si>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</si>
  <si>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</si>
  <si>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</si>
  <si>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</si>
  <si>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</si>
  <si>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</si>
  <si>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</si>
  <si>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</si>
  <si>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</si>
  <si>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</si>
  <si>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</si>
  <si>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</si>
  <si>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</si>
  <si>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</si>
  <si>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</si>
  <si>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</si>
  <si>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</si>
  <si>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</si>
  <si>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</si>
  <si>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</si>
  <si>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</si>
  <si>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</si>
  <si>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</si>
  <si>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</si>
  <si>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</si>
  <si>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</si>
  <si>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</si>
  <si>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</si>
  <si>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</si>
  <si>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</si>
  <si>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</si>
  <si>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</si>
  <si>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</si>
  <si>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</si>
  <si>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</si>
  <si>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</si>
  <si>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</si>
  <si>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</si>
  <si>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</si>
  <si>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</si>
  <si>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</si>
  <si>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</si>
  <si>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</si>
  <si>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</si>
  <si>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</si>
  <si>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</si>
  <si>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</si>
  <si>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</si>
  <si>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</si>
  <si>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</si>
  <si>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</si>
  <si>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</si>
  <si>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</si>
  <si>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</si>
  <si>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</si>
  <si>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</si>
  <si>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</si>
  <si>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</si>
  <si>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</si>
  <si>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</si>
  <si>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</si>
  <si>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</si>
  <si>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</si>
  <si>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</si>
  <si>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</si>
  <si>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</si>
  <si>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</si>
  <si>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</si>
  <si>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</si>
  <si>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</si>
  <si>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</si>
  <si>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</si>
  <si>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</si>
  <si>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</si>
  <si>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</si>
  <si>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</si>
  <si>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</si>
  <si>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</si>
  <si>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</si>
  <si>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</si>
  <si>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</si>
  <si>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</si>
  <si>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</si>
  <si>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</si>
  <si>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</si>
  <si>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</si>
  <si>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</si>
  <si>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</si>
  <si>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</si>
  <si>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</si>
  <si>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</si>
  <si>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</si>
  <si>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</si>
  <si>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</si>
  <si>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</si>
  <si>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</si>
  <si>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</si>
  <si>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</si>
  <si>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</si>
  <si>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</si>
  <si>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</si>
  <si>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</si>
  <si>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</si>
  <si>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</si>
  <si>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</si>
  <si>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</si>
  <si>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</si>
  <si>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</si>
  <si>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</si>
  <si>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</si>
  <si>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</si>
  <si>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</si>
  <si>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</si>
  <si>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</si>
  <si>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</si>
  <si>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</si>
  <si>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</si>
  <si>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</si>
  <si>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</si>
  <si>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</si>
  <si>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</si>
  <si>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</si>
  <si>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</si>
  <si>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</si>
  <si>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</si>
  <si>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</si>
  <si>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</si>
  <si>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</si>
  <si>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</si>
  <si>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</si>
  <si>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</si>
  <si>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</si>
  <si>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</si>
  <si>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</si>
  <si>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</si>
  <si>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</si>
  <si>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</si>
  <si>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</si>
  <si>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</si>
  <si>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</si>
  <si>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</si>
  <si>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</si>
  <si>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</si>
  <si>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</si>
  <si>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</si>
  <si>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</si>
  <si>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</si>
  <si>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</si>
  <si>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</si>
  <si>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</si>
  <si>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</si>
  <si>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</si>
  <si>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</si>
  <si>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</si>
  <si>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</si>
  <si>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</si>
  <si>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</si>
  <si>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</si>
  <si>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</si>
  <si>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</si>
  <si>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</si>
  <si>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</si>
  <si>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</si>
  <si>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</si>
  <si>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</si>
  <si>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</si>
  <si>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</si>
  <si>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</si>
  <si>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</si>
  <si>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</si>
  <si>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</si>
  <si>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</si>
  <si>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</si>
  <si>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</si>
  <si>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</si>
  <si>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</si>
  <si>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</si>
  <si>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</si>
  <si>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</si>
  <si>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</si>
  <si>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</si>
  <si>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</si>
  <si>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</si>
  <si>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</si>
  <si>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</si>
  <si>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</si>
  <si>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</si>
  <si>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</si>
  <si>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</si>
  <si>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</si>
  <si>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</si>
  <si>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</si>
  <si>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</si>
  <si>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</si>
  <si>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</si>
  <si>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</si>
  <si>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</si>
  <si>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</si>
  <si>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</si>
  <si>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</si>
  <si>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</si>
  <si>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</si>
  <si>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</si>
  <si>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</si>
  <si>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</si>
  <si>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</si>
  <si>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</si>
  <si>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</si>
  <si>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</si>
  <si>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</si>
  <si>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</si>
  <si>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</si>
  <si>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</si>
  <si>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</si>
  <si>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</si>
  <si>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</si>
  <si>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</si>
  <si>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</si>
  <si>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</si>
  <si>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</si>
  <si>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</si>
  <si>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</si>
  <si>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</si>
  <si>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</si>
  <si>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</si>
  <si>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</si>
  <si>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</si>
  <si>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</si>
  <si>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</si>
  <si>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</si>
  <si>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</si>
  <si>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</si>
  <si>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</si>
  <si>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</si>
  <si>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</si>
  <si>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</si>
  <si>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</si>
  <si>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</si>
  <si>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</si>
  <si>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</si>
  <si>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</si>
  <si>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</si>
  <si>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</si>
  <si>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</si>
  <si>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</si>
  <si>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</si>
  <si>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</si>
  <si>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</si>
  <si>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</si>
  <si>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</si>
  <si>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</si>
  <si>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</si>
  <si>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</si>
  <si>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</si>
  <si>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</si>
  <si>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</si>
  <si>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</si>
  <si>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</si>
  <si>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</si>
  <si>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</si>
  <si>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</si>
  <si>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</si>
  <si>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</si>
  <si>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</si>
  <si>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</si>
  <si>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</si>
  <si>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</si>
  <si>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</si>
  <si>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</si>
  <si>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</si>
  <si>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</si>
  <si>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</si>
  <si>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</si>
  <si>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</si>
  <si>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</si>
  <si>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</si>
  <si>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</si>
  <si>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</si>
  <si>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</si>
  <si>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</si>
  <si>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</si>
  <si>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</si>
  <si>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</si>
  <si>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</si>
  <si>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</si>
  <si>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</si>
  <si>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</si>
  <si>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</si>
  <si>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</si>
  <si>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</si>
  <si>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</si>
  <si>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</si>
  <si>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</si>
  <si>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</si>
  <si>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</si>
  <si>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</si>
  <si>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</si>
  <si>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</si>
  <si>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</si>
  <si>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</si>
  <si>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</si>
  <si>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</si>
  <si>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</si>
  <si>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</si>
  <si>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</si>
  <si>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</si>
  <si>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</si>
  <si>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</si>
  <si>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</si>
  <si>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</si>
  <si>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</si>
  <si>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</si>
  <si>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</si>
  <si>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</si>
  <si>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</si>
  <si>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</si>
  <si>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</si>
  <si>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</si>
  <si>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</si>
  <si>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</si>
  <si>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</si>
  <si>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</si>
  <si>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</si>
  <si>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</si>
  <si>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</si>
  <si>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</si>
  <si>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</si>
  <si>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</si>
  <si>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</si>
  <si>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</si>
  <si>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</si>
  <si>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</si>
  <si>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</si>
  <si>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</si>
  <si>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</si>
  <si>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</si>
  <si>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</si>
  <si>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</si>
  <si>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</si>
  <si>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</si>
  <si>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</si>
  <si>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</si>
  <si>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</si>
  <si>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</si>
  <si>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</si>
  <si>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</si>
  <si>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</si>
  <si>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</si>
  <si>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</si>
  <si>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</si>
  <si>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</si>
  <si>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</si>
  <si>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</si>
  <si>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</si>
  <si>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</si>
  <si>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</si>
  <si>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</si>
  <si>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</si>
  <si>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</si>
  <si>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</si>
  <si>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</si>
  <si>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</si>
  <si>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</si>
  <si>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</si>
  <si>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</si>
  <si>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</si>
  <si>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</si>
  <si>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</si>
  <si>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</si>
  <si>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</si>
  <si>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</si>
  <si>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</si>
  <si>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</si>
  <si>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</si>
  <si>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</si>
  <si>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</si>
  <si>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</si>
  <si>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</si>
  <si>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</si>
  <si>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</si>
  <si>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</si>
  <si>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</si>
  <si>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</si>
  <si>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</si>
  <si>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</si>
  <si>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</si>
  <si>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</si>
  <si>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</si>
  <si>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</si>
  <si>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</si>
  <si>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</si>
  <si>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</si>
  <si>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</si>
  <si>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</si>
  <si>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</si>
  <si>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</si>
  <si>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</si>
  <si>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</si>
  <si>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</si>
  <si>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</si>
  <si>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</si>
  <si>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</si>
  <si>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</si>
  <si>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</si>
  <si>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</si>
  <si>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</si>
  <si>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</si>
  <si>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</si>
  <si>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</si>
  <si>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</si>
  <si>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</si>
  <si>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</si>
  <si>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</si>
  <si>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</si>
  <si>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</si>
  <si>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</si>
  <si>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</si>
  <si>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</si>
  <si>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</si>
  <si>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</si>
  <si>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</si>
  <si>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</si>
  <si>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序号</t>
  </si>
  <si>
    <t>户室号</t>
  </si>
  <si>
    <t>所在层</t>
  </si>
  <si>
    <t>建筑面积（㎡）</t>
  </si>
  <si>
    <t>是</t>
  </si>
  <si>
    <t>地上</t>
  </si>
  <si>
    <t>成新度</t>
  </si>
  <si>
    <t>售价</t>
  </si>
  <si>
    <t>商业</t>
    <phoneticPr fontId="32"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</si>
  <si>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</si>
  <si>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</si>
  <si>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</si>
  <si>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</si>
  <si>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</si>
  <si>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</si>
  <si>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</si>
  <si>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</si>
  <si>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</si>
  <si>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</si>
  <si>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</si>
  <si>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</si>
  <si>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</si>
  <si>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</si>
  <si>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</si>
  <si>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</si>
  <si>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</si>
  <si>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t>建筑物价值</t>
  </si>
  <si>
    <t>分摊土地面积</t>
  </si>
  <si>
    <t>建筑面积</t>
  </si>
  <si>
    <t>镇江城市建设产业集团有限公司</t>
    <phoneticPr fontId="7"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</si>
  <si>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7" type="noConversion"/>
  </si>
  <si>
    <t>中信信托有限责任公司</t>
    <phoneticPr fontId="7" type="noConversion"/>
  </si>
  <si>
    <t>商业</t>
    <phoneticPr fontId="7"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</si>
  <si>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</si>
  <si>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</si>
  <si>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</si>
  <si>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</si>
  <si>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</si>
  <si>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4" type="noConversion"/>
  </si>
  <si>
    <t>江苏省镇江市京口区</t>
    <phoneticPr fontId="7"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</si>
  <si>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</si>
  <si>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7" type="noConversion"/>
  </si>
  <si>
    <t>独立商业</t>
  </si>
  <si>
    <t>押二</t>
  </si>
  <si>
    <t>钢混</t>
    <phoneticPr fontId="32" type="noConversion"/>
  </si>
  <si>
    <t>比较法-住宅</t>
  </si>
  <si>
    <t>六通</t>
  </si>
  <si>
    <t>较好</t>
  </si>
  <si>
    <t>一般</t>
  </si>
  <si>
    <t>多面临街</t>
  </si>
  <si>
    <t>多面临街</t>
    <phoneticPr fontId="32" type="noConversion"/>
  </si>
  <si>
    <t>较好</t>
    <phoneticPr fontId="32" type="noConversion"/>
  </si>
  <si>
    <t>一般</t>
    <phoneticPr fontId="32" type="noConversion"/>
  </si>
  <si>
    <t>较大</t>
    <phoneticPr fontId="32" type="noConversion"/>
  </si>
  <si>
    <t>商业街</t>
    <phoneticPr fontId="32" type="noConversion"/>
  </si>
  <si>
    <t>精装修</t>
  </si>
  <si>
    <t>精装修</t>
    <phoneticPr fontId="32" type="noConversion"/>
  </si>
  <si>
    <t>六通</t>
    <phoneticPr fontId="32" type="noConversion"/>
  </si>
  <si>
    <t>毛坯</t>
  </si>
  <si>
    <t>毛坯</t>
    <phoneticPr fontId="32" type="noConversion"/>
  </si>
  <si>
    <t>可餐饮</t>
    <phoneticPr fontId="32" type="noConversion"/>
  </si>
  <si>
    <t>不可餐饮</t>
  </si>
  <si>
    <t>不可餐饮</t>
    <phoneticPr fontId="32" type="noConversion"/>
  </si>
  <si>
    <t>标准层高</t>
  </si>
  <si>
    <t>标准层高</t>
    <phoneticPr fontId="32" type="noConversion"/>
  </si>
  <si>
    <t>超高层高</t>
    <phoneticPr fontId="32" type="noConversion"/>
  </si>
  <si>
    <t>大</t>
    <phoneticPr fontId="32" type="noConversion"/>
  </si>
  <si>
    <t>镇江城市建设产业集团有限公司（凤凰家园）</t>
    <phoneticPr fontId="4" type="noConversion"/>
  </si>
  <si>
    <t>房屋坐落</t>
    <phoneticPr fontId="4" type="noConversion"/>
  </si>
  <si>
    <t>套内建筑面积（㎡）</t>
    <phoneticPr fontId="4" type="noConversion"/>
  </si>
  <si>
    <t>凤仪苑18幢</t>
    <phoneticPr fontId="4" type="noConversion"/>
  </si>
  <si>
    <t>101</t>
    <phoneticPr fontId="4" type="noConversion"/>
  </si>
  <si>
    <r>
      <t>1至</t>
    </r>
    <r>
      <rPr>
        <sz val="12"/>
        <color indexed="8"/>
        <rFont val="宋体"/>
        <family val="3"/>
        <charset val="134"/>
      </rPr>
      <t>3层</t>
    </r>
    <phoneticPr fontId="4" type="noConversion"/>
  </si>
  <si>
    <t>凤仪苑19幢</t>
    <phoneticPr fontId="4" type="noConversion"/>
  </si>
  <si>
    <t>凤仪苑20幢</t>
    <phoneticPr fontId="4" type="noConversion"/>
  </si>
  <si>
    <r>
      <t>鸣凰苑2</t>
    </r>
    <r>
      <rPr>
        <sz val="12"/>
        <color indexed="8"/>
        <rFont val="宋体"/>
        <family val="3"/>
        <charset val="134"/>
      </rPr>
      <t>1幢</t>
    </r>
    <phoneticPr fontId="4" type="noConversion"/>
  </si>
  <si>
    <r>
      <t>1至</t>
    </r>
    <r>
      <rPr>
        <sz val="12"/>
        <color indexed="8"/>
        <rFont val="宋体"/>
        <family val="3"/>
        <charset val="134"/>
      </rPr>
      <t>2层</t>
    </r>
    <phoneticPr fontId="4" type="noConversion"/>
  </si>
  <si>
    <t>鸣凰苑23幢</t>
    <phoneticPr fontId="4" type="noConversion"/>
  </si>
  <si>
    <t>凤仪苑18幢</t>
  </si>
  <si>
    <r>
      <rPr>
        <sz val="10"/>
        <color indexed="8"/>
        <rFont val="宋体"/>
        <family val="3"/>
        <charset val="134"/>
      </rPr>
      <t>凤仪苑</t>
    </r>
    <r>
      <rPr>
        <sz val="10"/>
        <color indexed="8"/>
        <rFont val="Arial"/>
        <family val="2"/>
      </rPr>
      <t>18</t>
    </r>
    <r>
      <rPr>
        <sz val="10"/>
        <color indexed="8"/>
        <rFont val="宋体"/>
        <family val="3"/>
        <charset val="134"/>
      </rPr>
      <t>幢</t>
    </r>
    <phoneticPr fontId="4" type="noConversion"/>
  </si>
  <si>
    <t>商业</t>
    <phoneticPr fontId="32" type="noConversion"/>
  </si>
  <si>
    <t>润兴路以西，润旺路以南</t>
    <phoneticPr fontId="4" type="noConversion"/>
  </si>
  <si>
    <t>支路</t>
  </si>
  <si>
    <t>支路</t>
    <phoneticPr fontId="32" type="noConversion"/>
  </si>
  <si>
    <t>较规则</t>
  </si>
  <si>
    <t>较规则</t>
    <phoneticPr fontId="32" type="noConversion"/>
  </si>
  <si>
    <t>六通一平</t>
  </si>
  <si>
    <t>六通一平</t>
    <phoneticPr fontId="32" type="noConversion"/>
  </si>
  <si>
    <t>较好</t>
    <phoneticPr fontId="32" type="noConversion"/>
  </si>
  <si>
    <t>较合适</t>
  </si>
  <si>
    <t>较合适</t>
    <phoneticPr fontId="32" type="noConversion"/>
  </si>
  <si>
    <t>40</t>
    <phoneticPr fontId="32" type="noConversion"/>
  </si>
  <si>
    <t>一般</t>
    <phoneticPr fontId="32" type="noConversion"/>
  </si>
  <si>
    <r>
      <t>1-3</t>
    </r>
    <r>
      <rPr>
        <sz val="11"/>
        <color indexed="8"/>
        <rFont val="宋体"/>
        <family val="3"/>
        <charset val="134"/>
      </rPr>
      <t>层</t>
    </r>
    <phoneticPr fontId="32" type="noConversion"/>
  </si>
  <si>
    <r>
      <t>1-2</t>
    </r>
    <r>
      <rPr>
        <sz val="11"/>
        <color indexed="8"/>
        <rFont val="宋体"/>
        <family val="3"/>
        <charset val="134"/>
      </rPr>
      <t>层</t>
    </r>
    <phoneticPr fontId="32" type="noConversion"/>
  </si>
  <si>
    <t>1-3层</t>
  </si>
  <si>
    <t>住宅底商</t>
  </si>
  <si>
    <t>住宅底商</t>
    <phoneticPr fontId="32" type="noConversion"/>
  </si>
  <si>
    <t>独立商业</t>
    <phoneticPr fontId="32" type="noConversion"/>
  </si>
  <si>
    <t>较小</t>
  </si>
  <si>
    <t>较小</t>
    <phoneticPr fontId="32" type="noConversion"/>
  </si>
  <si>
    <r>
      <rPr>
        <sz val="10"/>
        <color indexed="8"/>
        <rFont val="宋体"/>
        <family val="3"/>
        <charset val="134"/>
      </rPr>
      <t>《镇江市人民政府办公室关于调整镇江市区城镇土地使用税税额标准的通知》（镇政办发</t>
    </r>
    <r>
      <rPr>
        <sz val="10"/>
        <color indexed="8"/>
        <rFont val="Arial"/>
        <family val="2"/>
      </rPr>
      <t>[2017]30</t>
    </r>
    <r>
      <rPr>
        <sz val="10"/>
        <color indexed="8"/>
        <rFont val="宋体"/>
        <family val="3"/>
        <charset val="134"/>
      </rPr>
      <t>号）</t>
    </r>
    <phoneticPr fontId="4" type="noConversion"/>
  </si>
  <si>
    <t>黄山南路2-25</t>
    <phoneticPr fontId="32" type="noConversion"/>
  </si>
  <si>
    <t>天和星城</t>
    <phoneticPr fontId="32" type="noConversion"/>
  </si>
  <si>
    <t>正太悠然居</t>
    <phoneticPr fontId="32" type="noConversion"/>
  </si>
  <si>
    <t>镇江市润州区长江路333号</t>
    <phoneticPr fontId="32" type="noConversion"/>
  </si>
  <si>
    <t>较差</t>
    <phoneticPr fontId="32" type="noConversion"/>
  </si>
  <si>
    <r>
      <t>1</t>
    </r>
    <r>
      <rPr>
        <sz val="11"/>
        <rFont val="宋体"/>
        <family val="3"/>
        <charset val="134"/>
      </rPr>
      <t>层</t>
    </r>
    <r>
      <rPr>
        <sz val="11"/>
        <rFont val="Arial"/>
        <family val="2"/>
      </rPr>
      <t>15000</t>
    </r>
    <r>
      <rPr>
        <sz val="11"/>
        <rFont val="宋体"/>
        <family val="3"/>
        <charset val="134"/>
      </rPr>
      <t>折算到</t>
    </r>
    <r>
      <rPr>
        <sz val="11"/>
        <rFont val="Arial"/>
        <family val="2"/>
      </rPr>
      <t>1-3</t>
    </r>
    <phoneticPr fontId="32" type="noConversion"/>
  </si>
  <si>
    <r>
      <t>1</t>
    </r>
    <r>
      <rPr>
        <sz val="11"/>
        <rFont val="宋体"/>
        <family val="3"/>
        <charset val="134"/>
      </rPr>
      <t>层</t>
    </r>
    <r>
      <rPr>
        <sz val="11"/>
        <rFont val="Arial"/>
        <family val="2"/>
      </rPr>
      <t>20000</t>
    </r>
    <r>
      <rPr>
        <sz val="11"/>
        <rFont val="宋体"/>
        <family val="3"/>
        <charset val="134"/>
      </rPr>
      <t>折算到</t>
    </r>
    <r>
      <rPr>
        <sz val="11"/>
        <rFont val="Arial"/>
        <family val="2"/>
      </rPr>
      <t>1-3</t>
    </r>
    <phoneticPr fontId="32" type="noConversion"/>
  </si>
  <si>
    <t>檀山路10号(镇江新体育馆对面)</t>
    <phoneticPr fontId="32" type="noConversion"/>
  </si>
  <si>
    <r>
      <t>1</t>
    </r>
    <r>
      <rPr>
        <sz val="11"/>
        <rFont val="宋体"/>
        <family val="3"/>
        <charset val="134"/>
      </rPr>
      <t>层</t>
    </r>
    <r>
      <rPr>
        <sz val="11"/>
        <rFont val="Arial"/>
        <family val="2"/>
      </rPr>
      <t>19300</t>
    </r>
    <r>
      <rPr>
        <sz val="11"/>
        <rFont val="宋体"/>
        <family val="3"/>
        <charset val="134"/>
      </rPr>
      <t>折算到</t>
    </r>
    <r>
      <rPr>
        <sz val="11"/>
        <rFont val="Arial"/>
        <family val="2"/>
      </rPr>
      <t>1-3</t>
    </r>
    <phoneticPr fontId="32" type="noConversion"/>
  </si>
  <si>
    <t>万科锦程</t>
    <phoneticPr fontId="32" type="noConversion"/>
  </si>
  <si>
    <t>20-30（含）</t>
  </si>
  <si>
    <t>镇江市公共住房投资建设有限公司(润旺路)</t>
    <phoneticPr fontId="4" type="noConversion"/>
  </si>
  <si>
    <t>房屋坐落</t>
    <phoneticPr fontId="4" type="noConversion"/>
  </si>
  <si>
    <t>套内建筑面积（㎡）</t>
    <phoneticPr fontId="4" type="noConversion"/>
  </si>
  <si>
    <r>
      <t>润旺路2</t>
    </r>
    <r>
      <rPr>
        <sz val="12"/>
        <color indexed="8"/>
        <rFont val="宋体"/>
        <family val="3"/>
        <charset val="134"/>
      </rPr>
      <t>1号</t>
    </r>
    <phoneticPr fontId="4" type="noConversion"/>
  </si>
  <si>
    <r>
      <t>1</t>
    </r>
    <r>
      <rPr>
        <sz val="12"/>
        <color indexed="8"/>
        <rFont val="宋体"/>
        <family val="3"/>
        <charset val="134"/>
      </rPr>
      <t>02</t>
    </r>
    <phoneticPr fontId="4" type="noConversion"/>
  </si>
  <si>
    <r>
      <t>1至</t>
    </r>
    <r>
      <rPr>
        <sz val="12"/>
        <color indexed="8"/>
        <rFont val="宋体"/>
        <family val="3"/>
        <charset val="134"/>
      </rPr>
      <t>2层</t>
    </r>
    <phoneticPr fontId="4" type="noConversion"/>
  </si>
  <si>
    <r>
      <t>润旺路1</t>
    </r>
    <r>
      <rPr>
        <sz val="12"/>
        <color indexed="8"/>
        <rFont val="宋体"/>
        <family val="3"/>
        <charset val="134"/>
      </rPr>
      <t>5号</t>
    </r>
    <phoneticPr fontId="4" type="noConversion"/>
  </si>
  <si>
    <r>
      <t>1</t>
    </r>
    <r>
      <rPr>
        <sz val="12"/>
        <color indexed="8"/>
        <rFont val="宋体"/>
        <family val="3"/>
        <charset val="134"/>
      </rPr>
      <t>07</t>
    </r>
    <phoneticPr fontId="4" type="noConversion"/>
  </si>
  <si>
    <r>
      <t>1</t>
    </r>
    <r>
      <rPr>
        <sz val="12"/>
        <color indexed="8"/>
        <rFont val="宋体"/>
        <family val="3"/>
        <charset val="134"/>
      </rPr>
      <t>01</t>
    </r>
    <phoneticPr fontId="4" type="noConversion"/>
  </si>
  <si>
    <r>
      <t>润旺路2</t>
    </r>
    <r>
      <rPr>
        <sz val="12"/>
        <color indexed="8"/>
        <rFont val="宋体"/>
        <family val="3"/>
        <charset val="134"/>
      </rPr>
      <t>7号</t>
    </r>
    <phoneticPr fontId="4" type="noConversion"/>
  </si>
  <si>
    <r>
      <t>1</t>
    </r>
    <r>
      <rPr>
        <sz val="12"/>
        <color indexed="8"/>
        <rFont val="宋体"/>
        <family val="3"/>
        <charset val="134"/>
      </rPr>
      <t>09</t>
    </r>
    <phoneticPr fontId="4" type="noConversion"/>
  </si>
  <si>
    <t>润旺路23号</t>
    <phoneticPr fontId="4" type="noConversion"/>
  </si>
  <si>
    <t>107</t>
    <phoneticPr fontId="4" type="noConversion"/>
  </si>
  <si>
    <r>
      <t>润旺路2</t>
    </r>
    <r>
      <rPr>
        <sz val="12"/>
        <color indexed="8"/>
        <rFont val="宋体"/>
        <family val="3"/>
        <charset val="134"/>
      </rPr>
      <t>3号</t>
    </r>
    <phoneticPr fontId="4" type="noConversion"/>
  </si>
  <si>
    <t>105</t>
    <phoneticPr fontId="4" type="noConversion"/>
  </si>
  <si>
    <t>103</t>
    <phoneticPr fontId="4" type="noConversion"/>
  </si>
  <si>
    <t>1层</t>
    <phoneticPr fontId="4" type="noConversion"/>
  </si>
  <si>
    <t>润旺路15号</t>
    <phoneticPr fontId="4" type="noConversion"/>
  </si>
  <si>
    <r>
      <t>1</t>
    </r>
    <r>
      <rPr>
        <sz val="12"/>
        <color indexed="8"/>
        <rFont val="宋体"/>
        <family val="3"/>
        <charset val="134"/>
      </rPr>
      <t>10</t>
    </r>
    <phoneticPr fontId="4" type="noConversion"/>
  </si>
  <si>
    <r>
      <t>润旺路1</t>
    </r>
    <r>
      <rPr>
        <sz val="12"/>
        <color indexed="8"/>
        <rFont val="宋体"/>
        <family val="3"/>
        <charset val="134"/>
      </rPr>
      <t>7号</t>
    </r>
    <phoneticPr fontId="4" type="noConversion"/>
  </si>
  <si>
    <r>
      <t>1</t>
    </r>
    <r>
      <rPr>
        <sz val="12"/>
        <color indexed="8"/>
        <rFont val="宋体"/>
        <family val="3"/>
        <charset val="134"/>
      </rPr>
      <t>08</t>
    </r>
    <phoneticPr fontId="4" type="noConversion"/>
  </si>
  <si>
    <r>
      <t>1</t>
    </r>
    <r>
      <rPr>
        <sz val="12"/>
        <color indexed="8"/>
        <rFont val="宋体"/>
        <family val="3"/>
        <charset val="134"/>
      </rPr>
      <t>06</t>
    </r>
    <phoneticPr fontId="4" type="noConversion"/>
  </si>
  <si>
    <r>
      <t>1</t>
    </r>
    <r>
      <rPr>
        <sz val="12"/>
        <color indexed="8"/>
        <rFont val="宋体"/>
        <family val="3"/>
        <charset val="134"/>
      </rPr>
      <t>03</t>
    </r>
    <phoneticPr fontId="4" type="noConversion"/>
  </si>
  <si>
    <r>
      <t>1</t>
    </r>
    <r>
      <rPr>
        <sz val="12"/>
        <color indexed="8"/>
        <rFont val="宋体"/>
        <family val="3"/>
        <charset val="134"/>
      </rPr>
      <t>11</t>
    </r>
    <phoneticPr fontId="4" type="noConversion"/>
  </si>
  <si>
    <r>
      <t>1</t>
    </r>
    <r>
      <rPr>
        <sz val="12"/>
        <color indexed="8"/>
        <rFont val="宋体"/>
        <family val="3"/>
        <charset val="134"/>
      </rPr>
      <t>05</t>
    </r>
    <phoneticPr fontId="4" type="noConversion"/>
  </si>
  <si>
    <r>
      <t>1-2</t>
    </r>
    <r>
      <rPr>
        <sz val="10"/>
        <color indexed="8"/>
        <rFont val="宋体"/>
        <family val="3"/>
        <charset val="134"/>
      </rPr>
      <t>层</t>
    </r>
    <phoneticPr fontId="26" type="noConversion"/>
  </si>
  <si>
    <t>1-2层</t>
  </si>
  <si>
    <r>
      <t>1-3</t>
    </r>
    <r>
      <rPr>
        <sz val="10"/>
        <color indexed="8"/>
        <rFont val="宋体"/>
        <family val="3"/>
        <charset val="134"/>
      </rPr>
      <t>层</t>
    </r>
    <phoneticPr fontId="26" type="noConversion"/>
  </si>
  <si>
    <r>
      <t>润州区凤凰家园凤仪苑1</t>
    </r>
    <r>
      <rPr>
        <sz val="11"/>
        <color theme="1"/>
        <rFont val="宋体"/>
        <family val="3"/>
        <charset val="134"/>
        <scheme val="minor"/>
      </rPr>
      <t>8幢第1至3层</t>
    </r>
    <phoneticPr fontId="144" type="noConversion"/>
  </si>
  <si>
    <t>序号</t>
    <phoneticPr fontId="144" type="noConversion"/>
  </si>
  <si>
    <t>坐落</t>
    <phoneticPr fontId="144" type="noConversion"/>
  </si>
  <si>
    <t>不动产单元号</t>
    <phoneticPr fontId="144" type="noConversion"/>
  </si>
  <si>
    <t>层数</t>
    <phoneticPr fontId="144" type="noConversion"/>
  </si>
  <si>
    <t>用途</t>
    <phoneticPr fontId="144" type="noConversion"/>
  </si>
  <si>
    <t>建筑面积</t>
    <phoneticPr fontId="144" type="noConversion"/>
  </si>
  <si>
    <r>
      <t>1</t>
    </r>
    <r>
      <rPr>
        <sz val="11"/>
        <color theme="1"/>
        <rFont val="宋体"/>
        <family val="3"/>
        <charset val="134"/>
        <scheme val="minor"/>
      </rPr>
      <t>-3层</t>
    </r>
    <phoneticPr fontId="144" type="noConversion"/>
  </si>
  <si>
    <t>商业</t>
    <phoneticPr fontId="144" type="noConversion"/>
  </si>
  <si>
    <r>
      <t>润州区凤凰家园凤仪苑</t>
    </r>
    <r>
      <rPr>
        <sz val="9"/>
        <color rgb="FF000000"/>
        <rFont val="宋体"/>
        <family val="3"/>
        <charset val="134"/>
      </rPr>
      <t>21</t>
    </r>
    <r>
      <rPr>
        <sz val="11"/>
        <color theme="1"/>
        <rFont val="宋体"/>
        <family val="3"/>
        <charset val="134"/>
        <scheme val="minor"/>
      </rPr>
      <t>幢第1至3层</t>
    </r>
    <r>
      <rPr>
        <sz val="11"/>
        <color theme="1"/>
        <rFont val="宋体"/>
        <family val="2"/>
        <charset val="134"/>
        <scheme val="minor"/>
      </rPr>
      <t/>
    </r>
    <phoneticPr fontId="144" type="noConversion"/>
  </si>
  <si>
    <r>
      <t>润州区凤凰家园凤仪苑</t>
    </r>
    <r>
      <rPr>
        <sz val="9"/>
        <color rgb="FF000000"/>
        <rFont val="宋体"/>
        <family val="3"/>
        <charset val="134"/>
      </rPr>
      <t>23</t>
    </r>
    <r>
      <rPr>
        <sz val="11"/>
        <color theme="1"/>
        <rFont val="宋体"/>
        <family val="3"/>
        <charset val="134"/>
        <scheme val="minor"/>
      </rPr>
      <t>幢第1至3层</t>
    </r>
    <r>
      <rPr>
        <sz val="11"/>
        <color theme="1"/>
        <rFont val="宋体"/>
        <family val="2"/>
        <charset val="134"/>
        <scheme val="minor"/>
      </rPr>
      <t/>
    </r>
    <phoneticPr fontId="144" type="noConversion"/>
  </si>
  <si>
    <r>
      <t>润州区润旺路2</t>
    </r>
    <r>
      <rPr>
        <sz val="12"/>
        <color indexed="8"/>
        <rFont val="宋体"/>
        <family val="3"/>
        <charset val="134"/>
      </rPr>
      <t>1号</t>
    </r>
    <phoneticPr fontId="144" type="noConversion"/>
  </si>
  <si>
    <r>
      <t>1</t>
    </r>
    <r>
      <rPr>
        <sz val="12"/>
        <color indexed="8"/>
        <rFont val="宋体"/>
        <family val="3"/>
        <charset val="134"/>
      </rPr>
      <t>02</t>
    </r>
    <phoneticPr fontId="144" type="noConversion"/>
  </si>
  <si>
    <t>1-2层</t>
    <phoneticPr fontId="144" type="noConversion"/>
  </si>
  <si>
    <r>
      <t>润州区润旺路1</t>
    </r>
    <r>
      <rPr>
        <sz val="12"/>
        <color indexed="8"/>
        <rFont val="宋体"/>
        <family val="3"/>
        <charset val="134"/>
      </rPr>
      <t>5号</t>
    </r>
    <phoneticPr fontId="144" type="noConversion"/>
  </si>
  <si>
    <r>
      <t>1</t>
    </r>
    <r>
      <rPr>
        <sz val="12"/>
        <color indexed="8"/>
        <rFont val="宋体"/>
        <family val="3"/>
        <charset val="134"/>
      </rPr>
      <t>07</t>
    </r>
    <phoneticPr fontId="144" type="noConversion"/>
  </si>
  <si>
    <r>
      <t>1</t>
    </r>
    <r>
      <rPr>
        <sz val="12"/>
        <color indexed="8"/>
        <rFont val="宋体"/>
        <family val="3"/>
        <charset val="134"/>
      </rPr>
      <t>01</t>
    </r>
    <phoneticPr fontId="144" type="noConversion"/>
  </si>
  <si>
    <r>
      <t>润州区润旺路2</t>
    </r>
    <r>
      <rPr>
        <sz val="12"/>
        <color indexed="8"/>
        <rFont val="宋体"/>
        <family val="3"/>
        <charset val="134"/>
      </rPr>
      <t>7号</t>
    </r>
    <phoneticPr fontId="144" type="noConversion"/>
  </si>
  <si>
    <r>
      <t>1</t>
    </r>
    <r>
      <rPr>
        <sz val="12"/>
        <color indexed="8"/>
        <rFont val="宋体"/>
        <family val="3"/>
        <charset val="134"/>
      </rPr>
      <t>09</t>
    </r>
    <phoneticPr fontId="144" type="noConversion"/>
  </si>
  <si>
    <t>润州区润旺路23号</t>
    <phoneticPr fontId="144" type="noConversion"/>
  </si>
  <si>
    <t>107</t>
    <phoneticPr fontId="144" type="noConversion"/>
  </si>
  <si>
    <r>
      <t>润州区润旺路2</t>
    </r>
    <r>
      <rPr>
        <sz val="12"/>
        <color indexed="8"/>
        <rFont val="宋体"/>
        <family val="3"/>
        <charset val="134"/>
      </rPr>
      <t>3号</t>
    </r>
    <phoneticPr fontId="144" type="noConversion"/>
  </si>
  <si>
    <t>105</t>
    <phoneticPr fontId="144" type="noConversion"/>
  </si>
  <si>
    <t>103</t>
    <phoneticPr fontId="144" type="noConversion"/>
  </si>
  <si>
    <t>1层</t>
    <phoneticPr fontId="144" type="noConversion"/>
  </si>
  <si>
    <t>润州区润旺路15号</t>
    <phoneticPr fontId="144" type="noConversion"/>
  </si>
  <si>
    <r>
      <t>1</t>
    </r>
    <r>
      <rPr>
        <sz val="12"/>
        <color indexed="8"/>
        <rFont val="宋体"/>
        <family val="3"/>
        <charset val="134"/>
      </rPr>
      <t>10</t>
    </r>
    <phoneticPr fontId="144" type="noConversion"/>
  </si>
  <si>
    <r>
      <t>润州区润旺路1</t>
    </r>
    <r>
      <rPr>
        <sz val="12"/>
        <color indexed="8"/>
        <rFont val="宋体"/>
        <family val="3"/>
        <charset val="134"/>
      </rPr>
      <t>7号</t>
    </r>
    <phoneticPr fontId="144" type="noConversion"/>
  </si>
  <si>
    <r>
      <t>1</t>
    </r>
    <r>
      <rPr>
        <sz val="12"/>
        <color indexed="8"/>
        <rFont val="宋体"/>
        <family val="3"/>
        <charset val="134"/>
      </rPr>
      <t>08</t>
    </r>
    <phoneticPr fontId="144" type="noConversion"/>
  </si>
  <si>
    <r>
      <t>1</t>
    </r>
    <r>
      <rPr>
        <sz val="12"/>
        <color indexed="8"/>
        <rFont val="宋体"/>
        <family val="3"/>
        <charset val="134"/>
      </rPr>
      <t>06</t>
    </r>
    <phoneticPr fontId="144" type="noConversion"/>
  </si>
  <si>
    <r>
      <t>1</t>
    </r>
    <r>
      <rPr>
        <sz val="12"/>
        <color indexed="8"/>
        <rFont val="宋体"/>
        <family val="3"/>
        <charset val="134"/>
      </rPr>
      <t>03</t>
    </r>
    <phoneticPr fontId="144" type="noConversion"/>
  </si>
  <si>
    <r>
      <t>1</t>
    </r>
    <r>
      <rPr>
        <sz val="12"/>
        <color indexed="8"/>
        <rFont val="宋体"/>
        <family val="3"/>
        <charset val="134"/>
      </rPr>
      <t>11</t>
    </r>
    <phoneticPr fontId="144" type="noConversion"/>
  </si>
  <si>
    <r>
      <t>1</t>
    </r>
    <r>
      <rPr>
        <sz val="12"/>
        <color indexed="8"/>
        <rFont val="宋体"/>
        <family val="3"/>
        <charset val="134"/>
      </rPr>
      <t>05</t>
    </r>
    <phoneticPr fontId="144" type="noConversion"/>
  </si>
  <si>
    <r>
      <t>润州区凤凰家园凤仪苑</t>
    </r>
    <r>
      <rPr>
        <sz val="9"/>
        <color rgb="FF000000"/>
        <rFont val="宋体"/>
        <family val="3"/>
        <charset val="134"/>
      </rPr>
      <t>19</t>
    </r>
    <r>
      <rPr>
        <sz val="11"/>
        <color theme="1"/>
        <rFont val="宋体"/>
        <family val="3"/>
        <charset val="134"/>
        <scheme val="minor"/>
      </rPr>
      <t>幢第1至3层</t>
    </r>
    <r>
      <rPr>
        <sz val="11"/>
        <color theme="1"/>
        <rFont val="宋体"/>
        <family val="2"/>
        <charset val="134"/>
        <scheme val="minor"/>
      </rPr>
      <t/>
    </r>
    <phoneticPr fontId="144" type="noConversion"/>
  </si>
  <si>
    <r>
      <t>润州区凤凰家园凤仪苑</t>
    </r>
    <r>
      <rPr>
        <sz val="9"/>
        <color rgb="FF000000"/>
        <rFont val="宋体"/>
        <family val="3"/>
        <charset val="134"/>
      </rPr>
      <t>20</t>
    </r>
    <r>
      <rPr>
        <sz val="11"/>
        <color theme="1"/>
        <rFont val="宋体"/>
        <family val="3"/>
        <charset val="134"/>
        <scheme val="minor"/>
      </rPr>
      <t>幢第1至3层</t>
    </r>
    <r>
      <rPr>
        <sz val="11"/>
        <color theme="1"/>
        <rFont val="宋体"/>
        <family val="2"/>
        <charset val="134"/>
        <scheme val="minor"/>
      </rPr>
      <t/>
    </r>
    <phoneticPr fontId="144" type="noConversion"/>
  </si>
  <si>
    <t>1-2层</t>
    <phoneticPr fontId="144" type="noConversion"/>
  </si>
  <si>
    <t>镇房权证字第1101013403100110号</t>
    <phoneticPr fontId="144" type="noConversion"/>
  </si>
  <si>
    <t>镇房权证字第1101013412100110号</t>
    <phoneticPr fontId="144" type="noConversion"/>
  </si>
  <si>
    <t>镇房权证字第1101013402100110号</t>
    <phoneticPr fontId="144" type="noConversion"/>
  </si>
  <si>
    <t>镇房权证字第1101013401100110号</t>
    <phoneticPr fontId="144" type="noConversion"/>
  </si>
  <si>
    <t>镇房权证字第1101013409100110号</t>
    <phoneticPr fontId="144" type="noConversion"/>
  </si>
  <si>
    <t>镇房权证字第1101013400100110号</t>
    <phoneticPr fontId="144" type="noConversion"/>
  </si>
  <si>
    <t>镇房权证字第1101013411100110号</t>
    <phoneticPr fontId="144" type="noConversion"/>
  </si>
  <si>
    <t>镇房权证字第1101013407100110号</t>
    <phoneticPr fontId="144" type="noConversion"/>
  </si>
  <si>
    <t>镇房权证字第1101013413100110号</t>
    <phoneticPr fontId="144" type="noConversion"/>
  </si>
  <si>
    <t>镇房权证字第1101013399100110号</t>
    <phoneticPr fontId="144" type="noConversion"/>
  </si>
  <si>
    <t>镇房权证字第1101013416100110号</t>
    <phoneticPr fontId="144" type="noConversion"/>
  </si>
  <si>
    <t>镇房权证字第1101013405100110号</t>
    <phoneticPr fontId="144" type="noConversion"/>
  </si>
  <si>
    <t>凤凰家园凤仪苑19幢第1至3层101室</t>
    <phoneticPr fontId="144" type="noConversion"/>
  </si>
  <si>
    <t>镇房权证字第1101018765111610号</t>
    <phoneticPr fontId="144" type="noConversion"/>
  </si>
  <si>
    <t>凤凰家园凤仪苑18幢第1至3层101室</t>
    <phoneticPr fontId="144" type="noConversion"/>
  </si>
  <si>
    <t>镇房权证字第1101018799108610号</t>
    <phoneticPr fontId="144" type="noConversion"/>
  </si>
  <si>
    <t>凤凰家园鸣凰苑21幢第1至3层101室</t>
    <phoneticPr fontId="144" type="noConversion"/>
  </si>
  <si>
    <t>镇房权证字第1101018798108010号</t>
    <phoneticPr fontId="144" type="noConversion"/>
  </si>
  <si>
    <t>凤凰家园鸣凰苑230幢第1至2层101室</t>
    <phoneticPr fontId="144" type="noConversion"/>
  </si>
  <si>
    <t>凤凰家园凤仪苑20幢第1至3层101室</t>
    <phoneticPr fontId="144" type="noConversion"/>
  </si>
  <si>
    <t>润旺路23号楼</t>
    <phoneticPr fontId="144" type="noConversion"/>
  </si>
  <si>
    <t>润旺路21号</t>
    <phoneticPr fontId="144" type="noConversion"/>
  </si>
  <si>
    <t>润旺路23号</t>
    <phoneticPr fontId="144" type="noConversion"/>
  </si>
  <si>
    <t>润旺路23号</t>
    <phoneticPr fontId="144" type="noConversion"/>
  </si>
  <si>
    <t>润旺路17号</t>
    <phoneticPr fontId="144" type="noConversion"/>
  </si>
  <si>
    <t>润旺路15号</t>
    <phoneticPr fontId="144" type="noConversion"/>
  </si>
  <si>
    <t>润旺路15号</t>
    <phoneticPr fontId="144" type="noConversion"/>
  </si>
  <si>
    <t>润旺路27号</t>
    <phoneticPr fontId="144" type="noConversion"/>
  </si>
  <si>
    <t>润旺路27号</t>
    <phoneticPr fontId="144" type="noConversion"/>
  </si>
  <si>
    <t>凤凰家园凤仪苑19幢</t>
    <phoneticPr fontId="144" type="noConversion"/>
  </si>
  <si>
    <t>凤凰家园凤仪苑18幢</t>
    <phoneticPr fontId="144" type="noConversion"/>
  </si>
  <si>
    <t>凤凰家园鸣凰苑21幢</t>
    <phoneticPr fontId="144" type="noConversion"/>
  </si>
  <si>
    <t>凤凰家园鸣凰苑23</t>
    <phoneticPr fontId="144" type="noConversion"/>
  </si>
  <si>
    <t>107室</t>
    <phoneticPr fontId="144" type="noConversion"/>
  </si>
  <si>
    <t>105室</t>
    <phoneticPr fontId="144" type="noConversion"/>
  </si>
  <si>
    <t>108室</t>
    <phoneticPr fontId="144" type="noConversion"/>
  </si>
  <si>
    <t>110室</t>
    <phoneticPr fontId="144" type="noConversion"/>
  </si>
  <si>
    <t>101室</t>
    <phoneticPr fontId="144" type="noConversion"/>
  </si>
  <si>
    <t>102室</t>
    <phoneticPr fontId="144" type="noConversion"/>
  </si>
  <si>
    <t>103室</t>
    <phoneticPr fontId="144" type="noConversion"/>
  </si>
  <si>
    <t>102室</t>
    <phoneticPr fontId="144" type="noConversion"/>
  </si>
  <si>
    <t>105室</t>
    <phoneticPr fontId="144" type="noConversion"/>
  </si>
  <si>
    <t>110室</t>
    <phoneticPr fontId="144" type="noConversion"/>
  </si>
  <si>
    <t>101室</t>
    <phoneticPr fontId="144" type="noConversion"/>
  </si>
  <si>
    <t>111室</t>
    <phoneticPr fontId="144" type="noConversion"/>
  </si>
  <si>
    <t>镇房权证字第1101018766111610号</t>
    <phoneticPr fontId="144" type="noConversion"/>
  </si>
  <si>
    <t>镇房权证字第1101013404100110号</t>
    <phoneticPr fontId="144" type="noConversion"/>
  </si>
  <si>
    <t>镇房权证字第1101013406100110号</t>
    <phoneticPr fontId="144" type="noConversion"/>
  </si>
  <si>
    <t>镇房权证字第1101018810108110号</t>
    <phoneticPr fontId="144" type="noConversion"/>
  </si>
  <si>
    <t>镇房权证字第1101013415100110号</t>
    <phoneticPr fontId="144" type="noConversion"/>
  </si>
  <si>
    <t>107室</t>
    <phoneticPr fontId="144" type="noConversion"/>
  </si>
  <si>
    <t>镇房权证字第1101013417100110号</t>
    <phoneticPr fontId="144" type="noConversion"/>
  </si>
  <si>
    <t>镇房权证字第1101013414100110号</t>
    <phoneticPr fontId="144" type="noConversion"/>
  </si>
  <si>
    <t>镇房权证字第1101013418100110号</t>
    <phoneticPr fontId="144" type="noConversion"/>
  </si>
  <si>
    <t>镇房权证字第1101013408100110号</t>
    <phoneticPr fontId="144" type="noConversion"/>
  </si>
  <si>
    <t>镇房权证字第1101013408100110号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</si>
</sst>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9"/>
      <color rgb="FF000000"/>
      <name val="华文细黑"/>
      <family val="3"/>
      <charset val="134"/>
    </font>
    <font>
      <sz val="9"/>
      <color rgb="FF000000"/>
      <name val="宋体"/>
      <family val="3"/>
      <charset val="134"/>
    </font>
    <font>
      <sz val="9"/>
      <color rgb="FF000000"/>
      <name val="Arial"/>
      <family val="2"/>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49" fontId="51" fillId="0" borderId="1" xfId="0" applyNumberFormat="1"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58" fontId="51" fillId="10" borderId="9" xfId="0" applyNumberFormat="1"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10" fontId="48" fillId="0" borderId="53" xfId="0" applyNumberFormat="1"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23" fillId="6" borderId="0" xfId="0" applyFont="1" applyFill="1" applyAlignment="1" applyProtection="1">
      <alignment horizontal="lef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176" fontId="53" fillId="0" borderId="37" xfId="0" applyNumberFormat="1" applyFont="1" applyFill="1" applyBorder="1" applyAlignment="1" applyProtection="1">
      <alignment horizontal="center" vertical="center" wrapText="1"/>
      <protection locked="0"/>
    </xf>
    <xf numFmtId="176" fontId="48" fillId="0" borderId="37" xfId="0" applyNumberFormat="1" applyFont="1" applyFill="1" applyBorder="1" applyAlignment="1" applyProtection="1">
      <alignment horizontal="center" vertical="center" wrapText="1"/>
      <protection locked="0"/>
    </xf>
    <xf numFmtId="179" fontId="255" fillId="0" borderId="0" xfId="0" applyNumberFormat="1" applyFont="1" applyAlignment="1">
      <alignment horizontal="center" vertical="center"/>
    </xf>
    <xf numFmtId="179" fontId="0" fillId="0" borderId="0" xfId="0" applyNumberFormat="1" applyAlignment="1">
      <alignment horizontal="center" vertical="center"/>
    </xf>
    <xf numFmtId="0" fontId="157" fillId="0" borderId="1" xfId="0" applyNumberFormat="1" applyFont="1" applyBorder="1" applyAlignment="1">
      <alignment horizontal="center" vertical="center"/>
    </xf>
    <xf numFmtId="49" fontId="157" fillId="0" borderId="1" xfId="0" applyNumberFormat="1" applyFont="1" applyBorder="1" applyAlignment="1">
      <alignment horizontal="center" vertical="center"/>
    </xf>
    <xf numFmtId="179" fontId="157" fillId="0" borderId="1" xfId="0" applyNumberFormat="1" applyFont="1" applyBorder="1" applyAlignment="1">
      <alignment horizontal="center" vertical="center"/>
    </xf>
    <xf numFmtId="179" fontId="212" fillId="0" borderId="0" xfId="0" applyNumberFormat="1" applyFont="1" applyAlignment="1">
      <alignment horizontal="center" vertical="center"/>
    </xf>
    <xf numFmtId="179" fontId="157" fillId="0" borderId="1" xfId="0" applyNumberFormat="1" applyFont="1" applyBorder="1" applyAlignment="1">
      <alignment vertical="center"/>
    </xf>
    <xf numFmtId="179" fontId="157" fillId="0" borderId="0" xfId="0" applyNumberFormat="1" applyFont="1" applyAlignment="1">
      <alignment horizontal="center" vertical="center"/>
    </xf>
    <xf numFmtId="179" fontId="256" fillId="0" borderId="1" xfId="0" applyNumberFormat="1" applyFont="1" applyBorder="1" applyAlignment="1">
      <alignment horizontal="center" vertical="center"/>
    </xf>
    <xf numFmtId="0" fontId="0" fillId="0" borderId="0" xfId="0" applyNumberFormat="1" applyAlignment="1">
      <alignment horizontal="center" vertical="center"/>
    </xf>
    <xf numFmtId="49" fontId="0" fillId="0" borderId="0" xfId="0" applyNumberFormat="1" applyAlignment="1">
      <alignment horizontal="center" vertical="center"/>
    </xf>
    <xf numFmtId="0" fontId="157" fillId="0" borderId="1" xfId="0" applyNumberFormat="1" applyFont="1" applyBorder="1" applyAlignment="1" applyProtection="1">
      <alignment horizontal="center" vertical="center"/>
      <protection locked="0"/>
    </xf>
    <xf numFmtId="181" fontId="48" fillId="9" borderId="1" xfId="0" applyNumberFormat="1" applyFont="1" applyFill="1" applyBorder="1" applyAlignment="1" applyProtection="1">
      <alignment vertical="center"/>
      <protection locked="0"/>
    </xf>
    <xf numFmtId="0" fontId="57" fillId="9" borderId="24" xfId="0" applyFont="1" applyFill="1" applyBorder="1" applyAlignment="1" applyProtection="1">
      <alignment horizontal="center" vertical="center"/>
      <protection locked="0"/>
    </xf>
    <xf numFmtId="10" fontId="51" fillId="9" borderId="1" xfId="1"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49"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257" fillId="0" borderId="1" xfId="0" applyFont="1" applyBorder="1" applyAlignment="1">
      <alignment horizontal="justify" vertical="center"/>
    </xf>
    <xf numFmtId="49" fontId="257" fillId="0" borderId="1" xfId="0" applyNumberFormat="1" applyFont="1" applyBorder="1" applyAlignment="1">
      <alignment horizontal="justify" vertical="center"/>
    </xf>
    <xf numFmtId="0" fontId="257" fillId="0" borderId="1" xfId="0" applyNumberFormat="1" applyFont="1" applyBorder="1" applyAlignment="1">
      <alignment horizontal="justify" vertical="center"/>
    </xf>
    <xf numFmtId="0" fontId="0" fillId="0" borderId="1" xfId="0" applyBorder="1">
      <alignment vertical="center"/>
    </xf>
    <xf numFmtId="0" fontId="100" fillId="0" borderId="1" xfId="0" applyNumberFormat="1" applyFont="1" applyBorder="1">
      <alignment vertical="center"/>
    </xf>
    <xf numFmtId="0" fontId="100" fillId="0" borderId="1" xfId="0" applyFont="1" applyBorder="1">
      <alignment vertical="center"/>
    </xf>
    <xf numFmtId="0" fontId="0" fillId="0" borderId="1" xfId="0" applyNumberFormat="1" applyBorder="1">
      <alignment vertical="center"/>
    </xf>
    <xf numFmtId="0" fontId="259" fillId="0" borderId="156" xfId="0" applyFont="1" applyBorder="1" applyAlignment="1">
      <alignment horizontal="justify" vertical="center" wrapText="1"/>
    </xf>
    <xf numFmtId="0" fontId="259" fillId="0" borderId="157" xfId="0" applyFont="1" applyBorder="1" applyAlignment="1">
      <alignment horizontal="justify" vertical="center" wrapText="1"/>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102" fillId="0" borderId="1" xfId="0" applyFont="1" applyBorder="1" applyAlignment="1"/>
    <xf numFmtId="0" fontId="102" fillId="7" borderId="1" xfId="0" applyFont="1" applyFill="1" applyBorder="1" applyAlignment="1"/>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28" fillId="0" borderId="1" xfId="0" applyNumberFormat="1" applyFont="1" applyBorder="1" applyAlignment="1">
      <alignment horizontal="center" vertical="center"/>
    </xf>
    <xf numFmtId="49" fontId="128" fillId="0" borderId="1" xfId="0" applyNumberFormat="1" applyFont="1" applyBorder="1" applyAlignment="1">
      <alignment horizontal="center" vertical="center"/>
    </xf>
    <xf numFmtId="179" fontId="128" fillId="0" borderId="1" xfId="0" applyNumberFormat="1"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36130;&#23500;&#24191;&#22330;&#65289;&#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链接报告的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S22">
            <v>148961</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江苏省镇江市京口区解放路27号镇江财富广场8幢101室等共79套商业用房房地产抵押价值预评估</v>
      </c>
    </row>
    <row r="3" spans="1:2" s="1590" customFormat="1">
      <c r="A3" s="1588" t="s">
        <v>1221</v>
      </c>
      <c r="B3" s="1589" t="str">
        <f>'预评函-封皮'!B40</f>
        <v>中信信托有限责任公司</v>
      </c>
    </row>
    <row r="4" spans="1:2" s="1590" customFormat="1">
      <c r="A4" s="1588" t="s">
        <v>1222</v>
      </c>
      <c r="B4" s="1589" t="str">
        <f ca="1">'预评函-封皮'!B46</f>
        <v>郑燚（注册号：1120070131)、王鹏（注册号：1120050019)</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受贵公司委托，我公司对江苏省镇江市京口区解放路27号镇江财富广场8幢101室等共79套商业用房房地产抵押价值进行了预评估。</v>
      </c>
    </row>
    <row r="7" spans="1:2" s="1590" customFormat="1">
      <c r="A7" s="1588" t="s">
        <v>1264</v>
      </c>
      <c r="B7" s="1589"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0平方米，建筑面积为7918.4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0平方米，规划建筑面积为7918.4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2018年9月3日（评估专业人员实地查勘之日）</v>
      </c>
    </row>
    <row r="13" spans="1:2" s="1590" customFormat="1">
      <c r="A13" s="1588" t="s">
        <v>1227</v>
      </c>
      <c r="B13" s="1589" t="str">
        <f>'预评函-1'!A18</f>
        <v>本次估价的“房地产价值”是指在正常市场情况下，在价值时点2018年9月3日，估价对象规划用途为商业，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本次评估采用的主估价方法为比较法和收益法。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8739</v>
      </c>
    </row>
    <row r="21" spans="1:2" s="1590" customFormat="1">
      <c r="A21" s="1588" t="s">
        <v>1235</v>
      </c>
      <c r="B21" s="1589">
        <f ca="1">'预评函-2'!D7</f>
        <v>11036</v>
      </c>
    </row>
    <row r="22" spans="1:2" s="1590" customFormat="1">
      <c r="A22" s="1588" t="s">
        <v>1236</v>
      </c>
      <c r="B22" s="1589" t="str">
        <f ca="1">'预评函-2'!D6</f>
        <v>捌仟柒佰叁拾玖万元整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8739</v>
      </c>
    </row>
    <row r="31" spans="1:2" s="1590" customFormat="1">
      <c r="A31" s="1588" t="s">
        <v>1274</v>
      </c>
      <c r="B31" s="1589">
        <f ca="1">'预评函-2'!D15</f>
        <v>11036</v>
      </c>
    </row>
    <row r="32" spans="1:2" s="1590" customFormat="1">
      <c r="A32" s="1588" t="s">
        <v>1241</v>
      </c>
      <c r="B32" s="1589" t="str">
        <f ca="1">'预评函-2'!D14</f>
        <v>捌仟柒佰叁拾玖万元整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江苏省镇江市京口区解放路27号镇江财富广场8幢101室等共79套商业用房房地产</v>
      </c>
    </row>
    <row r="42" spans="1:2" s="1590" customFormat="1">
      <c r="A42" s="1588" t="s">
        <v>1288</v>
      </c>
      <c r="B42" s="1589" t="str">
        <f>'预评函-3'!B2</f>
        <v>建筑面积</v>
      </c>
    </row>
    <row r="43" spans="1:2" s="1590" customFormat="1">
      <c r="A43" s="1588" t="s">
        <v>1289</v>
      </c>
      <c r="B43" s="1589">
        <f>'预评函-3'!B4</f>
        <v>7918.4</v>
      </c>
    </row>
    <row r="44" spans="1:2" s="1590" customFormat="1">
      <c r="A44" s="1588" t="s">
        <v>1273</v>
      </c>
      <c r="B44" s="1589" t="str">
        <f>'预评函-3'!C2</f>
        <v>(分摊)土地面积</v>
      </c>
    </row>
    <row r="45" spans="1:2" s="1590" customFormat="1">
      <c r="A45" s="1588" t="s">
        <v>1245</v>
      </c>
      <c r="B45" s="1589">
        <f>'预评函-3'!C4</f>
        <v>0</v>
      </c>
    </row>
    <row r="46" spans="1:2" s="1590" customFormat="1">
      <c r="A46" s="1588" t="s">
        <v>1271</v>
      </c>
      <c r="B46" s="1589" t="str">
        <f>'预评函-3'!D2</f>
        <v>出让国有建设用地使用权价值</v>
      </c>
    </row>
    <row r="47" spans="1:2" s="1590" customFormat="1">
      <c r="A47" s="1588" t="s">
        <v>1246</v>
      </c>
      <c r="B47" s="1589">
        <f ca="1">'预评函-3'!D4</f>
        <v>2849</v>
      </c>
    </row>
    <row r="48" spans="1:2" s="1590" customFormat="1">
      <c r="A48" s="1588" t="s">
        <v>1247</v>
      </c>
      <c r="B48" s="1589">
        <f ca="1">'预评函-3'!E4</f>
        <v>3598</v>
      </c>
    </row>
    <row r="49" spans="1:2" s="1590" customFormat="1">
      <c r="A49" s="1588" t="s">
        <v>1248</v>
      </c>
      <c r="B49" s="1589" t="str">
        <f ca="1">'预评函-3'!D5</f>
        <v>贰仟捌佰肆拾玖万元整</v>
      </c>
    </row>
    <row r="50" spans="1:2" s="1590" customFormat="1">
      <c r="A50" s="1588" t="s">
        <v>1272</v>
      </c>
      <c r="B50" s="1589" t="str">
        <f>'预评函-3'!F2</f>
        <v>建筑物价值</v>
      </c>
    </row>
    <row r="51" spans="1:2" s="1590" customFormat="1">
      <c r="A51" s="1588" t="s">
        <v>1249</v>
      </c>
      <c r="B51" s="1589">
        <f ca="1">'预评函-3'!F4</f>
        <v>5890</v>
      </c>
    </row>
    <row r="52" spans="1:2" s="1590" customFormat="1">
      <c r="A52" s="1588" t="s">
        <v>1250</v>
      </c>
      <c r="B52" s="1589">
        <f ca="1">'预评函-3'!G4</f>
        <v>7438</v>
      </c>
    </row>
    <row r="53" spans="1:2" s="1590" customFormat="1">
      <c r="A53" s="1588" t="s">
        <v>1278</v>
      </c>
      <c r="B53" s="1589" t="str">
        <f ca="1">'预评函-3'!F5</f>
        <v>伍仟捌佰玖拾万元整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王鹏</v>
      </c>
    </row>
    <row r="73" spans="1:2" s="1584" customFormat="1" ht="15" thickBot="1">
      <c r="A73" s="1591" t="s">
        <v>1263</v>
      </c>
      <c r="B73" s="1592">
        <f ca="1">'预评函-4'!B5</f>
        <v>1120050019</v>
      </c>
    </row>
    <row r="74" spans="1:2" ht="15" thickTop="1">
      <c r="A74" s="1581" t="s">
        <v>1299</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2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9"/>
      <c r="B54" s="2018" t="s">
        <v>864</v>
      </c>
      <c r="C54" s="2015" t="s">
        <v>1281</v>
      </c>
    </row>
    <row r="55" spans="1:4">
      <c r="A55" s="3029"/>
      <c r="B55" s="2018" t="s">
        <v>865</v>
      </c>
      <c r="C55" s="2015" t="s">
        <v>1282</v>
      </c>
    </row>
    <row r="56" spans="1:4">
      <c r="A56" s="3029"/>
      <c r="B56" s="2018" t="s">
        <v>866</v>
      </c>
      <c r="C56" s="2015" t="s">
        <v>1286</v>
      </c>
    </row>
    <row r="57" spans="1:4">
      <c r="A57" s="302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B21" sqref="B21"/>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1776</v>
      </c>
      <c r="B1" s="3030"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31"/>
      <c r="D1" s="3031"/>
      <c r="E1" s="3031"/>
      <c r="F1" s="3031"/>
      <c r="G1" s="3031"/>
      <c r="H1" s="3031"/>
      <c r="I1" s="303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2" t="s">
        <v>1777</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31" t="s">
        <v>1778</v>
      </c>
      <c r="B3" s="2032">
        <v>43346</v>
      </c>
      <c r="C3" s="2033" t="s">
        <v>1779</v>
      </c>
      <c r="D3" s="2032">
        <v>43346</v>
      </c>
      <c r="E3" s="2022"/>
      <c r="F3" s="2022"/>
      <c r="G3" s="2022"/>
      <c r="H3" s="2022"/>
      <c r="I3" s="2022"/>
      <c r="J3" s="2022"/>
      <c r="K3" s="2023"/>
      <c r="L3" s="2024"/>
      <c r="M3" s="2024"/>
      <c r="N3" s="2025"/>
      <c r="O3" s="2026"/>
      <c r="P3" s="2025"/>
      <c r="Q3" s="2025"/>
      <c r="R3" s="2025"/>
      <c r="S3" s="2027"/>
    </row>
    <row r="4" spans="1:19" ht="18" customHeight="1" thickBot="1">
      <c r="A4" s="2034" t="s">
        <v>1780</v>
      </c>
      <c r="B4" s="2035" t="s">
        <v>3063</v>
      </c>
      <c r="C4" s="1035">
        <f ca="1">SUMIF(注册房地产估价师,B4,估价师及机构信息!B3:B24)</f>
        <v>1120070131</v>
      </c>
      <c r="D4" s="2035" t="s">
        <v>3064</v>
      </c>
      <c r="E4" s="1036">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1781</v>
      </c>
      <c r="B5" s="2041" t="str">
        <f>B6</f>
        <v>中信信托有限责任公司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1782</v>
      </c>
      <c r="B6" s="2946" t="s">
        <v>3075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1783</v>
      </c>
      <c r="B7" s="2048" t="str">
        <f>C11</f>
        <v>镇江城市建设产业集团有限公司</v>
      </c>
      <c r="C7" s="2045"/>
      <c r="D7" s="2046"/>
      <c r="E7" s="2030"/>
      <c r="F7" s="2038"/>
      <c r="G7" s="2038"/>
      <c r="H7" s="2038"/>
      <c r="I7" s="2038"/>
      <c r="J7" s="2038"/>
      <c r="K7" s="2049"/>
      <c r="L7" s="2024"/>
      <c r="M7" s="2024"/>
      <c r="N7" s="2025"/>
      <c r="O7" s="2026"/>
      <c r="P7" s="2025"/>
      <c r="Q7" s="2025"/>
      <c r="R7" s="2025"/>
    </row>
    <row r="8" spans="1:19" ht="18" customHeight="1">
      <c r="A8" s="2044" t="s">
        <v>1784</v>
      </c>
      <c r="B8" s="2050" t="s">
        <v>3062</v>
      </c>
      <c r="C8" s="2051"/>
      <c r="D8" s="3033" t="s">
        <v>1785</v>
      </c>
      <c r="E8" s="2052" t="s">
        <v>3061</v>
      </c>
      <c r="F8" s="2053"/>
      <c r="G8" s="2022"/>
      <c r="H8" s="2022"/>
      <c r="I8" s="2022"/>
      <c r="J8" s="2038"/>
      <c r="K8" s="2039"/>
      <c r="L8" s="2024"/>
      <c r="M8" s="2024"/>
      <c r="N8" s="2025"/>
      <c r="O8" s="2026"/>
      <c r="P8" s="2025"/>
      <c r="Q8" s="2025"/>
      <c r="R8" s="2025"/>
    </row>
    <row r="9" spans="1:19" ht="18" customHeight="1" thickBot="1">
      <c r="A9" s="2036" t="s">
        <v>1786</v>
      </c>
      <c r="B9" s="2054" t="s">
        <v>3061</v>
      </c>
      <c r="C9" s="2055"/>
      <c r="D9" s="3034"/>
      <c r="E9" s="2054"/>
      <c r="F9" s="2056"/>
      <c r="G9" s="2057"/>
      <c r="H9" s="2057"/>
      <c r="I9" s="2057"/>
      <c r="J9" s="2038"/>
      <c r="K9" s="2049"/>
      <c r="L9" s="2024"/>
      <c r="M9" s="2024"/>
      <c r="N9" s="2025"/>
      <c r="O9" s="2026"/>
      <c r="P9" s="2025"/>
      <c r="Q9" s="2025"/>
      <c r="R9" s="2025"/>
    </row>
    <row r="10" spans="1:19" ht="18" customHeight="1" thickTop="1">
      <c r="A10" s="2058" t="s">
        <v>1787</v>
      </c>
      <c r="B10" s="2059" t="s">
        <v>3060</v>
      </c>
      <c r="C10" s="2945" t="s">
        <v>3083</v>
      </c>
      <c r="D10" s="2043"/>
      <c r="E10" s="2060" t="s">
        <v>1788</v>
      </c>
      <c r="F10" s="2061" t="s">
        <v>3074</v>
      </c>
      <c r="G10" s="2062"/>
      <c r="H10" s="2063"/>
      <c r="I10" s="2043"/>
      <c r="J10" s="2038"/>
      <c r="K10" s="2049"/>
      <c r="L10" s="2024"/>
      <c r="M10" s="2024"/>
      <c r="N10" s="2025"/>
      <c r="O10" s="2026"/>
      <c r="P10" s="2025"/>
      <c r="Q10" s="2025"/>
      <c r="R10" s="2025"/>
    </row>
    <row r="11" spans="1:19" ht="18" customHeight="1">
      <c r="A11" s="2064" t="s">
        <v>1789</v>
      </c>
      <c r="B11" s="2065" t="s">
        <v>3059</v>
      </c>
      <c r="C11" s="2943" t="s">
        <v>3073</v>
      </c>
      <c r="D11" s="2066"/>
      <c r="E11" s="2038"/>
      <c r="F11" s="2038"/>
      <c r="G11" s="2038"/>
      <c r="H11" s="2038"/>
      <c r="I11" s="2038"/>
      <c r="J11" s="2038"/>
      <c r="K11" s="2049"/>
      <c r="L11" s="2024"/>
      <c r="M11" s="2024"/>
      <c r="N11" s="2025"/>
      <c r="O11" s="2026"/>
      <c r="P11" s="2025"/>
      <c r="Q11" s="2025"/>
      <c r="R11" s="2025"/>
    </row>
    <row r="12" spans="1:19" ht="18" customHeight="1">
      <c r="A12" s="2067" t="s">
        <v>1790</v>
      </c>
      <c r="B12" s="2065" t="s">
        <v>3058</v>
      </c>
      <c r="C12" s="2068" t="s">
        <v>1791</v>
      </c>
      <c r="D12" s="2069" t="s">
        <v>1792</v>
      </c>
      <c r="E12" s="2069" t="s">
        <v>1793</v>
      </c>
      <c r="F12" s="2069" t="s">
        <v>1794</v>
      </c>
      <c r="G12" s="2069" t="s">
        <v>1795</v>
      </c>
      <c r="H12" s="2069" t="s">
        <v>1796</v>
      </c>
      <c r="I12" s="2069" t="s">
        <v>1797</v>
      </c>
      <c r="J12" s="2038"/>
      <c r="K12" s="2049"/>
      <c r="L12" s="2024"/>
      <c r="M12" s="2024"/>
      <c r="N12" s="2025"/>
      <c r="O12" s="2026"/>
      <c r="P12" s="2025"/>
      <c r="Q12" s="2025"/>
      <c r="R12" s="2025"/>
    </row>
    <row r="13" spans="1:19" ht="18" customHeight="1">
      <c r="A13" s="2070"/>
      <c r="B13" s="2071"/>
      <c r="C13" s="2072" t="s">
        <v>1798</v>
      </c>
      <c r="D13" s="2073"/>
      <c r="E13" s="2073">
        <v>53977</v>
      </c>
      <c r="F13" s="2073"/>
      <c r="G13" s="2073"/>
      <c r="H13" s="2073"/>
      <c r="I13" s="1045"/>
      <c r="J13" s="2038"/>
      <c r="K13" s="2049"/>
      <c r="L13" s="2024"/>
      <c r="M13" s="2024"/>
      <c r="N13" s="2025"/>
      <c r="O13" s="2026"/>
      <c r="P13" s="2025"/>
      <c r="Q13" s="2025"/>
      <c r="R13" s="2025"/>
    </row>
    <row r="14" spans="1:19" ht="18" customHeight="1">
      <c r="A14" s="2070"/>
      <c r="B14" s="2071"/>
      <c r="C14" s="2072" t="s">
        <v>1799</v>
      </c>
      <c r="D14" s="1048"/>
      <c r="E14" s="1048">
        <v>40</v>
      </c>
      <c r="F14" s="1048"/>
      <c r="G14" s="1048"/>
      <c r="H14" s="1048"/>
      <c r="I14" s="1048"/>
      <c r="J14" s="2038"/>
      <c r="K14" s="2074"/>
      <c r="L14" s="2024"/>
      <c r="M14" s="2024"/>
      <c r="N14" s="2025"/>
      <c r="O14" s="2026"/>
      <c r="P14" s="2025"/>
      <c r="Q14" s="2025"/>
      <c r="R14" s="2025"/>
    </row>
    <row r="15" spans="1:19" ht="18" customHeight="1">
      <c r="A15" s="2058"/>
      <c r="B15" s="2075"/>
      <c r="C15" s="2072" t="s">
        <v>1800</v>
      </c>
      <c r="D15" s="1047" t="str">
        <f>IF(B12="出让",IF(D13="","",ROUNDDOWN(MIN((D13-$D$3)/365,D14),2)),D14)</f>
        <v/>
      </c>
      <c r="E15" s="1047">
        <f>IF(B12="出让",IF(E13="","",ROUNDDOWN(MIN((E13-$D$3)/365,E14),2)),E14)</f>
        <v>29.12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60" t="s">
        <v>1801</v>
      </c>
      <c r="B16" s="3040" t="s">
        <v>3076</v>
      </c>
      <c r="C16" s="3041"/>
      <c r="D16" s="3042"/>
      <c r="E16" s="2079" t="s">
        <v>1802</v>
      </c>
      <c r="F16" s="3043"/>
      <c r="G16" s="3044"/>
      <c r="H16" s="3044"/>
      <c r="I16" s="3045"/>
      <c r="J16" s="2025"/>
      <c r="K16" s="2076"/>
      <c r="L16" s="2077"/>
      <c r="M16" s="2077"/>
      <c r="N16" s="2078"/>
      <c r="O16" s="2077"/>
      <c r="P16" s="2078"/>
      <c r="Q16" s="2025"/>
      <c r="R16" s="2025"/>
    </row>
    <row r="17" spans="1:22" ht="18" customHeight="1">
      <c r="A17" s="2080" t="s">
        <v>1803</v>
      </c>
      <c r="B17" s="2031" t="s">
        <v>1804</v>
      </c>
      <c r="C17" s="1052">
        <f>'数据-汇总表'!E3</f>
        <v>7918.4</v>
      </c>
      <c r="D17" s="2081" t="s">
        <v>1805</v>
      </c>
      <c r="E17" s="3046"/>
      <c r="F17" s="3047"/>
      <c r="G17" s="3047"/>
      <c r="H17" s="3047"/>
      <c r="I17" s="3048"/>
      <c r="J17" s="2025"/>
      <c r="K17" s="2082"/>
      <c r="L17" s="2077"/>
      <c r="M17" s="2077"/>
      <c r="N17" s="2078"/>
      <c r="O17" s="2077"/>
      <c r="P17" s="2078"/>
      <c r="Q17" s="2025"/>
      <c r="R17" s="2025"/>
      <c r="S17" s="2025"/>
      <c r="T17" s="2025"/>
      <c r="U17" s="2025"/>
      <c r="V17" s="2025"/>
    </row>
    <row r="18" spans="1:22" ht="36" customHeight="1" thickBot="1">
      <c r="A18" s="2083" t="s">
        <v>1806</v>
      </c>
      <c r="B18" s="2034" t="s">
        <v>1807</v>
      </c>
      <c r="C18" s="1441">
        <f>'数据-汇总表'!D3</f>
        <v>0</v>
      </c>
      <c r="D18" s="2084" t="s">
        <v>1805</v>
      </c>
      <c r="E18" s="3049" t="s">
        <v>3085</v>
      </c>
      <c r="F18" s="3050"/>
      <c r="G18" s="3050"/>
      <c r="H18" s="3050"/>
      <c r="I18" s="3051"/>
      <c r="J18" s="2025"/>
      <c r="K18" s="2082"/>
      <c r="L18" s="2077"/>
      <c r="M18" s="2077"/>
      <c r="N18" s="2078"/>
      <c r="O18" s="2077"/>
      <c r="P18" s="2078"/>
      <c r="Q18" s="2025"/>
      <c r="R18" s="2025"/>
      <c r="S18" s="2025"/>
      <c r="T18" s="2025"/>
      <c r="U18" s="2025"/>
      <c r="V18" s="2025"/>
    </row>
    <row r="19" spans="1:22" ht="37.5" customHeight="1" thickTop="1" thickBot="1">
      <c r="A19" s="372" t="s">
        <v>1808</v>
      </c>
      <c r="B19" s="351" t="s">
        <v>1809</v>
      </c>
      <c r="C19" s="2085"/>
      <c r="D19" s="2086" t="s">
        <v>1810</v>
      </c>
      <c r="E19" s="2087"/>
      <c r="F19" s="2088" t="str">
        <f>IF(AND(C19="是",E19="否"),"是否提供他项权证或相关说明","")</f>
        <v/>
      </c>
      <c r="G19" s="2089"/>
      <c r="H19" s="2038"/>
      <c r="I19" s="2038"/>
      <c r="J19" s="2038"/>
      <c r="K19" s="2049"/>
      <c r="L19" s="2024"/>
      <c r="M19" s="2024"/>
      <c r="N19" s="2078"/>
      <c r="O19" s="2077"/>
      <c r="P19" s="2078"/>
      <c r="Q19" s="2025"/>
      <c r="R19" s="2025"/>
      <c r="S19" s="2025"/>
      <c r="T19" s="2025"/>
      <c r="U19" s="2025"/>
      <c r="V19" s="2025"/>
    </row>
    <row r="20" spans="1:22" ht="18" customHeight="1">
      <c r="A20" s="2090" t="s">
        <v>1811</v>
      </c>
      <c r="B20" s="3036" t="s">
        <v>1812</v>
      </c>
      <c r="C20" s="3037"/>
      <c r="D20" s="3038" t="s">
        <v>1813</v>
      </c>
      <c r="E20" s="3039"/>
      <c r="F20" s="2091" t="s">
        <v>1814</v>
      </c>
      <c r="G20" s="2038"/>
      <c r="H20" s="2038"/>
      <c r="I20" s="2038"/>
      <c r="J20" s="2038"/>
      <c r="K20" s="3035"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1816</v>
      </c>
      <c r="C21" s="2093" t="s">
        <v>1817</v>
      </c>
      <c r="D21" s="2094" t="s">
        <v>1818</v>
      </c>
      <c r="E21" s="2095" t="s">
        <v>1817</v>
      </c>
      <c r="F21" s="2096"/>
      <c r="G21" s="2038"/>
      <c r="H21" s="2038"/>
      <c r="I21" s="2038"/>
      <c r="J21" s="2038"/>
      <c r="K21" s="3035"/>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1819</v>
      </c>
      <c r="C22" s="2093" t="s">
        <v>1820</v>
      </c>
      <c r="D22" s="2022"/>
      <c r="E22" s="2022"/>
      <c r="F22" s="2098"/>
      <c r="G22" s="2038"/>
      <c r="H22" s="2038"/>
      <c r="I22" s="2038"/>
      <c r="J22" s="2038"/>
      <c r="K22" s="3035"/>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1821</v>
      </c>
      <c r="B23" s="182" t="s">
        <v>1822</v>
      </c>
      <c r="C23" s="2100"/>
      <c r="D23" s="2101" t="s">
        <v>1822</v>
      </c>
      <c r="E23" s="2102"/>
      <c r="F23" s="2098"/>
      <c r="G23" s="2038"/>
      <c r="H23" s="2038"/>
      <c r="I23" s="2038"/>
      <c r="J23" s="2038"/>
      <c r="K23" s="2103"/>
      <c r="L23" s="743"/>
      <c r="M23" s="2024"/>
      <c r="N23" s="2078"/>
      <c r="O23" s="2077"/>
      <c r="P23" s="2078"/>
      <c r="Q23" s="2025"/>
      <c r="R23" s="2025"/>
      <c r="S23" s="2025"/>
      <c r="T23" s="2025"/>
      <c r="U23" s="2025"/>
      <c r="V23" s="2025"/>
    </row>
    <row r="24" spans="1:22" ht="18" customHeight="1">
      <c r="A24" s="2104"/>
      <c r="B24" s="182" t="s">
        <v>1823</v>
      </c>
      <c r="C24" s="2105"/>
      <c r="D24" s="2099" t="s">
        <v>1823</v>
      </c>
      <c r="E24" s="2106"/>
      <c r="F24" s="2098"/>
      <c r="G24" s="2038"/>
      <c r="H24" s="2038"/>
      <c r="I24" s="2038"/>
      <c r="J24" s="2038"/>
      <c r="K24" s="2103"/>
      <c r="L24" s="743"/>
      <c r="M24" s="2024"/>
      <c r="N24" s="2078"/>
      <c r="O24" s="2077"/>
      <c r="P24" s="2078"/>
      <c r="Q24" s="2025"/>
      <c r="R24" s="2025"/>
      <c r="S24" s="2025"/>
      <c r="T24" s="2025"/>
      <c r="U24" s="2025"/>
      <c r="V24" s="2025"/>
    </row>
    <row r="25" spans="1:22" ht="18" customHeight="1">
      <c r="A25" s="2104"/>
      <c r="B25" s="182" t="s">
        <v>1824</v>
      </c>
      <c r="C25" s="2105"/>
      <c r="D25" s="2099" t="s">
        <v>1824</v>
      </c>
      <c r="E25" s="2106"/>
      <c r="F25" s="2098"/>
      <c r="G25" s="2038"/>
      <c r="H25" s="2038"/>
      <c r="I25" s="2038"/>
      <c r="J25" s="2038"/>
      <c r="K25" s="2049"/>
      <c r="L25" s="2024"/>
      <c r="M25" s="2024"/>
      <c r="N25" s="2078"/>
      <c r="O25" s="2077"/>
      <c r="P25" s="2078"/>
      <c r="Q25" s="2025"/>
      <c r="R25" s="2025"/>
      <c r="S25" s="2025"/>
      <c r="T25" s="2025"/>
      <c r="U25" s="2025"/>
      <c r="V25" s="2025"/>
    </row>
    <row r="26" spans="1:22" ht="18" customHeight="1" thickBot="1">
      <c r="A26" s="2107"/>
      <c r="B26" s="2108" t="s">
        <v>1825</v>
      </c>
      <c r="C26" s="2109"/>
      <c r="D26" s="2110" t="s">
        <v>1826</v>
      </c>
      <c r="E26" s="2111"/>
      <c r="F26" s="2112"/>
      <c r="G26" s="2057"/>
      <c r="H26" s="2057"/>
      <c r="I26" s="2057"/>
      <c r="J26" s="2038"/>
      <c r="K26" s="2049"/>
      <c r="L26" s="2024"/>
      <c r="M26" s="2024"/>
      <c r="N26" s="2078"/>
      <c r="O26" s="2077"/>
      <c r="P26" s="2078"/>
      <c r="Q26" s="2025"/>
      <c r="R26" s="2025"/>
      <c r="S26" s="2025"/>
      <c r="T26" s="2025"/>
      <c r="U26" s="2025"/>
      <c r="V26" s="2025"/>
    </row>
    <row r="27" spans="1:22" ht="18" customHeight="1" thickTop="1">
      <c r="A27" s="3053" t="s">
        <v>1827</v>
      </c>
      <c r="B27" s="2058" t="s">
        <v>1828</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53"/>
      <c r="B28" s="2031" t="s">
        <v>1829</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53"/>
      <c r="B29" s="2031" t="s">
        <v>1830</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54"/>
      <c r="B30" s="2031" t="s">
        <v>1831</v>
      </c>
      <c r="C30" s="3055"/>
      <c r="D30" s="3056"/>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57" t="s">
        <v>1832</v>
      </c>
      <c r="B31" s="2120" t="s">
        <v>3065</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58"/>
      <c r="B32" s="2120"/>
      <c r="C32" s="2121" t="str">
        <f>IF(B32="现房","成新及维护状况是否正常",IF(B32="在建","工程状态是否正常",IF(B32="土地","是否闲置","-")))</f>
        <v>-</v>
      </c>
      <c r="D32" s="2122"/>
      <c r="E32" s="2123"/>
      <c r="F32" s="2038"/>
      <c r="G32" s="2038"/>
      <c r="H32" s="2038"/>
      <c r="I32" s="2038"/>
      <c r="J32" s="2038"/>
      <c r="K32" s="2049"/>
      <c r="L32" s="2024"/>
      <c r="M32" s="2024"/>
      <c r="N32" s="2025"/>
      <c r="O32" s="2026"/>
      <c r="P32" s="2025"/>
      <c r="Q32" s="2025"/>
      <c r="R32" s="2025"/>
      <c r="S32" s="2025"/>
      <c r="T32" s="2025"/>
      <c r="U32" s="2025"/>
      <c r="V32" s="2025"/>
    </row>
    <row r="33" spans="1:22" ht="18" customHeight="1">
      <c r="A33" s="3058"/>
      <c r="B33" s="2124"/>
      <c r="C33" s="2064" t="str">
        <f>IF(B33="现房","成新及维护状况是否正常",IF(B33="在建","工程状态是否正常",IF(B33="土地","是否闲置","-")))</f>
        <v>-</v>
      </c>
      <c r="D33" s="2125"/>
      <c r="E33" s="2126"/>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1833</v>
      </c>
      <c r="B34" s="2127" t="s">
        <v>3077</v>
      </c>
      <c r="C34" s="2127" t="s">
        <v>3078</v>
      </c>
      <c r="D34" s="2127" t="s">
        <v>3079</v>
      </c>
      <c r="E34" s="2127" t="s">
        <v>3080</v>
      </c>
      <c r="F34" s="2127" t="s">
        <v>3081</v>
      </c>
      <c r="G34" s="2127"/>
      <c r="H34" s="2127"/>
      <c r="I34" s="2038"/>
      <c r="J34" s="2038"/>
      <c r="K34" s="1792">
        <f>COUNTIF(B34:H34,"——")</f>
        <v>0</v>
      </c>
      <c r="L34" s="2068" t="s">
        <v>1834</v>
      </c>
      <c r="M34" s="2068" t="s">
        <v>1835</v>
      </c>
      <c r="N34" s="2068" t="s">
        <v>1836</v>
      </c>
      <c r="O34" s="2068" t="s">
        <v>1837</v>
      </c>
      <c r="P34" s="2068" t="s">
        <v>1838</v>
      </c>
      <c r="Q34" s="2068" t="s">
        <v>1839</v>
      </c>
      <c r="R34" s="2068" t="s">
        <v>1840</v>
      </c>
      <c r="S34" s="3052" t="s">
        <v>1841</v>
      </c>
      <c r="T34" s="2128" t="str">
        <f>NUMBERSTRING(7-K34,1)&amp;"通"</f>
        <v>七通</v>
      </c>
      <c r="U34" s="2025"/>
      <c r="V34" s="2025"/>
    </row>
    <row r="35" spans="1:22" ht="18" customHeight="1">
      <c r="A35" s="2129"/>
      <c r="B35" s="3059" t="s">
        <v>1842</v>
      </c>
      <c r="C35" s="3059"/>
      <c r="D35" s="3059"/>
      <c r="E35" s="3059"/>
      <c r="F35" s="2130" t="str">
        <f>C10</f>
        <v>江苏省镇江市京口区</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25"/>
      <c r="V35" s="2025"/>
    </row>
    <row r="36" spans="1:22" ht="18" customHeight="1">
      <c r="A36" s="2131"/>
      <c r="B36" s="2130" t="s">
        <v>1843</v>
      </c>
      <c r="C36" s="2130" t="s">
        <v>1844</v>
      </c>
      <c r="D36" s="2130" t="s">
        <v>1845</v>
      </c>
      <c r="E36" s="2130" t="s">
        <v>1846</v>
      </c>
      <c r="F36" s="2132"/>
      <c r="G36" s="2038"/>
      <c r="H36" s="2038"/>
      <c r="I36" s="2038"/>
      <c r="J36" s="2038"/>
      <c r="K36" s="2049"/>
      <c r="L36" s="2024"/>
      <c r="M36" s="2024"/>
      <c r="N36" s="2025"/>
      <c r="O36" s="2026"/>
      <c r="P36" s="2025"/>
      <c r="Q36" s="2025"/>
      <c r="R36" s="2025"/>
      <c r="S36" s="2025"/>
      <c r="T36" s="2025"/>
      <c r="U36" s="2025"/>
      <c r="V36" s="2025"/>
    </row>
    <row r="37" spans="1:22" ht="18" customHeight="1">
      <c r="A37" s="2133" t="s">
        <v>1847</v>
      </c>
      <c r="B37" s="2134"/>
      <c r="C37" s="2134"/>
      <c r="D37" s="2134"/>
      <c r="E37" s="2134"/>
      <c r="F37" s="2132"/>
      <c r="G37" s="2038"/>
      <c r="H37" s="2038"/>
      <c r="I37" s="2038"/>
      <c r="J37" s="2038"/>
      <c r="K37" s="2049"/>
      <c r="L37" s="2024"/>
      <c r="M37" s="2024"/>
      <c r="N37" s="2025"/>
      <c r="O37" s="2026"/>
      <c r="P37" s="2025"/>
      <c r="Q37" s="2025"/>
      <c r="R37" s="2025"/>
      <c r="S37" s="2025"/>
      <c r="T37" s="2025"/>
      <c r="U37" s="2025"/>
      <c r="V37" s="2025"/>
    </row>
    <row r="38" spans="1:22" ht="18" customHeight="1" thickBot="1">
      <c r="A38" s="2135" t="s">
        <v>1848</v>
      </c>
      <c r="B38" s="2136"/>
      <c r="C38" s="2136"/>
      <c r="D38" s="2136"/>
      <c r="E38" s="2136"/>
      <c r="F38" s="2137"/>
      <c r="G38" s="2057"/>
      <c r="H38" s="2057"/>
      <c r="I38" s="2057"/>
      <c r="J38" s="2038"/>
      <c r="K38" s="2049"/>
      <c r="L38" s="2024"/>
      <c r="M38" s="2024"/>
      <c r="N38" s="2025"/>
      <c r="O38" s="2026"/>
      <c r="P38" s="2025"/>
      <c r="Q38" s="2025"/>
      <c r="R38" s="2025"/>
      <c r="S38" s="2025"/>
      <c r="T38" s="2025"/>
      <c r="U38" s="2025"/>
      <c r="V38" s="2025"/>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3"/>
      <c r="L40" s="2077"/>
      <c r="M40" s="2077"/>
      <c r="N40" s="2078"/>
      <c r="O40" s="2077"/>
      <c r="P40" s="2025"/>
      <c r="Q40" s="2025"/>
      <c r="R40" s="2025"/>
      <c r="S40" s="2025"/>
      <c r="T40" s="2025"/>
      <c r="U40" s="2025"/>
      <c r="V40" s="2025"/>
    </row>
    <row r="41" spans="1:22" ht="18" customHeight="1">
      <c r="A41" s="8" t="s">
        <v>1850</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1851</v>
      </c>
      <c r="B42" s="1792" t="s">
        <v>1852</v>
      </c>
      <c r="C42" s="1792" t="s">
        <v>1853</v>
      </c>
      <c r="D42" s="1792" t="s">
        <v>1854</v>
      </c>
      <c r="E42" s="1792" t="s">
        <v>1855</v>
      </c>
      <c r="F42" s="1792" t="s">
        <v>1856</v>
      </c>
      <c r="G42" s="1792" t="s">
        <v>1857</v>
      </c>
      <c r="H42" s="1792" t="s">
        <v>1858</v>
      </c>
      <c r="I42" s="1792" t="s">
        <v>1859</v>
      </c>
      <c r="J42" s="2146" t="s">
        <v>1860</v>
      </c>
      <c r="K42" s="2069" t="s">
        <v>1861</v>
      </c>
      <c r="L42" s="2069" t="s">
        <v>1862</v>
      </c>
      <c r="M42" s="2069" t="s">
        <v>1863</v>
      </c>
      <c r="N42" s="1792" t="s">
        <v>1864</v>
      </c>
      <c r="O42" s="1792" t="s">
        <v>1865</v>
      </c>
      <c r="P42" s="1792" t="s">
        <v>1866</v>
      </c>
      <c r="Q42" s="2068" t="s">
        <v>1867</v>
      </c>
      <c r="R42" s="2068" t="s">
        <v>1868</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1874</v>
      </c>
      <c r="AZ2" s="1267"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7918.4</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800"/>
      <c r="C5" s="1800"/>
      <c r="D5" s="1803"/>
      <c r="E5" s="16" t="s">
        <v>1</v>
      </c>
      <c r="F5" s="16">
        <f>SUM(F13:F587)</f>
        <v>0</v>
      </c>
      <c r="G5" s="16">
        <f>SUM(G13:G587)</f>
        <v>7918.4</v>
      </c>
      <c r="H5" s="16">
        <f t="shared" ref="H5:AT5" si="0">SUM(H13:H656)</f>
        <v>7918.4</v>
      </c>
      <c r="I5" s="16">
        <f t="shared" si="0"/>
        <v>7918.4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1878</v>
      </c>
      <c r="AW5" s="1800"/>
      <c r="AX5" s="1800"/>
      <c r="AY5" s="17" t="s">
        <v>3</v>
      </c>
      <c r="AZ5" s="18">
        <f t="shared" ref="AZ5:BT5" si="1">SUM(AZ13:AZ656)</f>
        <v>7918.4</v>
      </c>
      <c r="BA5" s="18">
        <f t="shared" si="1"/>
        <v>7918.4</v>
      </c>
      <c r="BB5" s="18">
        <f t="shared" si="1"/>
        <v>7918.4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1887</v>
      </c>
      <c r="AV7" s="23" t="s">
        <v>1888</v>
      </c>
      <c r="AW7" s="2160" t="s">
        <v>1889</v>
      </c>
      <c r="AX7" s="23" t="s">
        <v>1882</v>
      </c>
      <c r="AY7" s="1800"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5"/>
      <c r="K8" s="1815"/>
      <c r="L8" s="1815"/>
      <c r="M8" s="1815"/>
      <c r="N8" s="1815"/>
      <c r="O8" s="1815"/>
      <c r="P8" s="1815"/>
      <c r="Q8" s="1815"/>
      <c r="R8" s="1815"/>
      <c r="S8" s="1815"/>
      <c r="T8" s="1815"/>
      <c r="U8" s="1815"/>
      <c r="V8" s="2180"/>
      <c r="W8" s="1815"/>
      <c r="X8" s="1815"/>
      <c r="Y8" s="1815"/>
      <c r="Z8" s="1815"/>
      <c r="AA8" s="2180"/>
      <c r="AB8" s="2181"/>
      <c r="AC8" s="979" t="s">
        <v>1893</v>
      </c>
      <c r="AD8" s="2182"/>
      <c r="AE8" s="2174"/>
      <c r="AF8" s="1815"/>
      <c r="AG8" s="1815"/>
      <c r="AH8" s="1815"/>
      <c r="AI8" s="1815"/>
      <c r="AJ8" s="1815"/>
      <c r="AK8" s="1815"/>
      <c r="AL8" s="1815"/>
      <c r="AM8" s="1815"/>
      <c r="AN8" s="1815"/>
      <c r="AO8" s="1815"/>
      <c r="AP8" s="1815"/>
      <c r="AQ8" s="1815"/>
      <c r="AR8" s="1815"/>
      <c r="AS8" s="1815"/>
      <c r="AT8" s="1289" t="s">
        <v>1894</v>
      </c>
      <c r="AU8" s="2176" t="s">
        <v>1895</v>
      </c>
      <c r="AV8" s="1289"/>
      <c r="AW8" s="2159"/>
      <c r="AX8" s="1289"/>
      <c r="AY8" s="2160" t="s">
        <v>1896</v>
      </c>
      <c r="AZ8" s="1814" t="s">
        <v>1897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1898</v>
      </c>
      <c r="I9" s="2185" t="s">
        <v>3049</v>
      </c>
      <c r="J9" s="979"/>
      <c r="K9" s="2185"/>
      <c r="L9" s="979"/>
      <c r="M9" s="2185"/>
      <c r="N9" s="979"/>
      <c r="O9" s="2185"/>
      <c r="P9" s="979"/>
      <c r="Q9" s="2185"/>
      <c r="R9" s="979"/>
      <c r="S9" s="2185"/>
      <c r="T9" s="979"/>
      <c r="U9" s="2185"/>
      <c r="V9" s="979"/>
      <c r="W9" s="2185"/>
      <c r="X9" s="2186"/>
      <c r="Y9" s="2185"/>
      <c r="Z9" s="979"/>
      <c r="AA9" s="2185"/>
      <c r="AB9" s="979"/>
      <c r="AC9" s="2177" t="s">
        <v>1898</v>
      </c>
      <c r="AD9" s="15" t="s">
        <v>1899</v>
      </c>
      <c r="AE9" s="1295"/>
      <c r="AF9" s="15" t="s">
        <v>1900</v>
      </c>
      <c r="AG9" s="1295"/>
      <c r="AH9" s="15" t="s">
        <v>1899</v>
      </c>
      <c r="AI9" s="1295"/>
      <c r="AJ9" s="15" t="s">
        <v>1900</v>
      </c>
      <c r="AK9" s="1295"/>
      <c r="AL9" s="15" t="s">
        <v>1899</v>
      </c>
      <c r="AM9" s="1295"/>
      <c r="AN9" s="15" t="s">
        <v>1900</v>
      </c>
      <c r="AO9" s="1295"/>
      <c r="AP9" s="15" t="s">
        <v>1899</v>
      </c>
      <c r="AQ9" s="1295"/>
      <c r="AR9" s="15" t="s">
        <v>1900</v>
      </c>
      <c r="AS9" s="2187"/>
      <c r="AT9" s="2176"/>
      <c r="AU9" s="2176" t="s">
        <v>1901</v>
      </c>
      <c r="AV9" s="1289"/>
      <c r="AW9" s="2159"/>
      <c r="AX9" s="1289"/>
      <c r="AY9" s="28"/>
      <c r="AZ9" s="28" t="s">
        <v>1891</v>
      </c>
      <c r="BA9" s="2188" t="s">
        <v>1902</v>
      </c>
      <c r="BB9" s="2189"/>
      <c r="BC9" s="1335"/>
      <c r="BD9" s="1335"/>
      <c r="BE9" s="1335"/>
      <c r="BF9" s="1335"/>
      <c r="BG9" s="1335"/>
      <c r="BH9" s="1335"/>
      <c r="BI9" s="1335"/>
      <c r="BJ9" s="1335"/>
      <c r="BK9" s="2190"/>
      <c r="BL9" s="15" t="s">
        <v>1903</v>
      </c>
      <c r="BM9" s="1815"/>
      <c r="BN9" s="2179"/>
      <c r="BO9" s="1815"/>
      <c r="BP9" s="1815"/>
      <c r="BQ9" s="1815"/>
      <c r="BR9" s="1815"/>
      <c r="BS9" s="1815"/>
      <c r="BT9" s="26"/>
    </row>
    <row r="10" spans="1:72" s="2183" customFormat="1" ht="12.75">
      <c r="A10" s="2176"/>
      <c r="B10" s="2176"/>
      <c r="C10" s="2176"/>
      <c r="D10" s="2176"/>
      <c r="E10" s="2176"/>
      <c r="F10" s="2176"/>
      <c r="G10" s="1289"/>
      <c r="H10" s="28"/>
      <c r="I10" s="2185" t="s">
        <v>1377</v>
      </c>
      <c r="J10" s="979"/>
      <c r="K10" s="2191"/>
      <c r="L10" s="979"/>
      <c r="M10" s="2191"/>
      <c r="N10" s="979"/>
      <c r="O10" s="2191"/>
      <c r="P10" s="979"/>
      <c r="Q10" s="2191"/>
      <c r="R10" s="979"/>
      <c r="S10" s="2191"/>
      <c r="T10" s="979"/>
      <c r="U10" s="2191"/>
      <c r="V10" s="979"/>
      <c r="W10" s="2191"/>
      <c r="X10" s="979"/>
      <c r="Y10" s="2191"/>
      <c r="Z10" s="979"/>
      <c r="AA10" s="2191"/>
      <c r="AB10" s="979"/>
      <c r="AC10" s="1289"/>
      <c r="AD10" s="15" t="s">
        <v>1904</v>
      </c>
      <c r="AE10" s="2192"/>
      <c r="AF10" s="15" t="s">
        <v>1904</v>
      </c>
      <c r="AG10" s="2192"/>
      <c r="AH10" s="15" t="s">
        <v>1905</v>
      </c>
      <c r="AI10" s="2192"/>
      <c r="AJ10" s="15" t="s">
        <v>1905</v>
      </c>
      <c r="AK10" s="2192"/>
      <c r="AL10" s="15" t="s">
        <v>1906</v>
      </c>
      <c r="AM10" s="1295"/>
      <c r="AN10" s="15" t="s">
        <v>1906</v>
      </c>
      <c r="AO10" s="1295"/>
      <c r="AP10" s="15" t="s">
        <v>1907</v>
      </c>
      <c r="AQ10" s="1295"/>
      <c r="AR10" s="15" t="s">
        <v>1907</v>
      </c>
      <c r="AS10" s="1295"/>
      <c r="AT10" s="2176"/>
      <c r="AU10" s="2176"/>
      <c r="AV10" s="1289"/>
      <c r="AW10" s="2159"/>
      <c r="AX10" s="1289"/>
      <c r="AY10" s="28"/>
      <c r="AZ10" s="28"/>
      <c r="BA10" s="2193" t="s">
        <v>1898</v>
      </c>
      <c r="BB10" s="2194" t="str">
        <f>I9</f>
        <v>地上</v>
      </c>
      <c r="BC10" s="29">
        <f>K9</f>
        <v>0</v>
      </c>
      <c r="BD10" s="29">
        <f>M9</f>
        <v>0</v>
      </c>
      <c r="BE10" s="29">
        <f>O9</f>
        <v>0</v>
      </c>
      <c r="BF10" s="29">
        <f>Q9</f>
        <v>0</v>
      </c>
      <c r="BG10" s="29">
        <f>S9</f>
        <v>0</v>
      </c>
      <c r="BH10" s="29">
        <f>U9</f>
        <v>0</v>
      </c>
      <c r="BI10" s="29">
        <f>W9</f>
        <v>0</v>
      </c>
      <c r="BJ10" s="29">
        <f>Y9</f>
        <v>0</v>
      </c>
      <c r="BK10" s="29">
        <f>AA9</f>
        <v>0</v>
      </c>
      <c r="BL10" s="25" t="s">
        <v>1898</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t="s">
        <v>3086</v>
      </c>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1908</v>
      </c>
      <c r="AE11" s="1816"/>
      <c r="AF11" s="2198" t="s">
        <v>1908</v>
      </c>
      <c r="AG11" s="1816"/>
      <c r="AH11" s="2198" t="s">
        <v>1909</v>
      </c>
      <c r="AI11" s="2199"/>
      <c r="AJ11" s="2198" t="s">
        <v>1909</v>
      </c>
      <c r="AK11" s="1816"/>
      <c r="AL11" s="1814"/>
      <c r="AM11" s="1816"/>
      <c r="AN11" s="1814"/>
      <c r="AO11" s="1816"/>
      <c r="AP11" s="1814"/>
      <c r="AQ11" s="1816"/>
      <c r="AR11" s="1814"/>
      <c r="AS11" s="1816"/>
      <c r="AT11" s="2159"/>
      <c r="AU11" s="2176"/>
      <c r="AV11" s="1289"/>
      <c r="AW11" s="2159"/>
      <c r="AX11" s="1289"/>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9" t="s">
        <v>1911</v>
      </c>
      <c r="W12" s="11" t="s">
        <v>1910</v>
      </c>
      <c r="X12" s="11" t="s">
        <v>1911</v>
      </c>
      <c r="Y12" s="11" t="s">
        <v>1910</v>
      </c>
      <c r="Z12" s="11" t="s">
        <v>1911</v>
      </c>
      <c r="AA12" s="11" t="s">
        <v>1910</v>
      </c>
      <c r="AB12" s="11" t="s">
        <v>1911</v>
      </c>
      <c r="AC12" s="2203"/>
      <c r="AD12" s="180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2938" t="s">
        <v>3123</v>
      </c>
      <c r="D13" s="2207" t="s">
        <v>3048</v>
      </c>
      <c r="E13" s="16">
        <f>IF($C$3="是",ROUND($A$3*G13/$B$3,2),ROUND($A$3*(G13-AT13)/$B$3,2))</f>
        <v>0</v>
      </c>
      <c r="F13" s="32"/>
      <c r="G13" s="33">
        <f>H13+AC13+AT13</f>
        <v>7918.4</v>
      </c>
      <c r="H13" s="20">
        <f>SUMIF(I$12:AB$12,"总值",I13:AB13)</f>
        <v>7918.4</v>
      </c>
      <c r="I13" s="2208">
        <f>'面积表-1'!E3</f>
        <v>7918.4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凤仪苑18幢</v>
      </c>
      <c r="AY13" s="1803">
        <f>ROUND($AY$6*AZ13/$AZ$5,2)</f>
        <v>0</v>
      </c>
      <c r="AZ13" s="16">
        <f>BA13+BL13</f>
        <v>7918.4</v>
      </c>
      <c r="BA13" s="16">
        <f>SUM(BB13:BK13)</f>
        <v>7918.4</v>
      </c>
      <c r="BB13" s="16">
        <f>IF($D13="是",I13-J13,0)</f>
        <v>7918.4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8"/>
  <sheetViews>
    <sheetView workbookViewId="0">
      <selection activeCell="I14" sqref="I14"/>
    </sheetView>
  </sheetViews>
  <sheetFormatPr defaultRowHeight="13.5"/>
  <cols>
    <col min="1" max="1" width="5.75" style="2963" customWidth="1"/>
    <col min="2" max="2" width="17.5" style="2963" customWidth="1"/>
    <col min="3" max="3" width="10.625" style="2964" customWidth="1"/>
    <col min="4" max="4" width="11.75" style="2955" customWidth="1"/>
    <col min="5" max="5" width="19.5" style="2955" customWidth="1"/>
    <col min="6" max="6" width="23.375" style="2955" customWidth="1"/>
    <col min="7" max="8" width="9" style="2955"/>
    <col min="9" max="9" width="11.625" style="2955" bestFit="1" customWidth="1"/>
    <col min="10" max="256" width="9" style="2955"/>
    <col min="257" max="257" width="5.75" style="2955" customWidth="1"/>
    <col min="258" max="258" width="17.5" style="2955" customWidth="1"/>
    <col min="259" max="259" width="10.625" style="2955" customWidth="1"/>
    <col min="260" max="260" width="11.75" style="2955" customWidth="1"/>
    <col min="261" max="261" width="19.5" style="2955" customWidth="1"/>
    <col min="262" max="262" width="23.375" style="2955" customWidth="1"/>
    <col min="263" max="512" width="9" style="2955"/>
    <col min="513" max="513" width="5.75" style="2955" customWidth="1"/>
    <col min="514" max="514" width="17.5" style="2955" customWidth="1"/>
    <col min="515" max="515" width="10.625" style="2955" customWidth="1"/>
    <col min="516" max="516" width="11.75" style="2955" customWidth="1"/>
    <col min="517" max="517" width="19.5" style="2955" customWidth="1"/>
    <col min="518" max="518" width="23.375" style="2955" customWidth="1"/>
    <col min="519" max="768" width="9" style="2955"/>
    <col min="769" max="769" width="5.75" style="2955" customWidth="1"/>
    <col min="770" max="770" width="17.5" style="2955" customWidth="1"/>
    <col min="771" max="771" width="10.625" style="2955" customWidth="1"/>
    <col min="772" max="772" width="11.75" style="2955" customWidth="1"/>
    <col min="773" max="773" width="19.5" style="2955" customWidth="1"/>
    <col min="774" max="774" width="23.375" style="2955" customWidth="1"/>
    <col min="775" max="1024" width="9" style="2955"/>
    <col min="1025" max="1025" width="5.75" style="2955" customWidth="1"/>
    <col min="1026" max="1026" width="17.5" style="2955" customWidth="1"/>
    <col min="1027" max="1027" width="10.625" style="2955" customWidth="1"/>
    <col min="1028" max="1028" width="11.75" style="2955" customWidth="1"/>
    <col min="1029" max="1029" width="19.5" style="2955" customWidth="1"/>
    <col min="1030" max="1030" width="23.375" style="2955" customWidth="1"/>
    <col min="1031" max="1280" width="9" style="2955"/>
    <col min="1281" max="1281" width="5.75" style="2955" customWidth="1"/>
    <col min="1282" max="1282" width="17.5" style="2955" customWidth="1"/>
    <col min="1283" max="1283" width="10.625" style="2955" customWidth="1"/>
    <col min="1284" max="1284" width="11.75" style="2955" customWidth="1"/>
    <col min="1285" max="1285" width="19.5" style="2955" customWidth="1"/>
    <col min="1286" max="1286" width="23.375" style="2955" customWidth="1"/>
    <col min="1287" max="1536" width="9" style="2955"/>
    <col min="1537" max="1537" width="5.75" style="2955" customWidth="1"/>
    <col min="1538" max="1538" width="17.5" style="2955" customWidth="1"/>
    <col min="1539" max="1539" width="10.625" style="2955" customWidth="1"/>
    <col min="1540" max="1540" width="11.75" style="2955" customWidth="1"/>
    <col min="1541" max="1541" width="19.5" style="2955" customWidth="1"/>
    <col min="1542" max="1542" width="23.375" style="2955" customWidth="1"/>
    <col min="1543" max="1792" width="9" style="2955"/>
    <col min="1793" max="1793" width="5.75" style="2955" customWidth="1"/>
    <col min="1794" max="1794" width="17.5" style="2955" customWidth="1"/>
    <col min="1795" max="1795" width="10.625" style="2955" customWidth="1"/>
    <col min="1796" max="1796" width="11.75" style="2955" customWidth="1"/>
    <col min="1797" max="1797" width="19.5" style="2955" customWidth="1"/>
    <col min="1798" max="1798" width="23.375" style="2955" customWidth="1"/>
    <col min="1799" max="2048" width="9" style="2955"/>
    <col min="2049" max="2049" width="5.75" style="2955" customWidth="1"/>
    <col min="2050" max="2050" width="17.5" style="2955" customWidth="1"/>
    <col min="2051" max="2051" width="10.625" style="2955" customWidth="1"/>
    <col min="2052" max="2052" width="11.75" style="2955" customWidth="1"/>
    <col min="2053" max="2053" width="19.5" style="2955" customWidth="1"/>
    <col min="2054" max="2054" width="23.375" style="2955" customWidth="1"/>
    <col min="2055" max="2304" width="9" style="2955"/>
    <col min="2305" max="2305" width="5.75" style="2955" customWidth="1"/>
    <col min="2306" max="2306" width="17.5" style="2955" customWidth="1"/>
    <col min="2307" max="2307" width="10.625" style="2955" customWidth="1"/>
    <col min="2308" max="2308" width="11.75" style="2955" customWidth="1"/>
    <col min="2309" max="2309" width="19.5" style="2955" customWidth="1"/>
    <col min="2310" max="2310" width="23.375" style="2955" customWidth="1"/>
    <col min="2311" max="2560" width="9" style="2955"/>
    <col min="2561" max="2561" width="5.75" style="2955" customWidth="1"/>
    <col min="2562" max="2562" width="17.5" style="2955" customWidth="1"/>
    <col min="2563" max="2563" width="10.625" style="2955" customWidth="1"/>
    <col min="2564" max="2564" width="11.75" style="2955" customWidth="1"/>
    <col min="2565" max="2565" width="19.5" style="2955" customWidth="1"/>
    <col min="2566" max="2566" width="23.375" style="2955" customWidth="1"/>
    <col min="2567" max="2816" width="9" style="2955"/>
    <col min="2817" max="2817" width="5.75" style="2955" customWidth="1"/>
    <col min="2818" max="2818" width="17.5" style="2955" customWidth="1"/>
    <col min="2819" max="2819" width="10.625" style="2955" customWidth="1"/>
    <col min="2820" max="2820" width="11.75" style="2955" customWidth="1"/>
    <col min="2821" max="2821" width="19.5" style="2955" customWidth="1"/>
    <col min="2822" max="2822" width="23.375" style="2955" customWidth="1"/>
    <col min="2823" max="3072" width="9" style="2955"/>
    <col min="3073" max="3073" width="5.75" style="2955" customWidth="1"/>
    <col min="3074" max="3074" width="17.5" style="2955" customWidth="1"/>
    <col min="3075" max="3075" width="10.625" style="2955" customWidth="1"/>
    <col min="3076" max="3076" width="11.75" style="2955" customWidth="1"/>
    <col min="3077" max="3077" width="19.5" style="2955" customWidth="1"/>
    <col min="3078" max="3078" width="23.375" style="2955" customWidth="1"/>
    <col min="3079" max="3328" width="9" style="2955"/>
    <col min="3329" max="3329" width="5.75" style="2955" customWidth="1"/>
    <col min="3330" max="3330" width="17.5" style="2955" customWidth="1"/>
    <col min="3331" max="3331" width="10.625" style="2955" customWidth="1"/>
    <col min="3332" max="3332" width="11.75" style="2955" customWidth="1"/>
    <col min="3333" max="3333" width="19.5" style="2955" customWidth="1"/>
    <col min="3334" max="3334" width="23.375" style="2955" customWidth="1"/>
    <col min="3335" max="3584" width="9" style="2955"/>
    <col min="3585" max="3585" width="5.75" style="2955" customWidth="1"/>
    <col min="3586" max="3586" width="17.5" style="2955" customWidth="1"/>
    <col min="3587" max="3587" width="10.625" style="2955" customWidth="1"/>
    <col min="3588" max="3588" width="11.75" style="2955" customWidth="1"/>
    <col min="3589" max="3589" width="19.5" style="2955" customWidth="1"/>
    <col min="3590" max="3590" width="23.375" style="2955" customWidth="1"/>
    <col min="3591" max="3840" width="9" style="2955"/>
    <col min="3841" max="3841" width="5.75" style="2955" customWidth="1"/>
    <col min="3842" max="3842" width="17.5" style="2955" customWidth="1"/>
    <col min="3843" max="3843" width="10.625" style="2955" customWidth="1"/>
    <col min="3844" max="3844" width="11.75" style="2955" customWidth="1"/>
    <col min="3845" max="3845" width="19.5" style="2955" customWidth="1"/>
    <col min="3846" max="3846" width="23.375" style="2955" customWidth="1"/>
    <col min="3847" max="4096" width="9" style="2955"/>
    <col min="4097" max="4097" width="5.75" style="2955" customWidth="1"/>
    <col min="4098" max="4098" width="17.5" style="2955" customWidth="1"/>
    <col min="4099" max="4099" width="10.625" style="2955" customWidth="1"/>
    <col min="4100" max="4100" width="11.75" style="2955" customWidth="1"/>
    <col min="4101" max="4101" width="19.5" style="2955" customWidth="1"/>
    <col min="4102" max="4102" width="23.375" style="2955" customWidth="1"/>
    <col min="4103" max="4352" width="9" style="2955"/>
    <col min="4353" max="4353" width="5.75" style="2955" customWidth="1"/>
    <col min="4354" max="4354" width="17.5" style="2955" customWidth="1"/>
    <col min="4355" max="4355" width="10.625" style="2955" customWidth="1"/>
    <col min="4356" max="4356" width="11.75" style="2955" customWidth="1"/>
    <col min="4357" max="4357" width="19.5" style="2955" customWidth="1"/>
    <col min="4358" max="4358" width="23.375" style="2955" customWidth="1"/>
    <col min="4359" max="4608" width="9" style="2955"/>
    <col min="4609" max="4609" width="5.75" style="2955" customWidth="1"/>
    <col min="4610" max="4610" width="17.5" style="2955" customWidth="1"/>
    <col min="4611" max="4611" width="10.625" style="2955" customWidth="1"/>
    <col min="4612" max="4612" width="11.75" style="2955" customWidth="1"/>
    <col min="4613" max="4613" width="19.5" style="2955" customWidth="1"/>
    <col min="4614" max="4614" width="23.375" style="2955" customWidth="1"/>
    <col min="4615" max="4864" width="9" style="2955"/>
    <col min="4865" max="4865" width="5.75" style="2955" customWidth="1"/>
    <col min="4866" max="4866" width="17.5" style="2955" customWidth="1"/>
    <col min="4867" max="4867" width="10.625" style="2955" customWidth="1"/>
    <col min="4868" max="4868" width="11.75" style="2955" customWidth="1"/>
    <col min="4869" max="4869" width="19.5" style="2955" customWidth="1"/>
    <col min="4870" max="4870" width="23.375" style="2955" customWidth="1"/>
    <col min="4871" max="5120" width="9" style="2955"/>
    <col min="5121" max="5121" width="5.75" style="2955" customWidth="1"/>
    <col min="5122" max="5122" width="17.5" style="2955" customWidth="1"/>
    <col min="5123" max="5123" width="10.625" style="2955" customWidth="1"/>
    <col min="5124" max="5124" width="11.75" style="2955" customWidth="1"/>
    <col min="5125" max="5125" width="19.5" style="2955" customWidth="1"/>
    <col min="5126" max="5126" width="23.375" style="2955" customWidth="1"/>
    <col min="5127" max="5376" width="9" style="2955"/>
    <col min="5377" max="5377" width="5.75" style="2955" customWidth="1"/>
    <col min="5378" max="5378" width="17.5" style="2955" customWidth="1"/>
    <col min="5379" max="5379" width="10.625" style="2955" customWidth="1"/>
    <col min="5380" max="5380" width="11.75" style="2955" customWidth="1"/>
    <col min="5381" max="5381" width="19.5" style="2955" customWidth="1"/>
    <col min="5382" max="5382" width="23.375" style="2955" customWidth="1"/>
    <col min="5383" max="5632" width="9" style="2955"/>
    <col min="5633" max="5633" width="5.75" style="2955" customWidth="1"/>
    <col min="5634" max="5634" width="17.5" style="2955" customWidth="1"/>
    <col min="5635" max="5635" width="10.625" style="2955" customWidth="1"/>
    <col min="5636" max="5636" width="11.75" style="2955" customWidth="1"/>
    <col min="5637" max="5637" width="19.5" style="2955" customWidth="1"/>
    <col min="5638" max="5638" width="23.375" style="2955" customWidth="1"/>
    <col min="5639" max="5888" width="9" style="2955"/>
    <col min="5889" max="5889" width="5.75" style="2955" customWidth="1"/>
    <col min="5890" max="5890" width="17.5" style="2955" customWidth="1"/>
    <col min="5891" max="5891" width="10.625" style="2955" customWidth="1"/>
    <col min="5892" max="5892" width="11.75" style="2955" customWidth="1"/>
    <col min="5893" max="5893" width="19.5" style="2955" customWidth="1"/>
    <col min="5894" max="5894" width="23.375" style="2955" customWidth="1"/>
    <col min="5895" max="6144" width="9" style="2955"/>
    <col min="6145" max="6145" width="5.75" style="2955" customWidth="1"/>
    <col min="6146" max="6146" width="17.5" style="2955" customWidth="1"/>
    <col min="6147" max="6147" width="10.625" style="2955" customWidth="1"/>
    <col min="6148" max="6148" width="11.75" style="2955" customWidth="1"/>
    <col min="6149" max="6149" width="19.5" style="2955" customWidth="1"/>
    <col min="6150" max="6150" width="23.375" style="2955" customWidth="1"/>
    <col min="6151" max="6400" width="9" style="2955"/>
    <col min="6401" max="6401" width="5.75" style="2955" customWidth="1"/>
    <col min="6402" max="6402" width="17.5" style="2955" customWidth="1"/>
    <col min="6403" max="6403" width="10.625" style="2955" customWidth="1"/>
    <col min="6404" max="6404" width="11.75" style="2955" customWidth="1"/>
    <col min="6405" max="6405" width="19.5" style="2955" customWidth="1"/>
    <col min="6406" max="6406" width="23.375" style="2955" customWidth="1"/>
    <col min="6407" max="6656" width="9" style="2955"/>
    <col min="6657" max="6657" width="5.75" style="2955" customWidth="1"/>
    <col min="6658" max="6658" width="17.5" style="2955" customWidth="1"/>
    <col min="6659" max="6659" width="10.625" style="2955" customWidth="1"/>
    <col min="6660" max="6660" width="11.75" style="2955" customWidth="1"/>
    <col min="6661" max="6661" width="19.5" style="2955" customWidth="1"/>
    <col min="6662" max="6662" width="23.375" style="2955" customWidth="1"/>
    <col min="6663" max="6912" width="9" style="2955"/>
    <col min="6913" max="6913" width="5.75" style="2955" customWidth="1"/>
    <col min="6914" max="6914" width="17.5" style="2955" customWidth="1"/>
    <col min="6915" max="6915" width="10.625" style="2955" customWidth="1"/>
    <col min="6916" max="6916" width="11.75" style="2955" customWidth="1"/>
    <col min="6917" max="6917" width="19.5" style="2955" customWidth="1"/>
    <col min="6918" max="6918" width="23.375" style="2955" customWidth="1"/>
    <col min="6919" max="7168" width="9" style="2955"/>
    <col min="7169" max="7169" width="5.75" style="2955" customWidth="1"/>
    <col min="7170" max="7170" width="17.5" style="2955" customWidth="1"/>
    <col min="7171" max="7171" width="10.625" style="2955" customWidth="1"/>
    <col min="7172" max="7172" width="11.75" style="2955" customWidth="1"/>
    <col min="7173" max="7173" width="19.5" style="2955" customWidth="1"/>
    <col min="7174" max="7174" width="23.375" style="2955" customWidth="1"/>
    <col min="7175" max="7424" width="9" style="2955"/>
    <col min="7425" max="7425" width="5.75" style="2955" customWidth="1"/>
    <col min="7426" max="7426" width="17.5" style="2955" customWidth="1"/>
    <col min="7427" max="7427" width="10.625" style="2955" customWidth="1"/>
    <col min="7428" max="7428" width="11.75" style="2955" customWidth="1"/>
    <col min="7429" max="7429" width="19.5" style="2955" customWidth="1"/>
    <col min="7430" max="7430" width="23.375" style="2955" customWidth="1"/>
    <col min="7431" max="7680" width="9" style="2955"/>
    <col min="7681" max="7681" width="5.75" style="2955" customWidth="1"/>
    <col min="7682" max="7682" width="17.5" style="2955" customWidth="1"/>
    <col min="7683" max="7683" width="10.625" style="2955" customWidth="1"/>
    <col min="7684" max="7684" width="11.75" style="2955" customWidth="1"/>
    <col min="7685" max="7685" width="19.5" style="2955" customWidth="1"/>
    <col min="7686" max="7686" width="23.375" style="2955" customWidth="1"/>
    <col min="7687" max="7936" width="9" style="2955"/>
    <col min="7937" max="7937" width="5.75" style="2955" customWidth="1"/>
    <col min="7938" max="7938" width="17.5" style="2955" customWidth="1"/>
    <col min="7939" max="7939" width="10.625" style="2955" customWidth="1"/>
    <col min="7940" max="7940" width="11.75" style="2955" customWidth="1"/>
    <col min="7941" max="7941" width="19.5" style="2955" customWidth="1"/>
    <col min="7942" max="7942" width="23.375" style="2955" customWidth="1"/>
    <col min="7943" max="8192" width="9" style="2955"/>
    <col min="8193" max="8193" width="5.75" style="2955" customWidth="1"/>
    <col min="8194" max="8194" width="17.5" style="2955" customWidth="1"/>
    <col min="8195" max="8195" width="10.625" style="2955" customWidth="1"/>
    <col min="8196" max="8196" width="11.75" style="2955" customWidth="1"/>
    <col min="8197" max="8197" width="19.5" style="2955" customWidth="1"/>
    <col min="8198" max="8198" width="23.375" style="2955" customWidth="1"/>
    <col min="8199" max="8448" width="9" style="2955"/>
    <col min="8449" max="8449" width="5.75" style="2955" customWidth="1"/>
    <col min="8450" max="8450" width="17.5" style="2955" customWidth="1"/>
    <col min="8451" max="8451" width="10.625" style="2955" customWidth="1"/>
    <col min="8452" max="8452" width="11.75" style="2955" customWidth="1"/>
    <col min="8453" max="8453" width="19.5" style="2955" customWidth="1"/>
    <col min="8454" max="8454" width="23.375" style="2955" customWidth="1"/>
    <col min="8455" max="8704" width="9" style="2955"/>
    <col min="8705" max="8705" width="5.75" style="2955" customWidth="1"/>
    <col min="8706" max="8706" width="17.5" style="2955" customWidth="1"/>
    <col min="8707" max="8707" width="10.625" style="2955" customWidth="1"/>
    <col min="8708" max="8708" width="11.75" style="2955" customWidth="1"/>
    <col min="8709" max="8709" width="19.5" style="2955" customWidth="1"/>
    <col min="8710" max="8710" width="23.375" style="2955" customWidth="1"/>
    <col min="8711" max="8960" width="9" style="2955"/>
    <col min="8961" max="8961" width="5.75" style="2955" customWidth="1"/>
    <col min="8962" max="8962" width="17.5" style="2955" customWidth="1"/>
    <col min="8963" max="8963" width="10.625" style="2955" customWidth="1"/>
    <col min="8964" max="8964" width="11.75" style="2955" customWidth="1"/>
    <col min="8965" max="8965" width="19.5" style="2955" customWidth="1"/>
    <col min="8966" max="8966" width="23.375" style="2955" customWidth="1"/>
    <col min="8967" max="9216" width="9" style="2955"/>
    <col min="9217" max="9217" width="5.75" style="2955" customWidth="1"/>
    <col min="9218" max="9218" width="17.5" style="2955" customWidth="1"/>
    <col min="9219" max="9219" width="10.625" style="2955" customWidth="1"/>
    <col min="9220" max="9220" width="11.75" style="2955" customWidth="1"/>
    <col min="9221" max="9221" width="19.5" style="2955" customWidth="1"/>
    <col min="9222" max="9222" width="23.375" style="2955" customWidth="1"/>
    <col min="9223" max="9472" width="9" style="2955"/>
    <col min="9473" max="9473" width="5.75" style="2955" customWidth="1"/>
    <col min="9474" max="9474" width="17.5" style="2955" customWidth="1"/>
    <col min="9475" max="9475" width="10.625" style="2955" customWidth="1"/>
    <col min="9476" max="9476" width="11.75" style="2955" customWidth="1"/>
    <col min="9477" max="9477" width="19.5" style="2955" customWidth="1"/>
    <col min="9478" max="9478" width="23.375" style="2955" customWidth="1"/>
    <col min="9479" max="9728" width="9" style="2955"/>
    <col min="9729" max="9729" width="5.75" style="2955" customWidth="1"/>
    <col min="9730" max="9730" width="17.5" style="2955" customWidth="1"/>
    <col min="9731" max="9731" width="10.625" style="2955" customWidth="1"/>
    <col min="9732" max="9732" width="11.75" style="2955" customWidth="1"/>
    <col min="9733" max="9733" width="19.5" style="2955" customWidth="1"/>
    <col min="9734" max="9734" width="23.375" style="2955" customWidth="1"/>
    <col min="9735" max="9984" width="9" style="2955"/>
    <col min="9985" max="9985" width="5.75" style="2955" customWidth="1"/>
    <col min="9986" max="9986" width="17.5" style="2955" customWidth="1"/>
    <col min="9987" max="9987" width="10.625" style="2955" customWidth="1"/>
    <col min="9988" max="9988" width="11.75" style="2955" customWidth="1"/>
    <col min="9989" max="9989" width="19.5" style="2955" customWidth="1"/>
    <col min="9990" max="9990" width="23.375" style="2955" customWidth="1"/>
    <col min="9991" max="10240" width="9" style="2955"/>
    <col min="10241" max="10241" width="5.75" style="2955" customWidth="1"/>
    <col min="10242" max="10242" width="17.5" style="2955" customWidth="1"/>
    <col min="10243" max="10243" width="10.625" style="2955" customWidth="1"/>
    <col min="10244" max="10244" width="11.75" style="2955" customWidth="1"/>
    <col min="10245" max="10245" width="19.5" style="2955" customWidth="1"/>
    <col min="10246" max="10246" width="23.375" style="2955" customWidth="1"/>
    <col min="10247" max="10496" width="9" style="2955"/>
    <col min="10497" max="10497" width="5.75" style="2955" customWidth="1"/>
    <col min="10498" max="10498" width="17.5" style="2955" customWidth="1"/>
    <col min="10499" max="10499" width="10.625" style="2955" customWidth="1"/>
    <col min="10500" max="10500" width="11.75" style="2955" customWidth="1"/>
    <col min="10501" max="10501" width="19.5" style="2955" customWidth="1"/>
    <col min="10502" max="10502" width="23.375" style="2955" customWidth="1"/>
    <col min="10503" max="10752" width="9" style="2955"/>
    <col min="10753" max="10753" width="5.75" style="2955" customWidth="1"/>
    <col min="10754" max="10754" width="17.5" style="2955" customWidth="1"/>
    <col min="10755" max="10755" width="10.625" style="2955" customWidth="1"/>
    <col min="10756" max="10756" width="11.75" style="2955" customWidth="1"/>
    <col min="10757" max="10757" width="19.5" style="2955" customWidth="1"/>
    <col min="10758" max="10758" width="23.375" style="2955" customWidth="1"/>
    <col min="10759" max="11008" width="9" style="2955"/>
    <col min="11009" max="11009" width="5.75" style="2955" customWidth="1"/>
    <col min="11010" max="11010" width="17.5" style="2955" customWidth="1"/>
    <col min="11011" max="11011" width="10.625" style="2955" customWidth="1"/>
    <col min="11012" max="11012" width="11.75" style="2955" customWidth="1"/>
    <col min="11013" max="11013" width="19.5" style="2955" customWidth="1"/>
    <col min="11014" max="11014" width="23.375" style="2955" customWidth="1"/>
    <col min="11015" max="11264" width="9" style="2955"/>
    <col min="11265" max="11265" width="5.75" style="2955" customWidth="1"/>
    <col min="11266" max="11266" width="17.5" style="2955" customWidth="1"/>
    <col min="11267" max="11267" width="10.625" style="2955" customWidth="1"/>
    <col min="11268" max="11268" width="11.75" style="2955" customWidth="1"/>
    <col min="11269" max="11269" width="19.5" style="2955" customWidth="1"/>
    <col min="11270" max="11270" width="23.375" style="2955" customWidth="1"/>
    <col min="11271" max="11520" width="9" style="2955"/>
    <col min="11521" max="11521" width="5.75" style="2955" customWidth="1"/>
    <col min="11522" max="11522" width="17.5" style="2955" customWidth="1"/>
    <col min="11523" max="11523" width="10.625" style="2955" customWidth="1"/>
    <col min="11524" max="11524" width="11.75" style="2955" customWidth="1"/>
    <col min="11525" max="11525" width="19.5" style="2955" customWidth="1"/>
    <col min="11526" max="11526" width="23.375" style="2955" customWidth="1"/>
    <col min="11527" max="11776" width="9" style="2955"/>
    <col min="11777" max="11777" width="5.75" style="2955" customWidth="1"/>
    <col min="11778" max="11778" width="17.5" style="2955" customWidth="1"/>
    <col min="11779" max="11779" width="10.625" style="2955" customWidth="1"/>
    <col min="11780" max="11780" width="11.75" style="2955" customWidth="1"/>
    <col min="11781" max="11781" width="19.5" style="2955" customWidth="1"/>
    <col min="11782" max="11782" width="23.375" style="2955" customWidth="1"/>
    <col min="11783" max="12032" width="9" style="2955"/>
    <col min="12033" max="12033" width="5.75" style="2955" customWidth="1"/>
    <col min="12034" max="12034" width="17.5" style="2955" customWidth="1"/>
    <col min="12035" max="12035" width="10.625" style="2955" customWidth="1"/>
    <col min="12036" max="12036" width="11.75" style="2955" customWidth="1"/>
    <col min="12037" max="12037" width="19.5" style="2955" customWidth="1"/>
    <col min="12038" max="12038" width="23.375" style="2955" customWidth="1"/>
    <col min="12039" max="12288" width="9" style="2955"/>
    <col min="12289" max="12289" width="5.75" style="2955" customWidth="1"/>
    <col min="12290" max="12290" width="17.5" style="2955" customWidth="1"/>
    <col min="12291" max="12291" width="10.625" style="2955" customWidth="1"/>
    <col min="12292" max="12292" width="11.75" style="2955" customWidth="1"/>
    <col min="12293" max="12293" width="19.5" style="2955" customWidth="1"/>
    <col min="12294" max="12294" width="23.375" style="2955" customWidth="1"/>
    <col min="12295" max="12544" width="9" style="2955"/>
    <col min="12545" max="12545" width="5.75" style="2955" customWidth="1"/>
    <col min="12546" max="12546" width="17.5" style="2955" customWidth="1"/>
    <col min="12547" max="12547" width="10.625" style="2955" customWidth="1"/>
    <col min="12548" max="12548" width="11.75" style="2955" customWidth="1"/>
    <col min="12549" max="12549" width="19.5" style="2955" customWidth="1"/>
    <col min="12550" max="12550" width="23.375" style="2955" customWidth="1"/>
    <col min="12551" max="12800" width="9" style="2955"/>
    <col min="12801" max="12801" width="5.75" style="2955" customWidth="1"/>
    <col min="12802" max="12802" width="17.5" style="2955" customWidth="1"/>
    <col min="12803" max="12803" width="10.625" style="2955" customWidth="1"/>
    <col min="12804" max="12804" width="11.75" style="2955" customWidth="1"/>
    <col min="12805" max="12805" width="19.5" style="2955" customWidth="1"/>
    <col min="12806" max="12806" width="23.375" style="2955" customWidth="1"/>
    <col min="12807" max="13056" width="9" style="2955"/>
    <col min="13057" max="13057" width="5.75" style="2955" customWidth="1"/>
    <col min="13058" max="13058" width="17.5" style="2955" customWidth="1"/>
    <col min="13059" max="13059" width="10.625" style="2955" customWidth="1"/>
    <col min="13060" max="13060" width="11.75" style="2955" customWidth="1"/>
    <col min="13061" max="13061" width="19.5" style="2955" customWidth="1"/>
    <col min="13062" max="13062" width="23.375" style="2955" customWidth="1"/>
    <col min="13063" max="13312" width="9" style="2955"/>
    <col min="13313" max="13313" width="5.75" style="2955" customWidth="1"/>
    <col min="13314" max="13314" width="17.5" style="2955" customWidth="1"/>
    <col min="13315" max="13315" width="10.625" style="2955" customWidth="1"/>
    <col min="13316" max="13316" width="11.75" style="2955" customWidth="1"/>
    <col min="13317" max="13317" width="19.5" style="2955" customWidth="1"/>
    <col min="13318" max="13318" width="23.375" style="2955" customWidth="1"/>
    <col min="13319" max="13568" width="9" style="2955"/>
    <col min="13569" max="13569" width="5.75" style="2955" customWidth="1"/>
    <col min="13570" max="13570" width="17.5" style="2955" customWidth="1"/>
    <col min="13571" max="13571" width="10.625" style="2955" customWidth="1"/>
    <col min="13572" max="13572" width="11.75" style="2955" customWidth="1"/>
    <col min="13573" max="13573" width="19.5" style="2955" customWidth="1"/>
    <col min="13574" max="13574" width="23.375" style="2955" customWidth="1"/>
    <col min="13575" max="13824" width="9" style="2955"/>
    <col min="13825" max="13825" width="5.75" style="2955" customWidth="1"/>
    <col min="13826" max="13826" width="17.5" style="2955" customWidth="1"/>
    <col min="13827" max="13827" width="10.625" style="2955" customWidth="1"/>
    <col min="13828" max="13828" width="11.75" style="2955" customWidth="1"/>
    <col min="13829" max="13829" width="19.5" style="2955" customWidth="1"/>
    <col min="13830" max="13830" width="23.375" style="2955" customWidth="1"/>
    <col min="13831" max="14080" width="9" style="2955"/>
    <col min="14081" max="14081" width="5.75" style="2955" customWidth="1"/>
    <col min="14082" max="14082" width="17.5" style="2955" customWidth="1"/>
    <col min="14083" max="14083" width="10.625" style="2955" customWidth="1"/>
    <col min="14084" max="14084" width="11.75" style="2955" customWidth="1"/>
    <col min="14085" max="14085" width="19.5" style="2955" customWidth="1"/>
    <col min="14086" max="14086" width="23.375" style="2955" customWidth="1"/>
    <col min="14087" max="14336" width="9" style="2955"/>
    <col min="14337" max="14337" width="5.75" style="2955" customWidth="1"/>
    <col min="14338" max="14338" width="17.5" style="2955" customWidth="1"/>
    <col min="14339" max="14339" width="10.625" style="2955" customWidth="1"/>
    <col min="14340" max="14340" width="11.75" style="2955" customWidth="1"/>
    <col min="14341" max="14341" width="19.5" style="2955" customWidth="1"/>
    <col min="14342" max="14342" width="23.375" style="2955" customWidth="1"/>
    <col min="14343" max="14592" width="9" style="2955"/>
    <col min="14593" max="14593" width="5.75" style="2955" customWidth="1"/>
    <col min="14594" max="14594" width="17.5" style="2955" customWidth="1"/>
    <col min="14595" max="14595" width="10.625" style="2955" customWidth="1"/>
    <col min="14596" max="14596" width="11.75" style="2955" customWidth="1"/>
    <col min="14597" max="14597" width="19.5" style="2955" customWidth="1"/>
    <col min="14598" max="14598" width="23.375" style="2955" customWidth="1"/>
    <col min="14599" max="14848" width="9" style="2955"/>
    <col min="14849" max="14849" width="5.75" style="2955" customWidth="1"/>
    <col min="14850" max="14850" width="17.5" style="2955" customWidth="1"/>
    <col min="14851" max="14851" width="10.625" style="2955" customWidth="1"/>
    <col min="14852" max="14852" width="11.75" style="2955" customWidth="1"/>
    <col min="14853" max="14853" width="19.5" style="2955" customWidth="1"/>
    <col min="14854" max="14854" width="23.375" style="2955" customWidth="1"/>
    <col min="14855" max="15104" width="9" style="2955"/>
    <col min="15105" max="15105" width="5.75" style="2955" customWidth="1"/>
    <col min="15106" max="15106" width="17.5" style="2955" customWidth="1"/>
    <col min="15107" max="15107" width="10.625" style="2955" customWidth="1"/>
    <col min="15108" max="15108" width="11.75" style="2955" customWidth="1"/>
    <col min="15109" max="15109" width="19.5" style="2955" customWidth="1"/>
    <col min="15110" max="15110" width="23.375" style="2955" customWidth="1"/>
    <col min="15111" max="15360" width="9" style="2955"/>
    <col min="15361" max="15361" width="5.75" style="2955" customWidth="1"/>
    <col min="15362" max="15362" width="17.5" style="2955" customWidth="1"/>
    <col min="15363" max="15363" width="10.625" style="2955" customWidth="1"/>
    <col min="15364" max="15364" width="11.75" style="2955" customWidth="1"/>
    <col min="15365" max="15365" width="19.5" style="2955" customWidth="1"/>
    <col min="15366" max="15366" width="23.375" style="2955" customWidth="1"/>
    <col min="15367" max="15616" width="9" style="2955"/>
    <col min="15617" max="15617" width="5.75" style="2955" customWidth="1"/>
    <col min="15618" max="15618" width="17.5" style="2955" customWidth="1"/>
    <col min="15619" max="15619" width="10.625" style="2955" customWidth="1"/>
    <col min="15620" max="15620" width="11.75" style="2955" customWidth="1"/>
    <col min="15621" max="15621" width="19.5" style="2955" customWidth="1"/>
    <col min="15622" max="15622" width="23.375" style="2955" customWidth="1"/>
    <col min="15623" max="15872" width="9" style="2955"/>
    <col min="15873" max="15873" width="5.75" style="2955" customWidth="1"/>
    <col min="15874" max="15874" width="17.5" style="2955" customWidth="1"/>
    <col min="15875" max="15875" width="10.625" style="2955" customWidth="1"/>
    <col min="15876" max="15876" width="11.75" style="2955" customWidth="1"/>
    <col min="15877" max="15877" width="19.5" style="2955" customWidth="1"/>
    <col min="15878" max="15878" width="23.375" style="2955" customWidth="1"/>
    <col min="15879" max="16128" width="9" style="2955"/>
    <col min="16129" max="16129" width="5.75" style="2955" customWidth="1"/>
    <col min="16130" max="16130" width="17.5" style="2955" customWidth="1"/>
    <col min="16131" max="16131" width="10.625" style="2955" customWidth="1"/>
    <col min="16132" max="16132" width="11.75" style="2955" customWidth="1"/>
    <col min="16133" max="16133" width="19.5" style="2955" customWidth="1"/>
    <col min="16134" max="16134" width="23.375" style="2955" customWidth="1"/>
    <col min="16135" max="16384" width="9" style="2955"/>
  </cols>
  <sheetData>
    <row r="1" spans="1:10" ht="30" customHeight="1">
      <c r="A1" s="3062" t="s">
        <v>3111</v>
      </c>
      <c r="B1" s="3062"/>
      <c r="C1" s="3063"/>
      <c r="D1" s="3064"/>
      <c r="E1" s="3064"/>
      <c r="F1" s="3064"/>
      <c r="G1" s="2954"/>
    </row>
    <row r="2" spans="1:10" s="2959" customFormat="1" ht="21" customHeight="1">
      <c r="A2" s="2956" t="s">
        <v>3044</v>
      </c>
      <c r="B2" s="2956" t="s">
        <v>3112</v>
      </c>
      <c r="C2" s="2957" t="s">
        <v>3045</v>
      </c>
      <c r="D2" s="2958" t="s">
        <v>3046</v>
      </c>
      <c r="E2" s="2958" t="s">
        <v>3047</v>
      </c>
      <c r="F2" s="2958" t="s">
        <v>3113</v>
      </c>
    </row>
    <row r="3" spans="1:10" ht="18" customHeight="1">
      <c r="A3" s="2956">
        <v>1</v>
      </c>
      <c r="B3" s="2956" t="s">
        <v>3114</v>
      </c>
      <c r="C3" s="2957" t="s">
        <v>3115</v>
      </c>
      <c r="D3" s="2960" t="s">
        <v>3116</v>
      </c>
      <c r="E3" s="2956">
        <v>7918.4</v>
      </c>
      <c r="F3" s="2956">
        <v>7478.04</v>
      </c>
      <c r="G3" s="2961"/>
    </row>
    <row r="4" spans="1:10" ht="20.100000000000001" customHeight="1">
      <c r="A4" s="2956">
        <v>2</v>
      </c>
      <c r="B4" s="2956" t="s">
        <v>3117</v>
      </c>
      <c r="C4" s="2957" t="s">
        <v>3115</v>
      </c>
      <c r="D4" s="2960" t="s">
        <v>3116</v>
      </c>
      <c r="E4" s="2956">
        <v>4702.53</v>
      </c>
      <c r="F4" s="2956">
        <v>4580.88</v>
      </c>
      <c r="G4" s="2961"/>
    </row>
    <row r="5" spans="1:10" ht="20.100000000000001" customHeight="1">
      <c r="A5" s="2956">
        <v>3</v>
      </c>
      <c r="B5" s="2956" t="s">
        <v>3118</v>
      </c>
      <c r="C5" s="2957" t="s">
        <v>3115</v>
      </c>
      <c r="D5" s="2960" t="s">
        <v>3116</v>
      </c>
      <c r="E5" s="2956">
        <v>4786.18</v>
      </c>
      <c r="F5" s="2956">
        <v>4662.3900000000003</v>
      </c>
      <c r="G5" s="2961"/>
    </row>
    <row r="6" spans="1:10" ht="20.100000000000001" customHeight="1">
      <c r="A6" s="2956">
        <v>4</v>
      </c>
      <c r="B6" s="2956" t="s">
        <v>3119</v>
      </c>
      <c r="C6" s="2957" t="s">
        <v>3115</v>
      </c>
      <c r="D6" s="2960" t="s">
        <v>3120</v>
      </c>
      <c r="E6" s="2956">
        <v>3177.76</v>
      </c>
      <c r="F6" s="2956">
        <v>3064.75</v>
      </c>
      <c r="G6" s="2961"/>
    </row>
    <row r="7" spans="1:10" ht="20.100000000000001" customHeight="1">
      <c r="A7" s="2956">
        <v>5</v>
      </c>
      <c r="B7" s="2956" t="s">
        <v>3121</v>
      </c>
      <c r="C7" s="2957" t="s">
        <v>3115</v>
      </c>
      <c r="D7" s="2960" t="s">
        <v>3120</v>
      </c>
      <c r="E7" s="2956">
        <v>4397.32</v>
      </c>
      <c r="F7" s="2956">
        <v>4249.1099999999997</v>
      </c>
      <c r="G7" s="2961"/>
    </row>
    <row r="8" spans="1:10" ht="20.100000000000001" customHeight="1">
      <c r="A8" s="2956"/>
      <c r="B8" s="2956"/>
      <c r="C8" s="2957"/>
      <c r="D8" s="2960"/>
      <c r="E8" s="2962">
        <f>SUM(E3:E7)</f>
        <v>24982.190000000002</v>
      </c>
      <c r="F8" s="2956"/>
      <c r="G8" s="2961"/>
    </row>
    <row r="9" spans="1:10" ht="20.100000000000001" customHeight="1">
      <c r="A9"/>
      <c r="B9"/>
      <c r="C9"/>
      <c r="D9"/>
      <c r="E9"/>
      <c r="F9"/>
      <c r="G9" s="2961"/>
    </row>
    <row r="10" spans="1:10" ht="20.100000000000001" customHeight="1">
      <c r="A10"/>
      <c r="B10"/>
      <c r="C10"/>
      <c r="D10"/>
      <c r="E10"/>
      <c r="F10"/>
      <c r="G10" s="2961"/>
    </row>
    <row r="11" spans="1:10" ht="20.100000000000001" customHeight="1" thickBot="1">
      <c r="A11"/>
      <c r="B11"/>
      <c r="C11"/>
      <c r="D11"/>
      <c r="E11"/>
      <c r="F11"/>
      <c r="G11" s="2961"/>
    </row>
    <row r="12" spans="1:10" ht="20.100000000000001" customHeight="1" thickTop="1" thickBot="1">
      <c r="A12"/>
      <c r="B12"/>
      <c r="C12"/>
      <c r="D12" s="2979"/>
      <c r="E12" s="2980"/>
      <c r="F12"/>
      <c r="G12" s="2961"/>
    </row>
    <row r="13" spans="1:10" ht="20.100000000000001" customHeight="1" thickTop="1" thickBot="1">
      <c r="A13"/>
      <c r="B13"/>
      <c r="C13"/>
      <c r="D13"/>
      <c r="E13"/>
      <c r="F13" s="2981"/>
      <c r="G13" s="2982"/>
      <c r="I13" s="2981">
        <v>148961</v>
      </c>
      <c r="J13" s="2982">
        <v>33122</v>
      </c>
    </row>
    <row r="14" spans="1:10" ht="20.100000000000001" customHeight="1" thickTop="1" thickBot="1">
      <c r="A14"/>
      <c r="B14"/>
      <c r="C14"/>
      <c r="D14"/>
      <c r="E14"/>
      <c r="F14"/>
      <c r="G14" s="2961"/>
      <c r="I14" s="2955">
        <f>I13+J13</f>
        <v>182083</v>
      </c>
    </row>
    <row r="15" spans="1:10" ht="20.100000000000001" customHeight="1" thickTop="1" thickBot="1">
      <c r="A15"/>
      <c r="B15"/>
      <c r="C15"/>
      <c r="D15" s="2981"/>
      <c r="E15" s="2982"/>
      <c r="F15"/>
      <c r="G15" s="2961"/>
    </row>
    <row r="16" spans="1:10" ht="20.100000000000001" customHeight="1" thickTop="1">
      <c r="A16"/>
      <c r="B16"/>
      <c r="C16"/>
      <c r="D16"/>
      <c r="E16"/>
      <c r="F16"/>
      <c r="G16" s="2961"/>
    </row>
    <row r="17" spans="1:7" ht="20.100000000000001" customHeight="1">
      <c r="A17"/>
      <c r="B17"/>
      <c r="C17"/>
      <c r="D17"/>
      <c r="E17"/>
      <c r="F17"/>
      <c r="G17" s="2961"/>
    </row>
    <row r="18" spans="1:7" ht="20.100000000000001" customHeight="1">
      <c r="A18"/>
      <c r="B18"/>
      <c r="C18"/>
      <c r="D18"/>
      <c r="E18"/>
      <c r="F18"/>
      <c r="G18" s="2961"/>
    </row>
    <row r="19" spans="1:7" ht="20.100000000000001" customHeight="1">
      <c r="A19"/>
      <c r="B19"/>
      <c r="C19"/>
      <c r="D19"/>
      <c r="E19"/>
      <c r="F19"/>
      <c r="G19" s="2961"/>
    </row>
    <row r="20" spans="1:7" ht="20.100000000000001" customHeight="1">
      <c r="A20"/>
      <c r="B20"/>
      <c r="C20"/>
      <c r="D20"/>
      <c r="E20"/>
      <c r="F20"/>
      <c r="G20" s="2961"/>
    </row>
    <row r="21" spans="1:7" ht="20.100000000000001" customHeight="1">
      <c r="A21"/>
      <c r="B21"/>
      <c r="C21"/>
      <c r="D21"/>
      <c r="E21"/>
      <c r="F21"/>
      <c r="G21" s="2961"/>
    </row>
    <row r="22" spans="1:7" ht="20.100000000000001" customHeight="1">
      <c r="A22"/>
      <c r="B22"/>
      <c r="C22"/>
      <c r="D22"/>
      <c r="E22"/>
      <c r="F22"/>
      <c r="G22" s="2961"/>
    </row>
    <row r="23" spans="1:7" ht="20.100000000000001" customHeight="1">
      <c r="A23"/>
      <c r="B23"/>
      <c r="C23"/>
      <c r="D23"/>
      <c r="E23"/>
      <c r="F23"/>
      <c r="G23" s="2961"/>
    </row>
    <row r="24" spans="1:7" ht="20.100000000000001" customHeight="1">
      <c r="A24"/>
      <c r="B24"/>
      <c r="C24"/>
      <c r="D24"/>
      <c r="E24"/>
      <c r="F24"/>
      <c r="G24" s="2961"/>
    </row>
    <row r="25" spans="1:7" ht="20.100000000000001" customHeight="1">
      <c r="A25"/>
      <c r="B25"/>
      <c r="C25"/>
      <c r="D25"/>
      <c r="E25"/>
      <c r="F25"/>
      <c r="G25" s="2961"/>
    </row>
    <row r="26" spans="1:7" ht="20.100000000000001" customHeight="1">
      <c r="A26"/>
      <c r="B26"/>
      <c r="C26"/>
      <c r="D26"/>
      <c r="E26"/>
      <c r="F26"/>
      <c r="G26" s="2961"/>
    </row>
    <row r="27" spans="1:7" ht="20.100000000000001" customHeight="1">
      <c r="A27"/>
      <c r="B27"/>
      <c r="C27"/>
      <c r="D27"/>
      <c r="E27"/>
      <c r="F27"/>
      <c r="G27" s="2961"/>
    </row>
    <row r="28" spans="1:7" ht="20.100000000000001" customHeight="1">
      <c r="A28"/>
      <c r="B28"/>
      <c r="C28"/>
      <c r="D28"/>
      <c r="E28"/>
      <c r="F28"/>
      <c r="G28" s="2961"/>
    </row>
    <row r="29" spans="1:7" ht="20.100000000000001" customHeight="1">
      <c r="A29"/>
      <c r="B29"/>
      <c r="C29"/>
      <c r="D29"/>
      <c r="E29"/>
      <c r="F29"/>
      <c r="G29" s="2961"/>
    </row>
    <row r="30" spans="1:7" ht="20.100000000000001" customHeight="1">
      <c r="A30"/>
      <c r="B30"/>
      <c r="C30"/>
      <c r="D30"/>
      <c r="E30"/>
      <c r="F30"/>
      <c r="G30" s="2961"/>
    </row>
    <row r="31" spans="1:7" ht="20.100000000000001" customHeight="1">
      <c r="A31"/>
      <c r="B31"/>
      <c r="C31"/>
      <c r="D31"/>
      <c r="E31"/>
      <c r="F31"/>
      <c r="G31" s="2961"/>
    </row>
    <row r="32" spans="1:7" ht="20.100000000000001" customHeight="1">
      <c r="A32"/>
      <c r="B32"/>
      <c r="C32"/>
      <c r="D32"/>
      <c r="E32"/>
      <c r="F32"/>
      <c r="G32" s="2961"/>
    </row>
    <row r="33" spans="1:7" ht="20.100000000000001" customHeight="1">
      <c r="A33"/>
      <c r="B33"/>
      <c r="C33"/>
      <c r="D33"/>
      <c r="E33"/>
      <c r="F33"/>
      <c r="G33" s="2961"/>
    </row>
    <row r="34" spans="1:7" ht="20.100000000000001" customHeight="1">
      <c r="A34"/>
      <c r="B34"/>
      <c r="C34"/>
      <c r="D34"/>
      <c r="E34"/>
      <c r="F34"/>
      <c r="G34" s="2961"/>
    </row>
    <row r="35" spans="1:7" ht="20.100000000000001" customHeight="1">
      <c r="A35"/>
      <c r="B35"/>
      <c r="C35"/>
      <c r="D35"/>
      <c r="E35"/>
      <c r="F35"/>
      <c r="G35" s="2961"/>
    </row>
    <row r="36" spans="1:7" ht="20.100000000000001" customHeight="1">
      <c r="A36"/>
      <c r="B36"/>
      <c r="C36"/>
      <c r="D36"/>
      <c r="E36"/>
      <c r="F36"/>
      <c r="G36" s="2961"/>
    </row>
    <row r="37" spans="1:7" ht="20.100000000000001" customHeight="1">
      <c r="A37"/>
      <c r="B37"/>
      <c r="C37"/>
      <c r="D37"/>
      <c r="E37"/>
      <c r="F37"/>
      <c r="G37" s="2961"/>
    </row>
    <row r="38" spans="1:7" ht="20.100000000000001" customHeight="1">
      <c r="A38"/>
      <c r="B38"/>
      <c r="C38"/>
      <c r="D38"/>
      <c r="E38"/>
      <c r="F38"/>
      <c r="G38" s="2961"/>
    </row>
    <row r="39" spans="1:7" ht="20.100000000000001" customHeight="1">
      <c r="A39"/>
      <c r="B39"/>
      <c r="C39"/>
      <c r="D39"/>
      <c r="E39"/>
      <c r="F39"/>
      <c r="G39" s="2961"/>
    </row>
    <row r="40" spans="1:7" ht="20.100000000000001" customHeight="1">
      <c r="A40"/>
      <c r="B40"/>
      <c r="C40"/>
      <c r="D40"/>
      <c r="E40"/>
      <c r="F40"/>
      <c r="G40" s="2961"/>
    </row>
    <row r="41" spans="1:7" ht="20.100000000000001" customHeight="1">
      <c r="A41"/>
      <c r="B41"/>
      <c r="C41"/>
      <c r="D41"/>
      <c r="E41"/>
      <c r="F41"/>
      <c r="G41" s="2961"/>
    </row>
    <row r="42" spans="1:7" ht="20.100000000000001" customHeight="1">
      <c r="A42"/>
      <c r="B42"/>
      <c r="C42"/>
      <c r="D42"/>
      <c r="E42"/>
      <c r="F42"/>
      <c r="G42" s="2961"/>
    </row>
    <row r="43" spans="1:7" ht="20.100000000000001" customHeight="1">
      <c r="A43"/>
      <c r="B43"/>
      <c r="C43"/>
      <c r="D43"/>
      <c r="E43"/>
      <c r="F43"/>
      <c r="G43" s="2961"/>
    </row>
    <row r="44" spans="1:7" ht="20.100000000000001" customHeight="1">
      <c r="A44"/>
      <c r="B44"/>
      <c r="C44"/>
      <c r="D44"/>
      <c r="E44"/>
      <c r="F44"/>
      <c r="G44" s="2961"/>
    </row>
    <row r="45" spans="1:7" ht="20.100000000000001" customHeight="1">
      <c r="A45"/>
      <c r="B45"/>
      <c r="C45"/>
      <c r="D45"/>
      <c r="E45"/>
      <c r="F45"/>
      <c r="G45" s="2961"/>
    </row>
    <row r="46" spans="1:7" ht="20.100000000000001" customHeight="1">
      <c r="A46"/>
      <c r="B46"/>
      <c r="C46"/>
      <c r="D46"/>
      <c r="E46"/>
      <c r="F46"/>
      <c r="G46" s="2961"/>
    </row>
    <row r="47" spans="1:7" ht="20.100000000000001" customHeight="1">
      <c r="A47"/>
      <c r="B47"/>
      <c r="C47"/>
      <c r="D47"/>
      <c r="E47"/>
      <c r="F47"/>
      <c r="G47" s="2961"/>
    </row>
    <row r="48" spans="1:7" ht="20.100000000000001" customHeight="1">
      <c r="A48"/>
      <c r="B48"/>
      <c r="C48"/>
      <c r="D48"/>
      <c r="E48"/>
      <c r="F48"/>
      <c r="G48" s="2961"/>
    </row>
    <row r="49" spans="1:7" ht="20.100000000000001" customHeight="1">
      <c r="A49"/>
      <c r="B49"/>
      <c r="C49"/>
      <c r="D49"/>
      <c r="E49"/>
      <c r="F49"/>
      <c r="G49" s="2961"/>
    </row>
    <row r="50" spans="1:7" ht="20.100000000000001" customHeight="1">
      <c r="A50"/>
      <c r="B50"/>
      <c r="C50"/>
      <c r="D50"/>
      <c r="E50"/>
      <c r="F50"/>
      <c r="G50" s="2961"/>
    </row>
    <row r="51" spans="1:7" ht="20.100000000000001" customHeight="1">
      <c r="A51"/>
      <c r="B51"/>
      <c r="C51"/>
      <c r="D51"/>
      <c r="E51"/>
      <c r="F51"/>
      <c r="G51" s="2961"/>
    </row>
    <row r="52" spans="1:7" ht="20.100000000000001" customHeight="1">
      <c r="A52"/>
      <c r="B52"/>
      <c r="C52"/>
      <c r="D52"/>
      <c r="E52"/>
      <c r="F52"/>
      <c r="G52" s="2961"/>
    </row>
    <row r="53" spans="1:7" ht="20.100000000000001" customHeight="1">
      <c r="A53"/>
      <c r="B53"/>
      <c r="C53"/>
      <c r="D53"/>
      <c r="E53"/>
      <c r="F53"/>
      <c r="G53" s="2961"/>
    </row>
    <row r="54" spans="1:7" ht="20.100000000000001" customHeight="1">
      <c r="A54"/>
      <c r="B54"/>
      <c r="C54"/>
      <c r="D54"/>
      <c r="E54"/>
      <c r="F54"/>
      <c r="G54" s="2961"/>
    </row>
    <row r="55" spans="1:7" ht="20.100000000000001" customHeight="1">
      <c r="A55"/>
      <c r="B55"/>
      <c r="C55"/>
      <c r="D55"/>
      <c r="E55"/>
      <c r="F55"/>
      <c r="G55" s="2961"/>
    </row>
    <row r="56" spans="1:7" ht="20.100000000000001" customHeight="1">
      <c r="A56"/>
      <c r="B56"/>
      <c r="C56"/>
      <c r="D56"/>
      <c r="E56"/>
      <c r="F56"/>
      <c r="G56" s="2961"/>
    </row>
    <row r="57" spans="1:7" ht="20.100000000000001" customHeight="1">
      <c r="A57"/>
      <c r="B57"/>
      <c r="C57"/>
      <c r="D57"/>
      <c r="E57"/>
      <c r="F57"/>
      <c r="G57" s="2961"/>
    </row>
    <row r="58" spans="1:7" ht="20.100000000000001" customHeight="1">
      <c r="A58"/>
      <c r="B58"/>
      <c r="C58"/>
      <c r="D58"/>
      <c r="E58"/>
      <c r="F58"/>
      <c r="G58" s="2961"/>
    </row>
    <row r="59" spans="1:7" ht="20.100000000000001" customHeight="1">
      <c r="A59"/>
      <c r="B59"/>
      <c r="C59"/>
      <c r="D59"/>
      <c r="E59"/>
      <c r="F59"/>
      <c r="G59" s="2961"/>
    </row>
    <row r="60" spans="1:7" ht="20.100000000000001" customHeight="1">
      <c r="A60"/>
      <c r="B60"/>
      <c r="C60"/>
      <c r="D60"/>
      <c r="E60"/>
      <c r="F60"/>
      <c r="G60" s="2961"/>
    </row>
    <row r="61" spans="1:7" ht="20.100000000000001" customHeight="1">
      <c r="A61"/>
      <c r="B61"/>
      <c r="C61"/>
      <c r="D61"/>
      <c r="E61"/>
      <c r="F61"/>
      <c r="G61" s="2961"/>
    </row>
    <row r="62" spans="1:7" ht="20.100000000000001" customHeight="1">
      <c r="A62"/>
      <c r="B62"/>
      <c r="C62"/>
      <c r="D62"/>
      <c r="E62"/>
      <c r="F62"/>
      <c r="G62" s="2961"/>
    </row>
    <row r="63" spans="1:7" ht="20.100000000000001" customHeight="1">
      <c r="A63"/>
      <c r="B63"/>
      <c r="C63"/>
      <c r="D63"/>
      <c r="E63"/>
      <c r="F63"/>
      <c r="G63" s="2961"/>
    </row>
    <row r="64" spans="1:7" ht="20.100000000000001" customHeight="1">
      <c r="A64"/>
      <c r="B64"/>
      <c r="C64"/>
      <c r="D64"/>
      <c r="E64"/>
      <c r="F64"/>
      <c r="G64" s="2961"/>
    </row>
    <row r="65" spans="1:7" ht="15.95" customHeight="1">
      <c r="A65"/>
      <c r="B65"/>
      <c r="C65"/>
      <c r="D65"/>
      <c r="E65"/>
      <c r="F65"/>
      <c r="G65" s="2961"/>
    </row>
    <row r="66" spans="1:7" ht="20.100000000000001" customHeight="1">
      <c r="A66"/>
      <c r="B66"/>
      <c r="C66"/>
      <c r="D66"/>
      <c r="E66"/>
      <c r="F66"/>
      <c r="G66" s="2961"/>
    </row>
    <row r="67" spans="1:7" ht="20.100000000000001" customHeight="1">
      <c r="A67"/>
      <c r="B67"/>
      <c r="C67"/>
      <c r="D67"/>
      <c r="E67"/>
      <c r="F67"/>
      <c r="G67" s="2961"/>
    </row>
    <row r="68" spans="1:7" ht="20.100000000000001" customHeight="1">
      <c r="A68"/>
      <c r="B68"/>
      <c r="C68"/>
      <c r="D68"/>
      <c r="E68"/>
      <c r="F68"/>
      <c r="G68" s="2961"/>
    </row>
    <row r="69" spans="1:7" ht="20.100000000000001" customHeight="1">
      <c r="A69"/>
      <c r="B69"/>
      <c r="C69"/>
      <c r="D69"/>
      <c r="E69"/>
      <c r="F69"/>
      <c r="G69" s="2961"/>
    </row>
    <row r="70" spans="1:7" ht="20.100000000000001" customHeight="1">
      <c r="A70"/>
      <c r="B70"/>
      <c r="C70"/>
      <c r="D70"/>
      <c r="E70"/>
      <c r="F70"/>
      <c r="G70" s="2961"/>
    </row>
    <row r="71" spans="1:7" ht="20.100000000000001" customHeight="1">
      <c r="A71"/>
      <c r="B71"/>
      <c r="C71"/>
      <c r="D71"/>
      <c r="E71"/>
      <c r="F71"/>
      <c r="G71" s="2961"/>
    </row>
    <row r="72" spans="1:7" ht="20.100000000000001" customHeight="1">
      <c r="A72"/>
      <c r="B72"/>
      <c r="C72"/>
      <c r="D72"/>
      <c r="E72"/>
      <c r="F72"/>
      <c r="G72" s="2961"/>
    </row>
    <row r="73" spans="1:7" ht="20.100000000000001" customHeight="1">
      <c r="A73"/>
      <c r="B73"/>
      <c r="C73"/>
      <c r="D73"/>
      <c r="E73"/>
      <c r="F73"/>
      <c r="G73" s="2961"/>
    </row>
    <row r="74" spans="1:7" ht="20.100000000000001" customHeight="1">
      <c r="A74"/>
      <c r="B74"/>
      <c r="C74"/>
      <c r="D74"/>
      <c r="E74"/>
      <c r="F74"/>
      <c r="G74" s="2961"/>
    </row>
    <row r="75" spans="1:7" ht="20.100000000000001" customHeight="1">
      <c r="A75"/>
      <c r="B75"/>
      <c r="C75"/>
      <c r="D75"/>
      <c r="E75"/>
      <c r="F75"/>
      <c r="G75" s="2961"/>
    </row>
    <row r="76" spans="1:7" ht="20.100000000000001" customHeight="1">
      <c r="A76"/>
      <c r="B76"/>
      <c r="C76"/>
      <c r="D76"/>
      <c r="E76"/>
      <c r="F76"/>
      <c r="G76" s="2961"/>
    </row>
    <row r="77" spans="1:7" ht="20.100000000000001" customHeight="1">
      <c r="A77"/>
      <c r="B77"/>
      <c r="C77"/>
      <c r="D77"/>
      <c r="E77"/>
      <c r="F77"/>
      <c r="G77" s="2961"/>
    </row>
    <row r="78" spans="1:7" ht="20.100000000000001" customHeight="1">
      <c r="A78"/>
      <c r="B78"/>
      <c r="C78"/>
      <c r="D78"/>
      <c r="E78"/>
      <c r="F78"/>
      <c r="G78" s="2961"/>
    </row>
    <row r="79" spans="1:7" ht="20.100000000000001" customHeight="1">
      <c r="A79"/>
      <c r="B79"/>
      <c r="C79"/>
      <c r="D79"/>
      <c r="E79"/>
      <c r="F79"/>
      <c r="G79" s="2961"/>
    </row>
    <row r="80" spans="1:7" ht="20.100000000000001" customHeight="1">
      <c r="A80"/>
      <c r="B80"/>
      <c r="C80"/>
      <c r="D80"/>
      <c r="E80"/>
      <c r="F80"/>
      <c r="G80" s="2961"/>
    </row>
    <row r="81" spans="1:6" ht="24" customHeight="1">
      <c r="A81"/>
      <c r="B81"/>
      <c r="C81"/>
      <c r="D81"/>
      <c r="E81"/>
      <c r="F81"/>
    </row>
    <row r="82" spans="1:6" ht="20.100000000000001" customHeight="1"/>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sheetData>
  <mergeCells count="1">
    <mergeCell ref="A1:F1"/>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E24" sqref="E24"/>
    </sheetView>
  </sheetViews>
  <sheetFormatPr defaultRowHeight="13.5"/>
  <cols>
    <col min="1" max="1" width="5.75" style="2963" customWidth="1"/>
    <col min="2" max="2" width="11.625" style="2963" bestFit="1" customWidth="1"/>
    <col min="3" max="3" width="10.625" style="2964" customWidth="1"/>
    <col min="4" max="4" width="11.75" style="2955" customWidth="1"/>
    <col min="5" max="5" width="19.5" style="2955" customWidth="1"/>
    <col min="6" max="6" width="23.375" style="2955" customWidth="1"/>
    <col min="7" max="256" width="9" style="2955"/>
    <col min="257" max="257" width="5.75" style="2955" customWidth="1"/>
    <col min="258" max="258" width="11.625" style="2955" bestFit="1" customWidth="1"/>
    <col min="259" max="259" width="10.625" style="2955" customWidth="1"/>
    <col min="260" max="260" width="11.75" style="2955" customWidth="1"/>
    <col min="261" max="261" width="19.5" style="2955" customWidth="1"/>
    <col min="262" max="262" width="23.375" style="2955" customWidth="1"/>
    <col min="263" max="512" width="9" style="2955"/>
    <col min="513" max="513" width="5.75" style="2955" customWidth="1"/>
    <col min="514" max="514" width="11.625" style="2955" bestFit="1" customWidth="1"/>
    <col min="515" max="515" width="10.625" style="2955" customWidth="1"/>
    <col min="516" max="516" width="11.75" style="2955" customWidth="1"/>
    <col min="517" max="517" width="19.5" style="2955" customWidth="1"/>
    <col min="518" max="518" width="23.375" style="2955" customWidth="1"/>
    <col min="519" max="768" width="9" style="2955"/>
    <col min="769" max="769" width="5.75" style="2955" customWidth="1"/>
    <col min="770" max="770" width="11.625" style="2955" bestFit="1" customWidth="1"/>
    <col min="771" max="771" width="10.625" style="2955" customWidth="1"/>
    <col min="772" max="772" width="11.75" style="2955" customWidth="1"/>
    <col min="773" max="773" width="19.5" style="2955" customWidth="1"/>
    <col min="774" max="774" width="23.375" style="2955" customWidth="1"/>
    <col min="775" max="1024" width="9" style="2955"/>
    <col min="1025" max="1025" width="5.75" style="2955" customWidth="1"/>
    <col min="1026" max="1026" width="11.625" style="2955" bestFit="1" customWidth="1"/>
    <col min="1027" max="1027" width="10.625" style="2955" customWidth="1"/>
    <col min="1028" max="1028" width="11.75" style="2955" customWidth="1"/>
    <col min="1029" max="1029" width="19.5" style="2955" customWidth="1"/>
    <col min="1030" max="1030" width="23.375" style="2955" customWidth="1"/>
    <col min="1031" max="1280" width="9" style="2955"/>
    <col min="1281" max="1281" width="5.75" style="2955" customWidth="1"/>
    <col min="1282" max="1282" width="11.625" style="2955" bestFit="1" customWidth="1"/>
    <col min="1283" max="1283" width="10.625" style="2955" customWidth="1"/>
    <col min="1284" max="1284" width="11.75" style="2955" customWidth="1"/>
    <col min="1285" max="1285" width="19.5" style="2955" customWidth="1"/>
    <col min="1286" max="1286" width="23.375" style="2955" customWidth="1"/>
    <col min="1287" max="1536" width="9" style="2955"/>
    <col min="1537" max="1537" width="5.75" style="2955" customWidth="1"/>
    <col min="1538" max="1538" width="11.625" style="2955" bestFit="1" customWidth="1"/>
    <col min="1539" max="1539" width="10.625" style="2955" customWidth="1"/>
    <col min="1540" max="1540" width="11.75" style="2955" customWidth="1"/>
    <col min="1541" max="1541" width="19.5" style="2955" customWidth="1"/>
    <col min="1542" max="1542" width="23.375" style="2955" customWidth="1"/>
    <col min="1543" max="1792" width="9" style="2955"/>
    <col min="1793" max="1793" width="5.75" style="2955" customWidth="1"/>
    <col min="1794" max="1794" width="11.625" style="2955" bestFit="1" customWidth="1"/>
    <col min="1795" max="1795" width="10.625" style="2955" customWidth="1"/>
    <col min="1796" max="1796" width="11.75" style="2955" customWidth="1"/>
    <col min="1797" max="1797" width="19.5" style="2955" customWidth="1"/>
    <col min="1798" max="1798" width="23.375" style="2955" customWidth="1"/>
    <col min="1799" max="2048" width="9" style="2955"/>
    <col min="2049" max="2049" width="5.75" style="2955" customWidth="1"/>
    <col min="2050" max="2050" width="11.625" style="2955" bestFit="1" customWidth="1"/>
    <col min="2051" max="2051" width="10.625" style="2955" customWidth="1"/>
    <col min="2052" max="2052" width="11.75" style="2955" customWidth="1"/>
    <col min="2053" max="2053" width="19.5" style="2955" customWidth="1"/>
    <col min="2054" max="2054" width="23.375" style="2955" customWidth="1"/>
    <col min="2055" max="2304" width="9" style="2955"/>
    <col min="2305" max="2305" width="5.75" style="2955" customWidth="1"/>
    <col min="2306" max="2306" width="11.625" style="2955" bestFit="1" customWidth="1"/>
    <col min="2307" max="2307" width="10.625" style="2955" customWidth="1"/>
    <col min="2308" max="2308" width="11.75" style="2955" customWidth="1"/>
    <col min="2309" max="2309" width="19.5" style="2955" customWidth="1"/>
    <col min="2310" max="2310" width="23.375" style="2955" customWidth="1"/>
    <col min="2311" max="2560" width="9" style="2955"/>
    <col min="2561" max="2561" width="5.75" style="2955" customWidth="1"/>
    <col min="2562" max="2562" width="11.625" style="2955" bestFit="1" customWidth="1"/>
    <col min="2563" max="2563" width="10.625" style="2955" customWidth="1"/>
    <col min="2564" max="2564" width="11.75" style="2955" customWidth="1"/>
    <col min="2565" max="2565" width="19.5" style="2955" customWidth="1"/>
    <col min="2566" max="2566" width="23.375" style="2955" customWidth="1"/>
    <col min="2567" max="2816" width="9" style="2955"/>
    <col min="2817" max="2817" width="5.75" style="2955" customWidth="1"/>
    <col min="2818" max="2818" width="11.625" style="2955" bestFit="1" customWidth="1"/>
    <col min="2819" max="2819" width="10.625" style="2955" customWidth="1"/>
    <col min="2820" max="2820" width="11.75" style="2955" customWidth="1"/>
    <col min="2821" max="2821" width="19.5" style="2955" customWidth="1"/>
    <col min="2822" max="2822" width="23.375" style="2955" customWidth="1"/>
    <col min="2823" max="3072" width="9" style="2955"/>
    <col min="3073" max="3073" width="5.75" style="2955" customWidth="1"/>
    <col min="3074" max="3074" width="11.625" style="2955" bestFit="1" customWidth="1"/>
    <col min="3075" max="3075" width="10.625" style="2955" customWidth="1"/>
    <col min="3076" max="3076" width="11.75" style="2955" customWidth="1"/>
    <col min="3077" max="3077" width="19.5" style="2955" customWidth="1"/>
    <col min="3078" max="3078" width="23.375" style="2955" customWidth="1"/>
    <col min="3079" max="3328" width="9" style="2955"/>
    <col min="3329" max="3329" width="5.75" style="2955" customWidth="1"/>
    <col min="3330" max="3330" width="11.625" style="2955" bestFit="1" customWidth="1"/>
    <col min="3331" max="3331" width="10.625" style="2955" customWidth="1"/>
    <col min="3332" max="3332" width="11.75" style="2955" customWidth="1"/>
    <col min="3333" max="3333" width="19.5" style="2955" customWidth="1"/>
    <col min="3334" max="3334" width="23.375" style="2955" customWidth="1"/>
    <col min="3335" max="3584" width="9" style="2955"/>
    <col min="3585" max="3585" width="5.75" style="2955" customWidth="1"/>
    <col min="3586" max="3586" width="11.625" style="2955" bestFit="1" customWidth="1"/>
    <col min="3587" max="3587" width="10.625" style="2955" customWidth="1"/>
    <col min="3588" max="3588" width="11.75" style="2955" customWidth="1"/>
    <col min="3589" max="3589" width="19.5" style="2955" customWidth="1"/>
    <col min="3590" max="3590" width="23.375" style="2955" customWidth="1"/>
    <col min="3591" max="3840" width="9" style="2955"/>
    <col min="3841" max="3841" width="5.75" style="2955" customWidth="1"/>
    <col min="3842" max="3842" width="11.625" style="2955" bestFit="1" customWidth="1"/>
    <col min="3843" max="3843" width="10.625" style="2955" customWidth="1"/>
    <col min="3844" max="3844" width="11.75" style="2955" customWidth="1"/>
    <col min="3845" max="3845" width="19.5" style="2955" customWidth="1"/>
    <col min="3846" max="3846" width="23.375" style="2955" customWidth="1"/>
    <col min="3847" max="4096" width="9" style="2955"/>
    <col min="4097" max="4097" width="5.75" style="2955" customWidth="1"/>
    <col min="4098" max="4098" width="11.625" style="2955" bestFit="1" customWidth="1"/>
    <col min="4099" max="4099" width="10.625" style="2955" customWidth="1"/>
    <col min="4100" max="4100" width="11.75" style="2955" customWidth="1"/>
    <col min="4101" max="4101" width="19.5" style="2955" customWidth="1"/>
    <col min="4102" max="4102" width="23.375" style="2955" customWidth="1"/>
    <col min="4103" max="4352" width="9" style="2955"/>
    <col min="4353" max="4353" width="5.75" style="2955" customWidth="1"/>
    <col min="4354" max="4354" width="11.625" style="2955" bestFit="1" customWidth="1"/>
    <col min="4355" max="4355" width="10.625" style="2955" customWidth="1"/>
    <col min="4356" max="4356" width="11.75" style="2955" customWidth="1"/>
    <col min="4357" max="4357" width="19.5" style="2955" customWidth="1"/>
    <col min="4358" max="4358" width="23.375" style="2955" customWidth="1"/>
    <col min="4359" max="4608" width="9" style="2955"/>
    <col min="4609" max="4609" width="5.75" style="2955" customWidth="1"/>
    <col min="4610" max="4610" width="11.625" style="2955" bestFit="1" customWidth="1"/>
    <col min="4611" max="4611" width="10.625" style="2955" customWidth="1"/>
    <col min="4612" max="4612" width="11.75" style="2955" customWidth="1"/>
    <col min="4613" max="4613" width="19.5" style="2955" customWidth="1"/>
    <col min="4614" max="4614" width="23.375" style="2955" customWidth="1"/>
    <col min="4615" max="4864" width="9" style="2955"/>
    <col min="4865" max="4865" width="5.75" style="2955" customWidth="1"/>
    <col min="4866" max="4866" width="11.625" style="2955" bestFit="1" customWidth="1"/>
    <col min="4867" max="4867" width="10.625" style="2955" customWidth="1"/>
    <col min="4868" max="4868" width="11.75" style="2955" customWidth="1"/>
    <col min="4869" max="4869" width="19.5" style="2955" customWidth="1"/>
    <col min="4870" max="4870" width="23.375" style="2955" customWidth="1"/>
    <col min="4871" max="5120" width="9" style="2955"/>
    <col min="5121" max="5121" width="5.75" style="2955" customWidth="1"/>
    <col min="5122" max="5122" width="11.625" style="2955" bestFit="1" customWidth="1"/>
    <col min="5123" max="5123" width="10.625" style="2955" customWidth="1"/>
    <col min="5124" max="5124" width="11.75" style="2955" customWidth="1"/>
    <col min="5125" max="5125" width="19.5" style="2955" customWidth="1"/>
    <col min="5126" max="5126" width="23.375" style="2955" customWidth="1"/>
    <col min="5127" max="5376" width="9" style="2955"/>
    <col min="5377" max="5377" width="5.75" style="2955" customWidth="1"/>
    <col min="5378" max="5378" width="11.625" style="2955" bestFit="1" customWidth="1"/>
    <col min="5379" max="5379" width="10.625" style="2955" customWidth="1"/>
    <col min="5380" max="5380" width="11.75" style="2955" customWidth="1"/>
    <col min="5381" max="5381" width="19.5" style="2955" customWidth="1"/>
    <col min="5382" max="5382" width="23.375" style="2955" customWidth="1"/>
    <col min="5383" max="5632" width="9" style="2955"/>
    <col min="5633" max="5633" width="5.75" style="2955" customWidth="1"/>
    <col min="5634" max="5634" width="11.625" style="2955" bestFit="1" customWidth="1"/>
    <col min="5635" max="5635" width="10.625" style="2955" customWidth="1"/>
    <col min="5636" max="5636" width="11.75" style="2955" customWidth="1"/>
    <col min="5637" max="5637" width="19.5" style="2955" customWidth="1"/>
    <col min="5638" max="5638" width="23.375" style="2955" customWidth="1"/>
    <col min="5639" max="5888" width="9" style="2955"/>
    <col min="5889" max="5889" width="5.75" style="2955" customWidth="1"/>
    <col min="5890" max="5890" width="11.625" style="2955" bestFit="1" customWidth="1"/>
    <col min="5891" max="5891" width="10.625" style="2955" customWidth="1"/>
    <col min="5892" max="5892" width="11.75" style="2955" customWidth="1"/>
    <col min="5893" max="5893" width="19.5" style="2955" customWidth="1"/>
    <col min="5894" max="5894" width="23.375" style="2955" customWidth="1"/>
    <col min="5895" max="6144" width="9" style="2955"/>
    <col min="6145" max="6145" width="5.75" style="2955" customWidth="1"/>
    <col min="6146" max="6146" width="11.625" style="2955" bestFit="1" customWidth="1"/>
    <col min="6147" max="6147" width="10.625" style="2955" customWidth="1"/>
    <col min="6148" max="6148" width="11.75" style="2955" customWidth="1"/>
    <col min="6149" max="6149" width="19.5" style="2955" customWidth="1"/>
    <col min="6150" max="6150" width="23.375" style="2955" customWidth="1"/>
    <col min="6151" max="6400" width="9" style="2955"/>
    <col min="6401" max="6401" width="5.75" style="2955" customWidth="1"/>
    <col min="6402" max="6402" width="11.625" style="2955" bestFit="1" customWidth="1"/>
    <col min="6403" max="6403" width="10.625" style="2955" customWidth="1"/>
    <col min="6404" max="6404" width="11.75" style="2955" customWidth="1"/>
    <col min="6405" max="6405" width="19.5" style="2955" customWidth="1"/>
    <col min="6406" max="6406" width="23.375" style="2955" customWidth="1"/>
    <col min="6407" max="6656" width="9" style="2955"/>
    <col min="6657" max="6657" width="5.75" style="2955" customWidth="1"/>
    <col min="6658" max="6658" width="11.625" style="2955" bestFit="1" customWidth="1"/>
    <col min="6659" max="6659" width="10.625" style="2955" customWidth="1"/>
    <col min="6660" max="6660" width="11.75" style="2955" customWidth="1"/>
    <col min="6661" max="6661" width="19.5" style="2955" customWidth="1"/>
    <col min="6662" max="6662" width="23.375" style="2955" customWidth="1"/>
    <col min="6663" max="6912" width="9" style="2955"/>
    <col min="6913" max="6913" width="5.75" style="2955" customWidth="1"/>
    <col min="6914" max="6914" width="11.625" style="2955" bestFit="1" customWidth="1"/>
    <col min="6915" max="6915" width="10.625" style="2955" customWidth="1"/>
    <col min="6916" max="6916" width="11.75" style="2955" customWidth="1"/>
    <col min="6917" max="6917" width="19.5" style="2955" customWidth="1"/>
    <col min="6918" max="6918" width="23.375" style="2955" customWidth="1"/>
    <col min="6919" max="7168" width="9" style="2955"/>
    <col min="7169" max="7169" width="5.75" style="2955" customWidth="1"/>
    <col min="7170" max="7170" width="11.625" style="2955" bestFit="1" customWidth="1"/>
    <col min="7171" max="7171" width="10.625" style="2955" customWidth="1"/>
    <col min="7172" max="7172" width="11.75" style="2955" customWidth="1"/>
    <col min="7173" max="7173" width="19.5" style="2955" customWidth="1"/>
    <col min="7174" max="7174" width="23.375" style="2955" customWidth="1"/>
    <col min="7175" max="7424" width="9" style="2955"/>
    <col min="7425" max="7425" width="5.75" style="2955" customWidth="1"/>
    <col min="7426" max="7426" width="11.625" style="2955" bestFit="1" customWidth="1"/>
    <col min="7427" max="7427" width="10.625" style="2955" customWidth="1"/>
    <col min="7428" max="7428" width="11.75" style="2955" customWidth="1"/>
    <col min="7429" max="7429" width="19.5" style="2955" customWidth="1"/>
    <col min="7430" max="7430" width="23.375" style="2955" customWidth="1"/>
    <col min="7431" max="7680" width="9" style="2955"/>
    <col min="7681" max="7681" width="5.75" style="2955" customWidth="1"/>
    <col min="7682" max="7682" width="11.625" style="2955" bestFit="1" customWidth="1"/>
    <col min="7683" max="7683" width="10.625" style="2955" customWidth="1"/>
    <col min="7684" max="7684" width="11.75" style="2955" customWidth="1"/>
    <col min="7685" max="7685" width="19.5" style="2955" customWidth="1"/>
    <col min="7686" max="7686" width="23.375" style="2955" customWidth="1"/>
    <col min="7687" max="7936" width="9" style="2955"/>
    <col min="7937" max="7937" width="5.75" style="2955" customWidth="1"/>
    <col min="7938" max="7938" width="11.625" style="2955" bestFit="1" customWidth="1"/>
    <col min="7939" max="7939" width="10.625" style="2955" customWidth="1"/>
    <col min="7940" max="7940" width="11.75" style="2955" customWidth="1"/>
    <col min="7941" max="7941" width="19.5" style="2955" customWidth="1"/>
    <col min="7942" max="7942" width="23.375" style="2955" customWidth="1"/>
    <col min="7943" max="8192" width="9" style="2955"/>
    <col min="8193" max="8193" width="5.75" style="2955" customWidth="1"/>
    <col min="8194" max="8194" width="11.625" style="2955" bestFit="1" customWidth="1"/>
    <col min="8195" max="8195" width="10.625" style="2955" customWidth="1"/>
    <col min="8196" max="8196" width="11.75" style="2955" customWidth="1"/>
    <col min="8197" max="8197" width="19.5" style="2955" customWidth="1"/>
    <col min="8198" max="8198" width="23.375" style="2955" customWidth="1"/>
    <col min="8199" max="8448" width="9" style="2955"/>
    <col min="8449" max="8449" width="5.75" style="2955" customWidth="1"/>
    <col min="8450" max="8450" width="11.625" style="2955" bestFit="1" customWidth="1"/>
    <col min="8451" max="8451" width="10.625" style="2955" customWidth="1"/>
    <col min="8452" max="8452" width="11.75" style="2955" customWidth="1"/>
    <col min="8453" max="8453" width="19.5" style="2955" customWidth="1"/>
    <col min="8454" max="8454" width="23.375" style="2955" customWidth="1"/>
    <col min="8455" max="8704" width="9" style="2955"/>
    <col min="8705" max="8705" width="5.75" style="2955" customWidth="1"/>
    <col min="8706" max="8706" width="11.625" style="2955" bestFit="1" customWidth="1"/>
    <col min="8707" max="8707" width="10.625" style="2955" customWidth="1"/>
    <col min="8708" max="8708" width="11.75" style="2955" customWidth="1"/>
    <col min="8709" max="8709" width="19.5" style="2955" customWidth="1"/>
    <col min="8710" max="8710" width="23.375" style="2955" customWidth="1"/>
    <col min="8711" max="8960" width="9" style="2955"/>
    <col min="8961" max="8961" width="5.75" style="2955" customWidth="1"/>
    <col min="8962" max="8962" width="11.625" style="2955" bestFit="1" customWidth="1"/>
    <col min="8963" max="8963" width="10.625" style="2955" customWidth="1"/>
    <col min="8964" max="8964" width="11.75" style="2955" customWidth="1"/>
    <col min="8965" max="8965" width="19.5" style="2955" customWidth="1"/>
    <col min="8966" max="8966" width="23.375" style="2955" customWidth="1"/>
    <col min="8967" max="9216" width="9" style="2955"/>
    <col min="9217" max="9217" width="5.75" style="2955" customWidth="1"/>
    <col min="9218" max="9218" width="11.625" style="2955" bestFit="1" customWidth="1"/>
    <col min="9219" max="9219" width="10.625" style="2955" customWidth="1"/>
    <col min="9220" max="9220" width="11.75" style="2955" customWidth="1"/>
    <col min="9221" max="9221" width="19.5" style="2955" customWidth="1"/>
    <col min="9222" max="9222" width="23.375" style="2955" customWidth="1"/>
    <col min="9223" max="9472" width="9" style="2955"/>
    <col min="9473" max="9473" width="5.75" style="2955" customWidth="1"/>
    <col min="9474" max="9474" width="11.625" style="2955" bestFit="1" customWidth="1"/>
    <col min="9475" max="9475" width="10.625" style="2955" customWidth="1"/>
    <col min="9476" max="9476" width="11.75" style="2955" customWidth="1"/>
    <col min="9477" max="9477" width="19.5" style="2955" customWidth="1"/>
    <col min="9478" max="9478" width="23.375" style="2955" customWidth="1"/>
    <col min="9479" max="9728" width="9" style="2955"/>
    <col min="9729" max="9729" width="5.75" style="2955" customWidth="1"/>
    <col min="9730" max="9730" width="11.625" style="2955" bestFit="1" customWidth="1"/>
    <col min="9731" max="9731" width="10.625" style="2955" customWidth="1"/>
    <col min="9732" max="9732" width="11.75" style="2955" customWidth="1"/>
    <col min="9733" max="9733" width="19.5" style="2955" customWidth="1"/>
    <col min="9734" max="9734" width="23.375" style="2955" customWidth="1"/>
    <col min="9735" max="9984" width="9" style="2955"/>
    <col min="9985" max="9985" width="5.75" style="2955" customWidth="1"/>
    <col min="9986" max="9986" width="11.625" style="2955" bestFit="1" customWidth="1"/>
    <col min="9987" max="9987" width="10.625" style="2955" customWidth="1"/>
    <col min="9988" max="9988" width="11.75" style="2955" customWidth="1"/>
    <col min="9989" max="9989" width="19.5" style="2955" customWidth="1"/>
    <col min="9990" max="9990" width="23.375" style="2955" customWidth="1"/>
    <col min="9991" max="10240" width="9" style="2955"/>
    <col min="10241" max="10241" width="5.75" style="2955" customWidth="1"/>
    <col min="10242" max="10242" width="11.625" style="2955" bestFit="1" customWidth="1"/>
    <col min="10243" max="10243" width="10.625" style="2955" customWidth="1"/>
    <col min="10244" max="10244" width="11.75" style="2955" customWidth="1"/>
    <col min="10245" max="10245" width="19.5" style="2955" customWidth="1"/>
    <col min="10246" max="10246" width="23.375" style="2955" customWidth="1"/>
    <col min="10247" max="10496" width="9" style="2955"/>
    <col min="10497" max="10497" width="5.75" style="2955" customWidth="1"/>
    <col min="10498" max="10498" width="11.625" style="2955" bestFit="1" customWidth="1"/>
    <col min="10499" max="10499" width="10.625" style="2955" customWidth="1"/>
    <col min="10500" max="10500" width="11.75" style="2955" customWidth="1"/>
    <col min="10501" max="10501" width="19.5" style="2955" customWidth="1"/>
    <col min="10502" max="10502" width="23.375" style="2955" customWidth="1"/>
    <col min="10503" max="10752" width="9" style="2955"/>
    <col min="10753" max="10753" width="5.75" style="2955" customWidth="1"/>
    <col min="10754" max="10754" width="11.625" style="2955" bestFit="1" customWidth="1"/>
    <col min="10755" max="10755" width="10.625" style="2955" customWidth="1"/>
    <col min="10756" max="10756" width="11.75" style="2955" customWidth="1"/>
    <col min="10757" max="10757" width="19.5" style="2955" customWidth="1"/>
    <col min="10758" max="10758" width="23.375" style="2955" customWidth="1"/>
    <col min="10759" max="11008" width="9" style="2955"/>
    <col min="11009" max="11009" width="5.75" style="2955" customWidth="1"/>
    <col min="11010" max="11010" width="11.625" style="2955" bestFit="1" customWidth="1"/>
    <col min="11011" max="11011" width="10.625" style="2955" customWidth="1"/>
    <col min="11012" max="11012" width="11.75" style="2955" customWidth="1"/>
    <col min="11013" max="11013" width="19.5" style="2955" customWidth="1"/>
    <col min="11014" max="11014" width="23.375" style="2955" customWidth="1"/>
    <col min="11015" max="11264" width="9" style="2955"/>
    <col min="11265" max="11265" width="5.75" style="2955" customWidth="1"/>
    <col min="11266" max="11266" width="11.625" style="2955" bestFit="1" customWidth="1"/>
    <col min="11267" max="11267" width="10.625" style="2955" customWidth="1"/>
    <col min="11268" max="11268" width="11.75" style="2955" customWidth="1"/>
    <col min="11269" max="11269" width="19.5" style="2955" customWidth="1"/>
    <col min="11270" max="11270" width="23.375" style="2955" customWidth="1"/>
    <col min="11271" max="11520" width="9" style="2955"/>
    <col min="11521" max="11521" width="5.75" style="2955" customWidth="1"/>
    <col min="11522" max="11522" width="11.625" style="2955" bestFit="1" customWidth="1"/>
    <col min="11523" max="11523" width="10.625" style="2955" customWidth="1"/>
    <col min="11524" max="11524" width="11.75" style="2955" customWidth="1"/>
    <col min="11525" max="11525" width="19.5" style="2955" customWidth="1"/>
    <col min="11526" max="11526" width="23.375" style="2955" customWidth="1"/>
    <col min="11527" max="11776" width="9" style="2955"/>
    <col min="11777" max="11777" width="5.75" style="2955" customWidth="1"/>
    <col min="11778" max="11778" width="11.625" style="2955" bestFit="1" customWidth="1"/>
    <col min="11779" max="11779" width="10.625" style="2955" customWidth="1"/>
    <col min="11780" max="11780" width="11.75" style="2955" customWidth="1"/>
    <col min="11781" max="11781" width="19.5" style="2955" customWidth="1"/>
    <col min="11782" max="11782" width="23.375" style="2955" customWidth="1"/>
    <col min="11783" max="12032" width="9" style="2955"/>
    <col min="12033" max="12033" width="5.75" style="2955" customWidth="1"/>
    <col min="12034" max="12034" width="11.625" style="2955" bestFit="1" customWidth="1"/>
    <col min="12035" max="12035" width="10.625" style="2955" customWidth="1"/>
    <col min="12036" max="12036" width="11.75" style="2955" customWidth="1"/>
    <col min="12037" max="12037" width="19.5" style="2955" customWidth="1"/>
    <col min="12038" max="12038" width="23.375" style="2955" customWidth="1"/>
    <col min="12039" max="12288" width="9" style="2955"/>
    <col min="12289" max="12289" width="5.75" style="2955" customWidth="1"/>
    <col min="12290" max="12290" width="11.625" style="2955" bestFit="1" customWidth="1"/>
    <col min="12291" max="12291" width="10.625" style="2955" customWidth="1"/>
    <col min="12292" max="12292" width="11.75" style="2955" customWidth="1"/>
    <col min="12293" max="12293" width="19.5" style="2955" customWidth="1"/>
    <col min="12294" max="12294" width="23.375" style="2955" customWidth="1"/>
    <col min="12295" max="12544" width="9" style="2955"/>
    <col min="12545" max="12545" width="5.75" style="2955" customWidth="1"/>
    <col min="12546" max="12546" width="11.625" style="2955" bestFit="1" customWidth="1"/>
    <col min="12547" max="12547" width="10.625" style="2955" customWidth="1"/>
    <col min="12548" max="12548" width="11.75" style="2955" customWidth="1"/>
    <col min="12549" max="12549" width="19.5" style="2955" customWidth="1"/>
    <col min="12550" max="12550" width="23.375" style="2955" customWidth="1"/>
    <col min="12551" max="12800" width="9" style="2955"/>
    <col min="12801" max="12801" width="5.75" style="2955" customWidth="1"/>
    <col min="12802" max="12802" width="11.625" style="2955" bestFit="1" customWidth="1"/>
    <col min="12803" max="12803" width="10.625" style="2955" customWidth="1"/>
    <col min="12804" max="12804" width="11.75" style="2955" customWidth="1"/>
    <col min="12805" max="12805" width="19.5" style="2955" customWidth="1"/>
    <col min="12806" max="12806" width="23.375" style="2955" customWidth="1"/>
    <col min="12807" max="13056" width="9" style="2955"/>
    <col min="13057" max="13057" width="5.75" style="2955" customWidth="1"/>
    <col min="13058" max="13058" width="11.625" style="2955" bestFit="1" customWidth="1"/>
    <col min="13059" max="13059" width="10.625" style="2955" customWidth="1"/>
    <col min="13060" max="13060" width="11.75" style="2955" customWidth="1"/>
    <col min="13061" max="13061" width="19.5" style="2955" customWidth="1"/>
    <col min="13062" max="13062" width="23.375" style="2955" customWidth="1"/>
    <col min="13063" max="13312" width="9" style="2955"/>
    <col min="13313" max="13313" width="5.75" style="2955" customWidth="1"/>
    <col min="13314" max="13314" width="11.625" style="2955" bestFit="1" customWidth="1"/>
    <col min="13315" max="13315" width="10.625" style="2955" customWidth="1"/>
    <col min="13316" max="13316" width="11.75" style="2955" customWidth="1"/>
    <col min="13317" max="13317" width="19.5" style="2955" customWidth="1"/>
    <col min="13318" max="13318" width="23.375" style="2955" customWidth="1"/>
    <col min="13319" max="13568" width="9" style="2955"/>
    <col min="13569" max="13569" width="5.75" style="2955" customWidth="1"/>
    <col min="13570" max="13570" width="11.625" style="2955" bestFit="1" customWidth="1"/>
    <col min="13571" max="13571" width="10.625" style="2955" customWidth="1"/>
    <col min="13572" max="13572" width="11.75" style="2955" customWidth="1"/>
    <col min="13573" max="13573" width="19.5" style="2955" customWidth="1"/>
    <col min="13574" max="13574" width="23.375" style="2955" customWidth="1"/>
    <col min="13575" max="13824" width="9" style="2955"/>
    <col min="13825" max="13825" width="5.75" style="2955" customWidth="1"/>
    <col min="13826" max="13826" width="11.625" style="2955" bestFit="1" customWidth="1"/>
    <col min="13827" max="13827" width="10.625" style="2955" customWidth="1"/>
    <col min="13828" max="13828" width="11.75" style="2955" customWidth="1"/>
    <col min="13829" max="13829" width="19.5" style="2955" customWidth="1"/>
    <col min="13830" max="13830" width="23.375" style="2955" customWidth="1"/>
    <col min="13831" max="14080" width="9" style="2955"/>
    <col min="14081" max="14081" width="5.75" style="2955" customWidth="1"/>
    <col min="14082" max="14082" width="11.625" style="2955" bestFit="1" customWidth="1"/>
    <col min="14083" max="14083" width="10.625" style="2955" customWidth="1"/>
    <col min="14084" max="14084" width="11.75" style="2955" customWidth="1"/>
    <col min="14085" max="14085" width="19.5" style="2955" customWidth="1"/>
    <col min="14086" max="14086" width="23.375" style="2955" customWidth="1"/>
    <col min="14087" max="14336" width="9" style="2955"/>
    <col min="14337" max="14337" width="5.75" style="2955" customWidth="1"/>
    <col min="14338" max="14338" width="11.625" style="2955" bestFit="1" customWidth="1"/>
    <col min="14339" max="14339" width="10.625" style="2955" customWidth="1"/>
    <col min="14340" max="14340" width="11.75" style="2955" customWidth="1"/>
    <col min="14341" max="14341" width="19.5" style="2955" customWidth="1"/>
    <col min="14342" max="14342" width="23.375" style="2955" customWidth="1"/>
    <col min="14343" max="14592" width="9" style="2955"/>
    <col min="14593" max="14593" width="5.75" style="2955" customWidth="1"/>
    <col min="14594" max="14594" width="11.625" style="2955" bestFit="1" customWidth="1"/>
    <col min="14595" max="14595" width="10.625" style="2955" customWidth="1"/>
    <col min="14596" max="14596" width="11.75" style="2955" customWidth="1"/>
    <col min="14597" max="14597" width="19.5" style="2955" customWidth="1"/>
    <col min="14598" max="14598" width="23.375" style="2955" customWidth="1"/>
    <col min="14599" max="14848" width="9" style="2955"/>
    <col min="14849" max="14849" width="5.75" style="2955" customWidth="1"/>
    <col min="14850" max="14850" width="11.625" style="2955" bestFit="1" customWidth="1"/>
    <col min="14851" max="14851" width="10.625" style="2955" customWidth="1"/>
    <col min="14852" max="14852" width="11.75" style="2955" customWidth="1"/>
    <col min="14853" max="14853" width="19.5" style="2955" customWidth="1"/>
    <col min="14854" max="14854" width="23.375" style="2955" customWidth="1"/>
    <col min="14855" max="15104" width="9" style="2955"/>
    <col min="15105" max="15105" width="5.75" style="2955" customWidth="1"/>
    <col min="15106" max="15106" width="11.625" style="2955" bestFit="1" customWidth="1"/>
    <col min="15107" max="15107" width="10.625" style="2955" customWidth="1"/>
    <col min="15108" max="15108" width="11.75" style="2955" customWidth="1"/>
    <col min="15109" max="15109" width="19.5" style="2955" customWidth="1"/>
    <col min="15110" max="15110" width="23.375" style="2955" customWidth="1"/>
    <col min="15111" max="15360" width="9" style="2955"/>
    <col min="15361" max="15361" width="5.75" style="2955" customWidth="1"/>
    <col min="15362" max="15362" width="11.625" style="2955" bestFit="1" customWidth="1"/>
    <col min="15363" max="15363" width="10.625" style="2955" customWidth="1"/>
    <col min="15364" max="15364" width="11.75" style="2955" customWidth="1"/>
    <col min="15365" max="15365" width="19.5" style="2955" customWidth="1"/>
    <col min="15366" max="15366" width="23.375" style="2955" customWidth="1"/>
    <col min="15367" max="15616" width="9" style="2955"/>
    <col min="15617" max="15617" width="5.75" style="2955" customWidth="1"/>
    <col min="15618" max="15618" width="11.625" style="2955" bestFit="1" customWidth="1"/>
    <col min="15619" max="15619" width="10.625" style="2955" customWidth="1"/>
    <col min="15620" max="15620" width="11.75" style="2955" customWidth="1"/>
    <col min="15621" max="15621" width="19.5" style="2955" customWidth="1"/>
    <col min="15622" max="15622" width="23.375" style="2955" customWidth="1"/>
    <col min="15623" max="15872" width="9" style="2955"/>
    <col min="15873" max="15873" width="5.75" style="2955" customWidth="1"/>
    <col min="15874" max="15874" width="11.625" style="2955" bestFit="1" customWidth="1"/>
    <col min="15875" max="15875" width="10.625" style="2955" customWidth="1"/>
    <col min="15876" max="15876" width="11.75" style="2955" customWidth="1"/>
    <col min="15877" max="15877" width="19.5" style="2955" customWidth="1"/>
    <col min="15878" max="15878" width="23.375" style="2955" customWidth="1"/>
    <col min="15879" max="16128" width="9" style="2955"/>
    <col min="16129" max="16129" width="5.75" style="2955" customWidth="1"/>
    <col min="16130" max="16130" width="11.625" style="2955" bestFit="1" customWidth="1"/>
    <col min="16131" max="16131" width="10.625" style="2955" customWidth="1"/>
    <col min="16132" max="16132" width="11.75" style="2955" customWidth="1"/>
    <col min="16133" max="16133" width="19.5" style="2955" customWidth="1"/>
    <col min="16134" max="16134" width="23.375" style="2955" customWidth="1"/>
    <col min="16135" max="16384" width="9" style="2955"/>
  </cols>
  <sheetData>
    <row r="1" spans="1:7" ht="30" customHeight="1">
      <c r="A1" s="3062" t="s">
        <v>3157</v>
      </c>
      <c r="B1" s="3062"/>
      <c r="C1" s="3063"/>
      <c r="D1" s="3064"/>
      <c r="E1" s="3064"/>
      <c r="F1" s="3064"/>
      <c r="G1" s="2954"/>
    </row>
    <row r="2" spans="1:7" s="2959" customFormat="1" ht="21" customHeight="1">
      <c r="A2" s="2956" t="s">
        <v>3044</v>
      </c>
      <c r="B2" s="2956" t="s">
        <v>3158</v>
      </c>
      <c r="C2" s="2957" t="s">
        <v>3045</v>
      </c>
      <c r="D2" s="2958" t="s">
        <v>3046</v>
      </c>
      <c r="E2" s="2958" t="s">
        <v>3047</v>
      </c>
      <c r="F2" s="2958" t="s">
        <v>3159</v>
      </c>
    </row>
    <row r="3" spans="1:7" ht="18" customHeight="1">
      <c r="A3" s="2956">
        <v>1</v>
      </c>
      <c r="B3" s="2956" t="s">
        <v>3160</v>
      </c>
      <c r="C3" s="2957" t="s">
        <v>3161</v>
      </c>
      <c r="D3" s="2958" t="s">
        <v>3162</v>
      </c>
      <c r="E3" s="2956">
        <v>459.74</v>
      </c>
      <c r="F3" s="2956">
        <v>444.11</v>
      </c>
      <c r="G3" s="2961"/>
    </row>
    <row r="4" spans="1:7" ht="20.100000000000001" customHeight="1">
      <c r="A4" s="2956">
        <v>2</v>
      </c>
      <c r="B4" s="2956" t="s">
        <v>3163</v>
      </c>
      <c r="C4" s="2957" t="s">
        <v>3164</v>
      </c>
      <c r="D4" s="2958" t="s">
        <v>3162</v>
      </c>
      <c r="E4" s="2956">
        <v>131.19999999999999</v>
      </c>
      <c r="F4" s="2956">
        <v>127.2</v>
      </c>
      <c r="G4" s="2961"/>
    </row>
    <row r="5" spans="1:7" ht="20.100000000000001" customHeight="1">
      <c r="A5" s="2956">
        <v>3</v>
      </c>
      <c r="B5" s="2956" t="s">
        <v>3163</v>
      </c>
      <c r="C5" s="2957" t="s">
        <v>3165</v>
      </c>
      <c r="D5" s="2958" t="s">
        <v>3162</v>
      </c>
      <c r="E5" s="2956">
        <v>190.46</v>
      </c>
      <c r="F5" s="2956">
        <v>184.65</v>
      </c>
      <c r="G5" s="2961"/>
    </row>
    <row r="6" spans="1:7" ht="20.100000000000001" customHeight="1">
      <c r="A6" s="2956">
        <v>4</v>
      </c>
      <c r="B6" s="2956" t="s">
        <v>3166</v>
      </c>
      <c r="C6" s="2957" t="s">
        <v>3167</v>
      </c>
      <c r="D6" s="2958" t="s">
        <v>3162</v>
      </c>
      <c r="E6" s="2956">
        <v>159.21</v>
      </c>
      <c r="F6" s="2956">
        <v>153.9</v>
      </c>
      <c r="G6" s="2961"/>
    </row>
    <row r="7" spans="1:7" ht="20.100000000000001" customHeight="1">
      <c r="A7" s="2956">
        <v>5</v>
      </c>
      <c r="B7" s="2956" t="s">
        <v>3168</v>
      </c>
      <c r="C7" s="2957" t="s">
        <v>3169</v>
      </c>
      <c r="D7" s="2958" t="s">
        <v>3162</v>
      </c>
      <c r="E7" s="2956">
        <v>131.19999999999999</v>
      </c>
      <c r="F7" s="2956">
        <v>127.2</v>
      </c>
      <c r="G7" s="2961"/>
    </row>
    <row r="8" spans="1:7" ht="20.100000000000001" customHeight="1">
      <c r="A8" s="2956">
        <v>6</v>
      </c>
      <c r="B8" s="2956" t="s">
        <v>3170</v>
      </c>
      <c r="C8" s="2957" t="s">
        <v>3171</v>
      </c>
      <c r="D8" s="2958" t="s">
        <v>3162</v>
      </c>
      <c r="E8" s="2956">
        <v>134.77000000000001</v>
      </c>
      <c r="F8" s="2956">
        <v>130.65</v>
      </c>
      <c r="G8" s="2961"/>
    </row>
    <row r="9" spans="1:7" ht="20.100000000000001" customHeight="1">
      <c r="A9" s="2956">
        <v>7</v>
      </c>
      <c r="B9" s="2956" t="s">
        <v>3160</v>
      </c>
      <c r="C9" s="2957" t="s">
        <v>3172</v>
      </c>
      <c r="D9" s="2958" t="s">
        <v>3173</v>
      </c>
      <c r="E9" s="2956">
        <v>155.5</v>
      </c>
      <c r="F9" s="2956">
        <v>150.21</v>
      </c>
      <c r="G9" s="2961"/>
    </row>
    <row r="10" spans="1:7" ht="20.100000000000001" customHeight="1">
      <c r="A10" s="2956">
        <v>8</v>
      </c>
      <c r="B10" s="2956" t="s">
        <v>3174</v>
      </c>
      <c r="C10" s="2957" t="s">
        <v>3175</v>
      </c>
      <c r="D10" s="2958" t="s">
        <v>3162</v>
      </c>
      <c r="E10" s="2956">
        <v>222.8</v>
      </c>
      <c r="F10" s="2956">
        <v>216</v>
      </c>
      <c r="G10" s="2961"/>
    </row>
    <row r="11" spans="1:7" ht="20.100000000000001" customHeight="1">
      <c r="A11" s="2956">
        <v>9</v>
      </c>
      <c r="B11" s="2956" t="s">
        <v>3176</v>
      </c>
      <c r="C11" s="2957" t="s">
        <v>3161</v>
      </c>
      <c r="D11" s="2958" t="s">
        <v>3162</v>
      </c>
      <c r="E11" s="2956">
        <v>496.96</v>
      </c>
      <c r="F11" s="2956">
        <v>477.46</v>
      </c>
      <c r="G11" s="2961"/>
    </row>
    <row r="12" spans="1:7" ht="20.100000000000001" customHeight="1">
      <c r="A12" s="2956">
        <v>10</v>
      </c>
      <c r="B12" s="2956" t="s">
        <v>3163</v>
      </c>
      <c r="C12" s="2957" t="s">
        <v>3177</v>
      </c>
      <c r="D12" s="2958" t="s">
        <v>3162</v>
      </c>
      <c r="E12" s="2956">
        <v>134.77000000000001</v>
      </c>
      <c r="F12" s="2956">
        <v>130.65</v>
      </c>
      <c r="G12" s="2961"/>
    </row>
    <row r="13" spans="1:7" ht="20.100000000000001" customHeight="1">
      <c r="A13" s="2956">
        <v>11</v>
      </c>
      <c r="B13" s="2956" t="s">
        <v>3166</v>
      </c>
      <c r="C13" s="2957" t="s">
        <v>3164</v>
      </c>
      <c r="D13" s="2958" t="s">
        <v>3162</v>
      </c>
      <c r="E13" s="2956">
        <v>185.27</v>
      </c>
      <c r="F13" s="2956">
        <v>179.1</v>
      </c>
      <c r="G13" s="2961"/>
    </row>
    <row r="14" spans="1:7" ht="20.100000000000001" customHeight="1">
      <c r="A14" s="2956">
        <v>12</v>
      </c>
      <c r="B14" s="2956" t="s">
        <v>3166</v>
      </c>
      <c r="C14" s="2957" t="s">
        <v>3178</v>
      </c>
      <c r="D14" s="2958" t="s">
        <v>3162</v>
      </c>
      <c r="E14" s="2956">
        <v>185.27</v>
      </c>
      <c r="F14" s="2956">
        <v>179.1</v>
      </c>
      <c r="G14" s="2961"/>
    </row>
    <row r="15" spans="1:7" ht="20.100000000000001" customHeight="1">
      <c r="A15" s="2956">
        <v>13</v>
      </c>
      <c r="B15" s="2956" t="s">
        <v>3166</v>
      </c>
      <c r="C15" s="2957" t="s">
        <v>3165</v>
      </c>
      <c r="D15" s="2958" t="s">
        <v>3162</v>
      </c>
      <c r="E15" s="2956">
        <v>114.21</v>
      </c>
      <c r="F15" s="2956">
        <v>110.4</v>
      </c>
      <c r="G15" s="2961"/>
    </row>
    <row r="16" spans="1:7" ht="20.100000000000001" customHeight="1">
      <c r="A16" s="2956">
        <v>14</v>
      </c>
      <c r="B16" s="2956" t="s">
        <v>3170</v>
      </c>
      <c r="C16" s="2957" t="s">
        <v>3175</v>
      </c>
      <c r="D16" s="2958" t="s">
        <v>3162</v>
      </c>
      <c r="E16" s="2956">
        <v>222.8</v>
      </c>
      <c r="F16" s="2956">
        <v>216</v>
      </c>
      <c r="G16" s="2961"/>
    </row>
    <row r="17" spans="1:7" ht="20.100000000000001" customHeight="1">
      <c r="A17" s="2956">
        <v>15</v>
      </c>
      <c r="B17" s="2956" t="s">
        <v>3166</v>
      </c>
      <c r="C17" s="2957" t="s">
        <v>3179</v>
      </c>
      <c r="D17" s="2958" t="s">
        <v>3162</v>
      </c>
      <c r="E17" s="2956">
        <v>130.34</v>
      </c>
      <c r="F17" s="2956">
        <v>126</v>
      </c>
      <c r="G17" s="2961"/>
    </row>
    <row r="18" spans="1:7" ht="20.100000000000001" customHeight="1">
      <c r="A18" s="2956">
        <v>16</v>
      </c>
      <c r="B18" s="2956" t="s">
        <v>3166</v>
      </c>
      <c r="C18" s="2957" t="s">
        <v>3180</v>
      </c>
      <c r="D18" s="2958" t="s">
        <v>3162</v>
      </c>
      <c r="E18" s="2956">
        <v>116.07</v>
      </c>
      <c r="F18" s="2956">
        <v>112.2</v>
      </c>
      <c r="G18" s="2961"/>
    </row>
    <row r="19" spans="1:7" ht="20.100000000000001" customHeight="1">
      <c r="A19" s="2956">
        <v>17</v>
      </c>
      <c r="B19" s="2956" t="s">
        <v>3163</v>
      </c>
      <c r="C19" s="2957" t="s">
        <v>3181</v>
      </c>
      <c r="D19" s="2958" t="s">
        <v>3162</v>
      </c>
      <c r="E19" s="2956">
        <v>134.77000000000001</v>
      </c>
      <c r="F19" s="2956">
        <v>130.65</v>
      </c>
      <c r="G19" s="2961"/>
    </row>
    <row r="20" spans="1:7" ht="20.100000000000001" customHeight="1">
      <c r="A20" s="2956">
        <v>18</v>
      </c>
      <c r="B20" s="2956" t="s">
        <v>3166</v>
      </c>
      <c r="C20" s="2957" t="s">
        <v>3175</v>
      </c>
      <c r="D20" s="2958" t="s">
        <v>3162</v>
      </c>
      <c r="E20" s="2956">
        <v>138.41</v>
      </c>
      <c r="F20" s="2956">
        <v>133.80000000000001</v>
      </c>
      <c r="G20" s="2961"/>
    </row>
    <row r="21" spans="1:7" ht="20.100000000000001" customHeight="1">
      <c r="A21" s="2956">
        <v>19</v>
      </c>
      <c r="B21" s="2956" t="s">
        <v>3170</v>
      </c>
      <c r="C21" s="2957" t="s">
        <v>3165</v>
      </c>
      <c r="D21" s="2958" t="s">
        <v>3162</v>
      </c>
      <c r="E21" s="2956">
        <v>190.46</v>
      </c>
      <c r="F21" s="2956">
        <v>184.65</v>
      </c>
      <c r="G21" s="2961"/>
    </row>
    <row r="22" spans="1:7" ht="24" customHeight="1">
      <c r="A22" s="2956"/>
      <c r="B22" s="2956"/>
      <c r="C22" s="2970"/>
      <c r="D22" s="2971"/>
      <c r="E22" s="2962">
        <f>SUM(E3:E21)</f>
        <v>3634.2100000000005</v>
      </c>
      <c r="F22" s="2962"/>
    </row>
    <row r="23" spans="1:7" ht="20.100000000000001" customHeight="1">
      <c r="E23" s="2955">
        <f>E22+'面积表-1'!E8</f>
        <v>28616.400000000001</v>
      </c>
    </row>
    <row r="24" spans="1:7" ht="20.100000000000001" customHeight="1"/>
    <row r="25" spans="1:7" ht="20.100000000000001" customHeight="1"/>
    <row r="26" spans="1:7" ht="20.100000000000001" customHeight="1"/>
    <row r="27" spans="1:7" ht="20.100000000000001" customHeight="1"/>
    <row r="28" spans="1:7" ht="20.100000000000001" customHeight="1"/>
    <row r="29" spans="1:7" ht="20.100000000000001" customHeight="1"/>
  </sheetData>
  <mergeCells count="1">
    <mergeCell ref="A1:F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9" sqref="E2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89"/>
      <c r="C1" s="1389"/>
      <c r="D1" s="1389"/>
      <c r="E1" s="1389"/>
      <c r="F1" s="1389"/>
      <c r="G1" s="1389"/>
      <c r="H1" s="1389"/>
      <c r="I1" s="1389"/>
      <c r="J1" s="1389"/>
      <c r="K1" s="1389"/>
      <c r="L1" s="1389"/>
      <c r="M1" s="1389"/>
      <c r="N1" s="1389"/>
      <c r="O1" s="1389"/>
      <c r="P1" s="1389"/>
    </row>
    <row r="2" spans="1:16" ht="15">
      <c r="A2" s="3074" t="s">
        <v>1938</v>
      </c>
      <c r="B2" s="3074"/>
      <c r="C2" s="3074"/>
      <c r="D2" s="965" t="s">
        <v>1914</v>
      </c>
      <c r="E2" s="2221" t="s">
        <v>1915</v>
      </c>
      <c r="F2" s="1389"/>
      <c r="G2" s="2222"/>
      <c r="H2" s="2223"/>
      <c r="I2" s="2224" t="s">
        <v>1939</v>
      </c>
      <c r="J2" s="1389"/>
      <c r="K2" s="1389"/>
      <c r="L2" s="1389"/>
      <c r="M2" s="1389"/>
      <c r="N2" s="1424"/>
      <c r="O2" s="1389"/>
      <c r="P2" s="1389"/>
    </row>
    <row r="3" spans="1:16" ht="15.75" thickBot="1">
      <c r="A3" s="3075" t="s">
        <v>1912</v>
      </c>
      <c r="B3" s="3075"/>
      <c r="C3" s="3075"/>
      <c r="D3" s="46">
        <f>'数据-基础表'!AY6</f>
        <v>0</v>
      </c>
      <c r="E3" s="46">
        <f>'数据-基础表'!AZ5</f>
        <v>7918.4</v>
      </c>
      <c r="F3" s="1389"/>
      <c r="G3" s="1396"/>
      <c r="H3" s="1244" t="s">
        <v>1913</v>
      </c>
      <c r="I3" s="55" t="e">
        <f>ROUND('数据-基础表'!B3/'数据-基础表'!A3,2)</f>
        <v>#DIV/0!</v>
      </c>
      <c r="J3" s="1389"/>
      <c r="K3" s="1389"/>
      <c r="L3" s="1389"/>
      <c r="M3" s="1389"/>
      <c r="N3" s="1424"/>
      <c r="O3" s="1389"/>
      <c r="P3" s="1389"/>
    </row>
    <row r="4" spans="1:16" ht="15">
      <c r="A4" s="3076"/>
      <c r="B4" s="3077"/>
      <c r="C4" s="3078"/>
      <c r="D4" s="2225" t="s">
        <v>1914</v>
      </c>
      <c r="E4" s="2226" t="s">
        <v>1915</v>
      </c>
      <c r="F4" s="1389"/>
      <c r="G4" s="2227" t="s">
        <v>1940</v>
      </c>
      <c r="H4" s="1244" t="s">
        <v>1920</v>
      </c>
      <c r="I4" s="55" t="e">
        <f>ROUND(SUMIF('数据-基础表'!I9:AS9,"地上",'数据-基础表'!I5:AS5)/'数据-基础表'!A3,2)</f>
        <v>#DIV/0!</v>
      </c>
      <c r="J4" s="1389"/>
      <c r="K4" s="1389"/>
      <c r="L4" s="1389"/>
      <c r="M4" s="1389"/>
      <c r="N4" s="1424"/>
      <c r="O4" s="1389"/>
      <c r="P4" s="1389"/>
    </row>
    <row r="5" spans="1:16">
      <c r="A5" s="47" t="s">
        <v>1916</v>
      </c>
      <c r="B5" s="3079" t="s">
        <v>1917</v>
      </c>
      <c r="C5" s="3079"/>
      <c r="D5" s="48">
        <f>ROUND($D$3*E5/$E$3,2)</f>
        <v>0</v>
      </c>
      <c r="E5" s="49">
        <f>SUMIF('数据-基础表'!$11:$11,"住宅",'数据-基础表'!$5:$5)</f>
        <v>0</v>
      </c>
      <c r="F5" s="1389"/>
      <c r="G5" s="1396"/>
      <c r="H5" s="1244" t="s">
        <v>1913</v>
      </c>
      <c r="I5" s="55" t="e">
        <f>ROUND(E31/D31,2)</f>
        <v>#DIV/0!</v>
      </c>
      <c r="J5" s="1389"/>
      <c r="K5" s="1389"/>
      <c r="L5" s="1389"/>
      <c r="M5" s="1389"/>
      <c r="N5" s="1389"/>
      <c r="O5" s="1389"/>
      <c r="P5" s="1389"/>
    </row>
    <row r="6" spans="1:16" ht="15" thickBot="1">
      <c r="A6" s="2228"/>
      <c r="B6" s="3079" t="s">
        <v>1918</v>
      </c>
      <c r="C6" s="3079"/>
      <c r="D6" s="48">
        <f>ROUND($D$3*E6/$E$3,2)</f>
        <v>0</v>
      </c>
      <c r="E6" s="49">
        <f>E3-E5</f>
        <v>7918.4</v>
      </c>
      <c r="F6" s="1389"/>
      <c r="G6" s="2229" t="s">
        <v>1919</v>
      </c>
      <c r="H6" s="1396" t="s">
        <v>1920</v>
      </c>
      <c r="I6" s="937" t="e">
        <f>ROUND(F31/D31,2)</f>
        <v>#DIV/0!</v>
      </c>
      <c r="J6" s="1389"/>
      <c r="K6" s="1389"/>
      <c r="L6" s="1389"/>
      <c r="M6" s="1389"/>
      <c r="N6" s="1389"/>
      <c r="O6" s="1389"/>
      <c r="P6" s="1389"/>
    </row>
    <row r="7" spans="1:16" ht="15">
      <c r="A7" s="3071"/>
      <c r="B7" s="3072"/>
      <c r="C7" s="3073"/>
      <c r="D7" s="2225" t="s">
        <v>1914</v>
      </c>
      <c r="E7" s="2230" t="s">
        <v>1921</v>
      </c>
      <c r="F7" s="1389"/>
      <c r="G7" s="2222" t="s">
        <v>1922</v>
      </c>
      <c r="H7" s="64"/>
      <c r="I7" s="419"/>
      <c r="J7" s="1389"/>
      <c r="K7" s="1389"/>
      <c r="L7" s="1389"/>
      <c r="M7" s="1389"/>
      <c r="N7" s="1389"/>
      <c r="O7" s="1389"/>
      <c r="P7" s="1389"/>
    </row>
    <row r="8" spans="1:16">
      <c r="A8" s="47" t="s">
        <v>1923</v>
      </c>
      <c r="B8" s="50" t="s">
        <v>1924</v>
      </c>
      <c r="C8" s="48" t="s">
        <v>1925</v>
      </c>
      <c r="D8" s="48">
        <f t="shared" ref="D8:D15" si="0">ROUND($D$3*E8/$E$3,2)</f>
        <v>0</v>
      </c>
      <c r="E8" s="51">
        <f>SUMIF('数据-基础表'!BB10:BK10,"地上",'数据-基础表'!BB5:BK5)</f>
        <v>7918.4</v>
      </c>
      <c r="F8" s="1389"/>
      <c r="G8" s="2231"/>
      <c r="H8" s="2231"/>
      <c r="I8" s="1389"/>
      <c r="J8" s="1389"/>
      <c r="K8" s="1389"/>
      <c r="L8" s="1389"/>
      <c r="M8" s="1389"/>
      <c r="N8" s="1389"/>
      <c r="O8" s="1389"/>
      <c r="P8" s="1389"/>
    </row>
    <row r="9" spans="1:16">
      <c r="A9" s="2232"/>
      <c r="B9" s="2233"/>
      <c r="C9" s="48" t="s">
        <v>1926</v>
      </c>
      <c r="D9" s="48">
        <f t="shared" si="0"/>
        <v>0</v>
      </c>
      <c r="E9" s="52">
        <v>0</v>
      </c>
      <c r="F9" s="1389"/>
      <c r="G9" s="2231"/>
      <c r="H9" s="2231"/>
      <c r="I9" s="1389"/>
      <c r="J9" s="1389"/>
      <c r="K9" s="1389"/>
      <c r="L9" s="1389"/>
      <c r="M9" s="1389"/>
      <c r="N9" s="1389"/>
      <c r="O9" s="1389"/>
      <c r="P9" s="1389"/>
    </row>
    <row r="10" spans="1:16">
      <c r="A10" s="2232"/>
      <c r="B10" s="2233"/>
      <c r="C10" s="48" t="s">
        <v>1935</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1927</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1928</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1929</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1941</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1936</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1930</v>
      </c>
      <c r="D16" s="50">
        <f>SUM(D8:D15)</f>
        <v>0</v>
      </c>
      <c r="E16" s="53">
        <f>SUM(E8:E15)</f>
        <v>7918.4</v>
      </c>
      <c r="F16" s="1389"/>
      <c r="G16" s="2231"/>
      <c r="H16" s="2234" t="s">
        <v>1942</v>
      </c>
      <c r="I16" s="2235"/>
      <c r="J16" s="1389"/>
      <c r="K16" s="3068" t="s">
        <v>1942</v>
      </c>
      <c r="L16" s="3069"/>
      <c r="M16" s="3069"/>
      <c r="N16" s="3069"/>
      <c r="O16" s="3069"/>
      <c r="P16" s="3070"/>
    </row>
    <row r="17" spans="1:19" ht="15">
      <c r="A17" s="2236" t="s">
        <v>1943</v>
      </c>
      <c r="B17" s="2237" t="s">
        <v>1944</v>
      </c>
      <c r="C17" s="2238" t="s">
        <v>1945</v>
      </c>
      <c r="D17" s="2239" t="s">
        <v>1933</v>
      </c>
      <c r="E17" s="2240" t="s">
        <v>1934</v>
      </c>
      <c r="F17" s="2241"/>
      <c r="G17" s="2242"/>
      <c r="H17" s="2243" t="s">
        <v>1946</v>
      </c>
      <c r="I17" s="2244" t="s">
        <v>1931</v>
      </c>
      <c r="J17" s="1389"/>
      <c r="K17" s="3065" t="s">
        <v>1947</v>
      </c>
      <c r="L17" s="3066"/>
      <c r="M17" s="3067"/>
      <c r="N17" s="3065" t="s">
        <v>1948</v>
      </c>
      <c r="O17" s="3066"/>
      <c r="P17" s="3067"/>
      <c r="R17" s="2222" t="s">
        <v>1949</v>
      </c>
      <c r="S17" s="64"/>
    </row>
    <row r="18" spans="1:19" ht="15">
      <c r="A18" s="2232"/>
      <c r="B18" s="2245"/>
      <c r="C18" s="2246"/>
      <c r="D18" s="2247"/>
      <c r="E18" s="2248" t="s">
        <v>1950</v>
      </c>
      <c r="F18" s="2249" t="s">
        <v>1951</v>
      </c>
      <c r="G18" s="2250" t="s">
        <v>1952</v>
      </c>
      <c r="H18" s="1259" t="s">
        <v>1953</v>
      </c>
      <c r="I18" s="2251" t="s">
        <v>1954</v>
      </c>
      <c r="J18" s="1389"/>
      <c r="K18" s="1259" t="s">
        <v>1955</v>
      </c>
      <c r="L18" s="2252" t="s">
        <v>1956</v>
      </c>
      <c r="M18" s="1044" t="s">
        <v>1957</v>
      </c>
      <c r="N18" s="1259" t="s">
        <v>1955</v>
      </c>
      <c r="O18" s="2252" t="s">
        <v>1956</v>
      </c>
      <c r="P18" s="1044" t="s">
        <v>1957</v>
      </c>
      <c r="R18" s="1244" t="s">
        <v>1958</v>
      </c>
      <c r="S18" s="1244" t="s">
        <v>1959</v>
      </c>
    </row>
    <row r="19" spans="1:19">
      <c r="A19" s="2253"/>
      <c r="B19" s="50" t="s">
        <v>1932</v>
      </c>
      <c r="C19" s="2254" t="str">
        <f>'数据-基础表'!C13</f>
        <v>凤仪苑18幢</v>
      </c>
      <c r="D19" s="48">
        <f>ROUND($D$3*E19/$E$3,2)</f>
        <v>0</v>
      </c>
      <c r="E19" s="56">
        <f t="shared" ref="E19:E26" si="1">SUM(F19:G19)</f>
        <v>7918.4</v>
      </c>
      <c r="F19" s="57">
        <f>'数据-基础表'!I13</f>
        <v>7918.4</v>
      </c>
      <c r="G19" s="58"/>
      <c r="H19" s="718">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0</v>
      </c>
      <c r="S19" s="1245">
        <f t="shared" si="5"/>
        <v>7918.4</v>
      </c>
    </row>
    <row r="20" spans="1:19">
      <c r="A20" s="2257"/>
      <c r="B20" s="50" t="s">
        <v>1960</v>
      </c>
      <c r="C20" s="2254"/>
      <c r="D20" s="48">
        <f t="shared" ref="D20:D26" si="6">ROUND($D$3*E20/$E$3,2)</f>
        <v>0</v>
      </c>
      <c r="E20" s="56">
        <f t="shared" si="1"/>
        <v>0</v>
      </c>
      <c r="F20" s="57"/>
      <c r="G20" s="58"/>
      <c r="H20" s="718">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1960</v>
      </c>
      <c r="C21" s="2254"/>
      <c r="D21" s="48">
        <f t="shared" si="6"/>
        <v>0</v>
      </c>
      <c r="E21" s="56">
        <f t="shared" si="1"/>
        <v>0</v>
      </c>
      <c r="F21" s="57"/>
      <c r="G21" s="58"/>
      <c r="H21" s="718">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1960</v>
      </c>
      <c r="C22" s="60"/>
      <c r="D22" s="48">
        <f t="shared" si="6"/>
        <v>0</v>
      </c>
      <c r="E22" s="56">
        <f t="shared" si="1"/>
        <v>0</v>
      </c>
      <c r="F22" s="61"/>
      <c r="G22" s="62"/>
      <c r="H22" s="718">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1960</v>
      </c>
      <c r="C23" s="60"/>
      <c r="D23" s="48">
        <f>ROUND($D$3*E23/$E$3,2)</f>
        <v>0</v>
      </c>
      <c r="E23" s="56">
        <f>SUM(F23:G23)</f>
        <v>0</v>
      </c>
      <c r="F23" s="61"/>
      <c r="G23" s="62"/>
      <c r="H23" s="718">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1960</v>
      </c>
      <c r="C24" s="60"/>
      <c r="D24" s="48">
        <f>ROUND($D$3*E24/$E$3,2)</f>
        <v>0</v>
      </c>
      <c r="E24" s="56">
        <f>SUM(F24:G24)</f>
        <v>0</v>
      </c>
      <c r="F24" s="61"/>
      <c r="G24" s="62"/>
      <c r="H24" s="718">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1960</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1960</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1961</v>
      </c>
      <c r="D27" s="1390">
        <f>SUM(D19:D26)</f>
        <v>0</v>
      </c>
      <c r="E27" s="1391">
        <f>IF(SUM(E19:E26)='数据-基础表'!BA5,SUM(E19:E26),IF(F27="地上面积有误","面积有误","地下面积有误"))</f>
        <v>7918.4</v>
      </c>
      <c r="F27" s="1390">
        <f>IF(SUM(F19:F26)=E8,SUM(F19:F26),"地上面积有误")</f>
        <v>7918.4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7918.4</v>
      </c>
    </row>
    <row r="28" spans="1:19">
      <c r="A28" s="2257"/>
      <c r="B28" s="50" t="s">
        <v>1962</v>
      </c>
      <c r="C28" s="1256" t="s">
        <v>1963</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1962</v>
      </c>
      <c r="C29" s="2261" t="s">
        <v>1964</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1961</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5" t="s">
        <v>1965</v>
      </c>
      <c r="D31" s="724">
        <f>D27+D30</f>
        <v>0</v>
      </c>
      <c r="E31" s="724">
        <f>E27+E30</f>
        <v>7918.4</v>
      </c>
      <c r="F31" s="725">
        <f>F27+F30</f>
        <v>7918.4</v>
      </c>
      <c r="G31" s="726">
        <f>G27+G30</f>
        <v>0</v>
      </c>
      <c r="H31" s="1389"/>
      <c r="I31" s="1389"/>
      <c r="J31" s="1389"/>
      <c r="K31" s="1389"/>
      <c r="L31" s="1389"/>
      <c r="M31" s="1389"/>
      <c r="N31" s="1389"/>
      <c r="O31" s="1389"/>
      <c r="P31" s="1389"/>
    </row>
    <row r="32" spans="1:19">
      <c r="A32" s="2227"/>
      <c r="B32" s="2227" t="s">
        <v>1966</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5" width="6.75" style="2269" customWidth="1"/>
    <col min="26" max="30" width="6.75" style="2269" hidden="1"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27"/>
      <c r="C1" s="1578"/>
      <c r="D1" s="2267"/>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0" t="s">
        <v>1968</v>
      </c>
      <c r="B2" s="1263">
        <f>项目基本情况!D3</f>
        <v>43346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8" t="s">
        <v>1973</v>
      </c>
      <c r="AA4" s="2238"/>
      <c r="AB4" s="2238"/>
      <c r="AC4" s="2238"/>
      <c r="AD4" s="2238"/>
      <c r="AE4" s="2236" t="s">
        <v>1974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1975</v>
      </c>
      <c r="B5" s="2284" t="s">
        <v>1976</v>
      </c>
      <c r="C5" s="2285" t="s">
        <v>1977</v>
      </c>
      <c r="D5" s="2286" t="s">
        <v>1978</v>
      </c>
      <c r="E5" s="1265" t="s">
        <v>1979</v>
      </c>
      <c r="F5" s="2287" t="s">
        <v>1980</v>
      </c>
      <c r="G5" s="1265" t="s">
        <v>1981</v>
      </c>
      <c r="H5" s="1265" t="s">
        <v>1982</v>
      </c>
      <c r="I5" s="1265" t="s">
        <v>1983</v>
      </c>
      <c r="J5" s="2288" t="s">
        <v>1984</v>
      </c>
      <c r="K5" s="2289" t="s">
        <v>1985</v>
      </c>
      <c r="L5" s="2290" t="s">
        <v>1986</v>
      </c>
      <c r="M5" s="2291" t="s">
        <v>1987</v>
      </c>
      <c r="N5" s="2292" t="s">
        <v>3050</v>
      </c>
      <c r="O5" s="2290" t="s">
        <v>1988</v>
      </c>
      <c r="P5" s="2293" t="s">
        <v>1989</v>
      </c>
      <c r="Q5" s="69" t="s">
        <v>1990</v>
      </c>
      <c r="R5" s="2294" t="s">
        <v>1991</v>
      </c>
      <c r="S5" s="2295" t="s">
        <v>1992</v>
      </c>
      <c r="T5" s="2296" t="s">
        <v>1993</v>
      </c>
      <c r="U5" s="1264" t="s">
        <v>1994</v>
      </c>
      <c r="V5" s="1265" t="s">
        <v>1995</v>
      </c>
      <c r="W5" s="1265" t="s">
        <v>1996</v>
      </c>
      <c r="X5" s="71"/>
      <c r="Y5" s="70" t="s">
        <v>1997</v>
      </c>
      <c r="Z5" s="2297" t="s">
        <v>1994</v>
      </c>
      <c r="AA5" s="1265" t="s">
        <v>1995</v>
      </c>
      <c r="AB5" s="1265" t="s">
        <v>1996</v>
      </c>
      <c r="AC5" s="71"/>
      <c r="AD5" s="71" t="s">
        <v>1997</v>
      </c>
      <c r="AE5" s="1264" t="s">
        <v>1998</v>
      </c>
      <c r="AF5" s="1265" t="s">
        <v>1999</v>
      </c>
      <c r="AG5" s="70" t="s">
        <v>2000</v>
      </c>
      <c r="AH5" s="1264" t="s">
        <v>2001</v>
      </c>
      <c r="AI5" s="2297" t="s">
        <v>2002</v>
      </c>
      <c r="AJ5" s="2297" t="s">
        <v>2003</v>
      </c>
      <c r="AK5" s="1265" t="s">
        <v>2004</v>
      </c>
      <c r="AL5" s="1265" t="s">
        <v>2005</v>
      </c>
      <c r="AM5" s="70" t="s">
        <v>2006</v>
      </c>
      <c r="AN5" s="2298" t="s">
        <v>2007</v>
      </c>
      <c r="AO5" s="2068" t="s">
        <v>2008</v>
      </c>
      <c r="AP5" s="1246" t="s">
        <v>2009</v>
      </c>
      <c r="AQ5" s="2299" t="s">
        <v>2010</v>
      </c>
      <c r="AR5" s="2299"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凤仪苑18幢</v>
      </c>
      <c r="B6" s="2301" t="str">
        <f>IF(A6=0,"","经营性")</f>
        <v>经营性</v>
      </c>
      <c r="C6" s="2302" t="s">
        <v>1377</v>
      </c>
      <c r="D6" s="1049">
        <f>SUMIF(项目基本情况!D$12:I$12,C6,项目基本情况!D$14:I$14)</f>
        <v>40</v>
      </c>
      <c r="E6" s="1046">
        <f>IF(B6="","",SUMIF(项目基本情况!D$12:I$12,C6,项目基本情况!D$13:I$13))</f>
        <v>53977</v>
      </c>
      <c r="F6" s="72">
        <f>SUMIF(项目基本情况!D$12:I$12,C6,项目基本情况!D$15:I$15)</f>
        <v>29.12</v>
      </c>
      <c r="G6" s="73">
        <f>IF(ISERROR(ROUND(POWER(1+H6,D6-F6)*(POWER(1+H6,F6)-1)/(POWER(1+H6,D6)-1),3)),0,ROUND(POWER(1+H6,D6-F6)*(POWER(1+H6,F6)-1)/(POWER(1+H6,D6)-1),3))</f>
        <v>0.872</v>
      </c>
      <c r="H6" s="797">
        <v>4.4999999999999998E-2</v>
      </c>
      <c r="I6" s="797">
        <v>0.05</v>
      </c>
      <c r="J6" s="74">
        <v>8.5000000000000006E-2</v>
      </c>
      <c r="K6" s="1248">
        <f>SUMIF('数据-汇总表'!C$19:C$33,A6,'数据-汇总表'!E$19:E$33)</f>
        <v>7918.4</v>
      </c>
      <c r="L6" s="798">
        <v>2500</v>
      </c>
      <c r="M6" s="75">
        <f t="shared" ref="M6:M14" si="0">ROUND(K6*L6/10000,0)</f>
        <v>1980</v>
      </c>
      <c r="N6" s="2968">
        <v>0.9</v>
      </c>
      <c r="O6" s="75" t="str">
        <f>IF($N$5="成新度","——",ROUND(M6*N6,0))</f>
        <v>——</v>
      </c>
      <c r="P6" s="76" t="str">
        <f>IF($N$5="成新度","——",M6-O6)</f>
        <v>——</v>
      </c>
      <c r="Q6" s="799">
        <v>0.1</v>
      </c>
      <c r="R6" s="77">
        <f ca="1">SUMIF('数据-汇总表'!C$19:C$33,A6,'数据-汇总表'!R$19:R$27)</f>
        <v>0</v>
      </c>
      <c r="S6" s="54">
        <f>IF('数据-汇总表'!$I$17="按面积比例",SUMIF('数据-汇总表'!C$19:C$33,A6,'数据-汇总表'!K$19:K$33),SUMIF('数据-汇总表'!C$19:C$33,A6,'数据-汇总表'!N$19:N$33))</f>
        <v>0</v>
      </c>
      <c r="T6" s="1440">
        <f>ROUND($L$14*S6/10000,0)</f>
        <v>0</v>
      </c>
      <c r="U6" s="2969">
        <v>1.7</v>
      </c>
      <c r="V6" s="2966">
        <v>3.5000000000000003E-2</v>
      </c>
      <c r="W6" s="79">
        <v>0.1</v>
      </c>
      <c r="X6" s="1258"/>
      <c r="Y6" s="80">
        <f>N6</f>
        <v>0.9</v>
      </c>
      <c r="Z6" s="81"/>
      <c r="AA6" s="74"/>
      <c r="AB6" s="74"/>
      <c r="AC6" s="1258"/>
      <c r="AD6" s="82"/>
      <c r="AE6" s="1259">
        <f ca="1">IF(AN6="",0,SUMIF(INDIRECT("'"&amp;AN6&amp;"'"&amp;"!E:E"),$AE$5,INDIRECT("'"&amp;AN6&amp;"'"&amp;"!F:F")))</f>
        <v>29.12</v>
      </c>
      <c r="AF6" s="1801"/>
      <c r="AG6" s="146">
        <f>IF(AF6="",0,AE6-AF6)</f>
        <v>0</v>
      </c>
      <c r="AH6" s="83"/>
      <c r="AI6" s="85">
        <v>365</v>
      </c>
      <c r="AJ6" s="86"/>
      <c r="AK6" s="87">
        <v>1.4999999999999999E-2</v>
      </c>
      <c r="AL6" s="88">
        <v>1.5E-3</v>
      </c>
      <c r="AM6" s="89">
        <v>0.01</v>
      </c>
      <c r="AN6" s="2303" t="s">
        <v>3067</v>
      </c>
      <c r="AO6" s="55">
        <f ca="1">SUMIF(INDIRECT("'"&amp;AN6&amp;"'"&amp;"!A:A"),"总价",INDIRECT("'"&amp;AN6&amp;"'"&amp;"!B:B"))</f>
        <v>7305</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8">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797"/>
      <c r="I8" s="797"/>
      <c r="J8" s="74"/>
      <c r="K8" s="1248">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0">
        <f t="shared" si="5"/>
        <v>0</v>
      </c>
      <c r="U8" s="800"/>
      <c r="V8" s="801"/>
      <c r="W8" s="801"/>
      <c r="X8" s="1258"/>
      <c r="Y8" s="802"/>
      <c r="Z8" s="81"/>
      <c r="AA8" s="74"/>
      <c r="AB8" s="74"/>
      <c r="AC8" s="1258"/>
      <c r="AD8" s="82"/>
      <c r="AE8" s="1259">
        <f t="shared" ca="1" si="6"/>
        <v>0</v>
      </c>
      <c r="AF8" s="1801"/>
      <c r="AG8" s="146">
        <f t="shared" si="7"/>
        <v>0</v>
      </c>
      <c r="AH8" s="803"/>
      <c r="AI8" s="85"/>
      <c r="AJ8" s="86"/>
      <c r="AK8" s="804"/>
      <c r="AL8" s="805"/>
      <c r="AM8" s="806"/>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2012</v>
      </c>
      <c r="B14" s="2301" t="s">
        <v>2013</v>
      </c>
      <c r="C14" s="2306" t="s">
        <v>2012</v>
      </c>
      <c r="D14" s="1049"/>
      <c r="E14" s="1046"/>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18"/>
      <c r="V14" s="1253"/>
      <c r="W14" s="1253"/>
      <c r="X14" s="1254"/>
      <c r="Y14" s="1255"/>
      <c r="Z14" s="1256"/>
      <c r="AA14" s="1257"/>
      <c r="AB14" s="1257"/>
      <c r="AC14" s="1258"/>
      <c r="AD14" s="1254"/>
      <c r="AE14" s="1259"/>
      <c r="AF14" s="55"/>
      <c r="AG14" s="146"/>
      <c r="AH14" s="1259"/>
      <c r="AI14" s="1812"/>
      <c r="AJ14" s="768"/>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2014</v>
      </c>
      <c r="B15" s="2301" t="s">
        <v>2013</v>
      </c>
      <c r="C15" s="2306" t="s">
        <v>2015</v>
      </c>
      <c r="D15" s="1049"/>
      <c r="E15" s="1046"/>
      <c r="F15" s="72"/>
      <c r="G15" s="73"/>
      <c r="H15" s="1247"/>
      <c r="I15" s="1247"/>
      <c r="J15" s="1247"/>
      <c r="K15" s="1248">
        <f>SUMIF('数据-汇总表'!C$19:C$33,A15,'数据-汇总表'!E$19:E$33)</f>
        <v>0</v>
      </c>
      <c r="L15" s="1249"/>
      <c r="M15" s="75"/>
      <c r="N15" s="1250"/>
      <c r="O15" s="75"/>
      <c r="P15" s="76"/>
      <c r="Q15" s="1251"/>
      <c r="R15" s="77"/>
      <c r="S15" s="54"/>
      <c r="T15" s="1440"/>
      <c r="U15" s="718"/>
      <c r="V15" s="1253"/>
      <c r="W15" s="1253"/>
      <c r="X15" s="1254"/>
      <c r="Y15" s="1255"/>
      <c r="Z15" s="1256"/>
      <c r="AA15" s="1257"/>
      <c r="AB15" s="1257"/>
      <c r="AC15" s="1258"/>
      <c r="AD15" s="1254"/>
      <c r="AE15" s="1259"/>
      <c r="AF15" s="55"/>
      <c r="AG15" s="146"/>
      <c r="AH15" s="1259"/>
      <c r="AI15" s="1812"/>
      <c r="AJ15" s="768"/>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2016</v>
      </c>
      <c r="B16" s="97"/>
      <c r="C16" s="1003"/>
      <c r="D16" s="2308"/>
      <c r="E16" s="97"/>
      <c r="F16" s="97"/>
      <c r="G16" s="98">
        <f>ROUND(SUMPRODUCT(G6:G13,K6:K13)/SUMPRODUCT((G6:G13&gt;0)*(K6:K13)),3)</f>
        <v>0.872</v>
      </c>
      <c r="H16" s="99">
        <f>ROUND(SUMPRODUCT(H6:H13,K6:K13)/SUMPRODUCT((H6:H13&gt;0)*(K6:K13)),3)</f>
        <v>4.4999999999999998E-2</v>
      </c>
      <c r="I16" s="100"/>
      <c r="J16" s="100"/>
      <c r="K16" s="101">
        <f>SUM(K6:K15)</f>
        <v>7918.4</v>
      </c>
      <c r="L16" s="102">
        <f>ROUND(M16*10000/SUM(K6:K14),0)</f>
        <v>2501</v>
      </c>
      <c r="M16" s="102">
        <f>SUM(M6:M14)</f>
        <v>1980</v>
      </c>
      <c r="N16" s="103">
        <f>ROUND(SUMPRODUCT(M6:M14,N6:N14)/M16,3)</f>
        <v>0.9</v>
      </c>
      <c r="O16" s="102">
        <f>SUM(O6:O14)</f>
        <v>0</v>
      </c>
      <c r="P16" s="102">
        <f>SUM(P6:P14)</f>
        <v>0</v>
      </c>
      <c r="Q16" s="104">
        <f>ROUND(SUMPRODUCT(Q6:Q13,K6:K13)/SUMPRODUCT((Q6:Q13&gt;0)*(K6:K13)),2)</f>
        <v>0.1</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7"/>
      <c r="C17" s="1578"/>
      <c r="D17" s="2267"/>
      <c r="E17" s="2267"/>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2017</v>
      </c>
      <c r="B18" s="2274"/>
      <c r="C18" s="2271"/>
      <c r="D18" s="2272"/>
      <c r="E18" s="2271"/>
      <c r="F18" s="2271"/>
      <c r="G18" s="2271"/>
      <c r="H18" s="2271"/>
      <c r="I18" s="2271"/>
      <c r="J18" s="2271"/>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2018</v>
      </c>
      <c r="B19" s="112">
        <v>0</v>
      </c>
      <c r="C19" s="2271" t="s">
        <v>2019</v>
      </c>
      <c r="D19" s="2272"/>
      <c r="E19" s="2271"/>
      <c r="F19" s="2271"/>
      <c r="G19" s="2271"/>
      <c r="H19" s="2271"/>
      <c r="I19" s="2271"/>
      <c r="J19" s="2271"/>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2020</v>
      </c>
      <c r="B20" s="113">
        <v>1</v>
      </c>
      <c r="C20" s="2271" t="s">
        <v>2021</v>
      </c>
      <c r="D20" s="2272"/>
      <c r="E20" s="2271"/>
      <c r="F20" s="2271"/>
      <c r="G20" s="2271"/>
      <c r="H20" s="2271"/>
      <c r="I20" s="2271"/>
      <c r="J20" s="2271"/>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2022</v>
      </c>
      <c r="B21" s="113">
        <v>1</v>
      </c>
      <c r="C21" s="2271"/>
      <c r="D21" s="2272"/>
      <c r="E21" s="2271"/>
      <c r="F21" s="2271"/>
      <c r="G21" s="2271"/>
      <c r="H21" s="2271"/>
      <c r="I21" s="2271"/>
      <c r="J21" s="2271"/>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2023</v>
      </c>
      <c r="B22" s="114">
        <f>B19+B20</f>
        <v>1</v>
      </c>
      <c r="C22" s="2271"/>
      <c r="D22" s="2272"/>
      <c r="E22" s="2271"/>
      <c r="F22" s="2271"/>
      <c r="G22" s="2271"/>
      <c r="H22" s="2271"/>
      <c r="I22" s="2271"/>
      <c r="J22" s="2271"/>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2024</v>
      </c>
      <c r="B23" s="114">
        <f>B19+B21</f>
        <v>1</v>
      </c>
      <c r="C23" s="2271"/>
      <c r="D23" s="2272"/>
      <c r="E23" s="2271"/>
      <c r="F23" s="2271"/>
      <c r="G23" s="2271"/>
      <c r="H23" s="2271"/>
      <c r="I23" s="2271"/>
      <c r="J23" s="2271"/>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2025</v>
      </c>
      <c r="B24" s="115">
        <f>B20-B21</f>
        <v>0</v>
      </c>
      <c r="C24" s="2271"/>
      <c r="D24" s="2272"/>
      <c r="E24" s="2271"/>
      <c r="F24" s="2271"/>
      <c r="G24" s="2271"/>
      <c r="H24" s="2271"/>
      <c r="I24" s="2271"/>
      <c r="J24" s="2271"/>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4"/>
      <c r="C25" s="2271"/>
      <c r="D25" s="2272"/>
      <c r="E25" s="2271"/>
      <c r="F25" s="2271"/>
      <c r="G25" s="2271"/>
      <c r="H25" s="2271"/>
      <c r="I25" s="2271"/>
      <c r="J25" s="2271"/>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2026</v>
      </c>
      <c r="B26" s="2314" t="s">
        <v>2027</v>
      </c>
      <c r="C26" s="2315" t="s">
        <v>2028</v>
      </c>
      <c r="D26" s="2272"/>
      <c r="E26" s="2271"/>
      <c r="F26" s="2271"/>
      <c r="G26" s="2271"/>
      <c r="H26" s="2271"/>
      <c r="I26" s="2271"/>
      <c r="J26" s="2271"/>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2029</v>
      </c>
      <c r="B27" s="116">
        <v>105</v>
      </c>
      <c r="C27" s="2947" t="s">
        <v>3082</v>
      </c>
      <c r="D27" s="2317"/>
      <c r="E27" s="1424"/>
      <c r="F27" s="1424"/>
      <c r="G27" s="2271"/>
      <c r="H27" s="2271"/>
      <c r="I27" s="2271"/>
      <c r="J27" s="2271"/>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2030</v>
      </c>
      <c r="B28" s="119">
        <v>105</v>
      </c>
      <c r="C28" s="2320"/>
      <c r="D28" s="2317"/>
      <c r="E28" s="1424"/>
      <c r="F28" s="1424"/>
      <c r="G28" s="2271"/>
      <c r="H28" s="2271"/>
      <c r="I28" s="2271"/>
      <c r="J28" s="2271"/>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2031</v>
      </c>
      <c r="B29" s="121">
        <f>ROUND(B28*K6/10000,0)</f>
        <v>83</v>
      </c>
      <c r="C29" s="1761" t="s">
        <v>2032</v>
      </c>
      <c r="D29" s="2317"/>
      <c r="E29" s="1424"/>
      <c r="F29" s="1424"/>
      <c r="G29" s="2271"/>
      <c r="H29" s="2271"/>
      <c r="I29" s="2271"/>
      <c r="J29" s="2271"/>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2033</v>
      </c>
      <c r="B30" s="719">
        <v>200</v>
      </c>
      <c r="C30" s="2320"/>
      <c r="D30" s="2317"/>
      <c r="E30" s="1424"/>
      <c r="F30" s="1424"/>
      <c r="G30" s="2271"/>
      <c r="H30" s="2271"/>
      <c r="I30" s="2271"/>
      <c r="J30" s="2271"/>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2034</v>
      </c>
      <c r="B31" s="120">
        <f>B30-B32</f>
        <v>200</v>
      </c>
      <c r="C31" s="1761"/>
      <c r="D31" s="2317"/>
      <c r="E31" s="1424"/>
      <c r="F31" s="1424"/>
      <c r="G31" s="2271"/>
      <c r="H31" s="2271"/>
      <c r="I31" s="2271"/>
      <c r="J31" s="2271"/>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2035</v>
      </c>
      <c r="B32" s="720">
        <v>0</v>
      </c>
      <c r="C32" s="2320"/>
      <c r="D32" s="2272"/>
      <c r="E32" s="2271"/>
      <c r="F32" s="2271"/>
      <c r="G32" s="2271"/>
      <c r="H32" s="2271"/>
      <c r="I32" s="2271"/>
      <c r="J32" s="2271"/>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2036</v>
      </c>
      <c r="B33" s="721">
        <v>0.05</v>
      </c>
      <c r="C33" s="1760" t="s">
        <v>2037</v>
      </c>
      <c r="D33" s="2272"/>
      <c r="E33" s="2271"/>
      <c r="F33" s="2271"/>
      <c r="G33" s="2271"/>
      <c r="H33" s="2271"/>
      <c r="I33" s="2271"/>
      <c r="J33" s="2271"/>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2038</v>
      </c>
      <c r="B34" s="122">
        <v>0</v>
      </c>
      <c r="C34" s="1760" t="s">
        <v>2039</v>
      </c>
      <c r="D34" s="2272" t="s">
        <v>2040</v>
      </c>
      <c r="E34" s="727"/>
      <c r="F34" s="2271"/>
      <c r="G34" s="2271"/>
      <c r="H34" s="2271"/>
      <c r="I34" s="2271"/>
      <c r="J34" s="2271"/>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2041</v>
      </c>
      <c r="B35" s="119">
        <v>200</v>
      </c>
      <c r="C35" s="1760" t="s">
        <v>2042</v>
      </c>
      <c r="D35" s="2317"/>
      <c r="E35" s="1424"/>
      <c r="F35" s="1424"/>
      <c r="G35" s="2271"/>
      <c r="H35" s="2271"/>
      <c r="I35" s="2271"/>
      <c r="J35" s="2271"/>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2043</v>
      </c>
      <c r="B36" s="123">
        <v>1.4999999999999999E-2</v>
      </c>
      <c r="C36" s="1760" t="s">
        <v>2044</v>
      </c>
      <c r="D36" s="2272"/>
      <c r="E36" s="2271"/>
      <c r="F36" s="2271"/>
      <c r="G36" s="2271"/>
      <c r="H36" s="2271"/>
      <c r="I36" s="2271"/>
      <c r="J36" s="2271"/>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122">
        <v>1.4999999999999999E-2</v>
      </c>
      <c r="C38" s="1760" t="s">
        <v>2046</v>
      </c>
      <c r="D38" s="2272"/>
      <c r="E38" s="2271"/>
      <c r="F38" s="2271"/>
      <c r="G38" s="2271"/>
      <c r="H38" s="2271"/>
      <c r="I38" s="2271"/>
      <c r="J38" s="2271"/>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1">
        <f ca="1">存贷款利率!I1</f>
        <v>1.4999999999999999E-2</v>
      </c>
      <c r="C39" s="1760"/>
      <c r="D39" s="2272"/>
      <c r="E39" s="2271"/>
      <c r="F39" s="2271"/>
      <c r="G39" s="2271"/>
      <c r="H39" s="2271"/>
      <c r="I39" s="2271"/>
      <c r="J39" s="2271"/>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2944">
        <v>0.03</v>
      </c>
      <c r="C48" s="1768" t="s">
        <v>2063</v>
      </c>
      <c r="D48" s="2272"/>
      <c r="E48" s="2271"/>
      <c r="F48" s="2271"/>
      <c r="G48" s="2271"/>
      <c r="H48" s="2271"/>
      <c r="I48" s="2271"/>
      <c r="J48" s="2271"/>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0">
        <v>1.2E-2</v>
      </c>
      <c r="C50" s="1424"/>
      <c r="D50" s="2272"/>
      <c r="E50" s="2271"/>
      <c r="F50" s="2271"/>
      <c r="G50" s="2271"/>
      <c r="H50" s="2271"/>
      <c r="I50" s="2271"/>
      <c r="J50" s="2271"/>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1">
        <v>0.12</v>
      </c>
      <c r="C51" s="1424"/>
      <c r="D51" s="2272"/>
      <c r="E51" s="2271"/>
      <c r="F51" s="2271"/>
      <c r="G51" s="2271"/>
      <c r="H51" s="2271"/>
      <c r="I51" s="2271"/>
      <c r="J51" s="2271"/>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2">
        <f>SUMIF(A54:A63,B53,B54:B63)</f>
        <v>4</v>
      </c>
      <c r="C52" s="1424"/>
      <c r="D52" s="2272"/>
      <c r="E52" s="2271"/>
      <c r="F52" s="2271"/>
      <c r="G52" s="2271"/>
      <c r="H52" s="2271"/>
      <c r="I52" s="2271"/>
      <c r="J52" s="2271"/>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137</v>
      </c>
      <c r="C53" s="1424" t="s">
        <v>2070</v>
      </c>
      <c r="D53" s="2331" t="s">
        <v>2071</v>
      </c>
      <c r="E53" s="2271"/>
      <c r="F53" s="2271"/>
      <c r="G53" s="2271"/>
      <c r="H53" s="2271"/>
      <c r="I53" s="2271"/>
      <c r="J53" s="2271"/>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c r="C54" s="1424">
        <v>30</v>
      </c>
      <c r="D54" s="2272"/>
      <c r="E54" s="2271"/>
      <c r="F54" s="2271"/>
      <c r="G54" s="2271"/>
      <c r="H54" s="2271"/>
      <c r="I54" s="2271"/>
      <c r="J54" s="2271"/>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c r="C55" s="1424">
        <v>24</v>
      </c>
      <c r="D55" s="2272"/>
      <c r="E55" s="2271"/>
      <c r="F55" s="2271"/>
      <c r="G55" s="2271"/>
      <c r="H55" s="2271"/>
      <c r="I55" s="2333"/>
      <c r="J55" s="2271"/>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c r="C56" s="1424">
        <v>18</v>
      </c>
      <c r="D56" s="2272"/>
      <c r="E56" s="2271"/>
      <c r="F56" s="2271"/>
      <c r="G56" s="2271"/>
      <c r="H56" s="2271"/>
      <c r="I56" s="2271"/>
      <c r="J56" s="2271"/>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4</v>
      </c>
      <c r="C57" s="1424">
        <v>12</v>
      </c>
      <c r="D57" s="2272"/>
      <c r="E57" s="2271"/>
      <c r="F57" s="2271"/>
      <c r="G57" s="2271"/>
      <c r="H57" s="2271"/>
      <c r="I57" s="2271"/>
      <c r="J57" s="2271"/>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c r="C58" s="1424">
        <v>3</v>
      </c>
      <c r="D58" s="2272"/>
      <c r="E58" s="2271"/>
      <c r="F58" s="2271"/>
      <c r="G58" s="2271"/>
      <c r="H58" s="2271"/>
      <c r="I58" s="2271"/>
      <c r="J58" s="2271"/>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c r="C59" s="1424">
        <v>1.5</v>
      </c>
      <c r="D59" s="2272"/>
      <c r="E59" s="2271"/>
      <c r="F59" s="2271"/>
      <c r="G59" s="2271"/>
      <c r="H59" s="2271"/>
      <c r="I59" s="2271"/>
      <c r="J59" s="2271"/>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3"/>
      <c r="C63" s="2271"/>
      <c r="D63" s="2272"/>
      <c r="E63" s="2271"/>
      <c r="F63" s="2271"/>
      <c r="G63" s="2271"/>
      <c r="H63" s="2271"/>
      <c r="I63" s="2271"/>
      <c r="J63" s="2271"/>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ht="48.75">
      <c r="A64" s="2335" t="s">
        <v>3145</v>
      </c>
      <c r="D64" s="2336"/>
      <c r="K64" s="793"/>
      <c r="L64" s="793"/>
    </row>
    <row r="65" spans="1:12" s="962" customFormat="1">
      <c r="A65" s="2335"/>
      <c r="D65" s="2336"/>
      <c r="K65" s="793"/>
      <c r="L65" s="793"/>
    </row>
    <row r="66" spans="1:12" s="962" customFormat="1">
      <c r="A66" s="2335"/>
      <c r="D66" s="2336"/>
      <c r="K66" s="793"/>
      <c r="L66" s="793"/>
    </row>
    <row r="67" spans="1:12" s="962" customFormat="1">
      <c r="A67" s="2335"/>
      <c r="D67" s="2336"/>
      <c r="K67" s="793"/>
      <c r="L67" s="793"/>
    </row>
    <row r="68" spans="1:12" s="962" customFormat="1">
      <c r="A68" s="2335"/>
      <c r="D68" s="2336"/>
      <c r="K68" s="793"/>
      <c r="L68" s="793"/>
    </row>
    <row r="69" spans="1:12" s="962" customFormat="1">
      <c r="A69" s="2335"/>
      <c r="D69" s="2336"/>
      <c r="K69" s="793"/>
      <c r="L69" s="793"/>
    </row>
    <row r="70" spans="1:12" s="962" customFormat="1">
      <c r="A70" s="2335"/>
      <c r="D70" s="2336"/>
      <c r="K70" s="793"/>
      <c r="L70" s="793"/>
    </row>
    <row r="71" spans="1:12" s="962" customFormat="1">
      <c r="A71" s="2335"/>
      <c r="D71" s="2336"/>
      <c r="K71" s="793"/>
      <c r="L71" s="793"/>
    </row>
    <row r="72" spans="1:12" s="962" customFormat="1">
      <c r="A72" s="2335"/>
      <c r="D72" s="2336"/>
      <c r="K72" s="793"/>
      <c r="L72" s="793"/>
    </row>
    <row r="73" spans="1:12" s="962" customFormat="1">
      <c r="A73" s="2335"/>
      <c r="D73" s="2336"/>
      <c r="K73" s="793"/>
      <c r="L73" s="793"/>
    </row>
    <row r="74" spans="1:12" s="962" customFormat="1">
      <c r="A74" s="2335"/>
      <c r="D74" s="2336"/>
      <c r="K74" s="793"/>
      <c r="L74" s="793"/>
    </row>
    <row r="75" spans="1:12" s="962" customFormat="1">
      <c r="A75" s="2335"/>
      <c r="D75" s="2336"/>
      <c r="K75" s="793"/>
      <c r="L75" s="793"/>
    </row>
    <row r="76" spans="1:12" s="962" customFormat="1">
      <c r="A76" s="2335"/>
      <c r="D76" s="2336"/>
      <c r="K76" s="793"/>
      <c r="L76" s="793"/>
    </row>
    <row r="77" spans="1:12" s="962" customFormat="1">
      <c r="A77" s="2335"/>
      <c r="D77" s="2336"/>
      <c r="K77" s="793"/>
      <c r="L77" s="793"/>
    </row>
    <row r="78" spans="1:12" s="962" customFormat="1">
      <c r="A78" s="2335"/>
      <c r="D78" s="2336"/>
      <c r="K78" s="793"/>
      <c r="L78" s="793"/>
    </row>
    <row r="79" spans="1:12" s="962" customFormat="1">
      <c r="A79" s="2335"/>
      <c r="D79" s="2336"/>
      <c r="K79" s="793"/>
      <c r="L79" s="793"/>
    </row>
    <row r="80" spans="1:12" s="962" customFormat="1">
      <c r="A80" s="2335"/>
      <c r="D80" s="2336"/>
      <c r="K80" s="793"/>
      <c r="L80" s="793"/>
    </row>
    <row r="81" spans="1:12" s="962" customFormat="1">
      <c r="A81" s="2335"/>
      <c r="D81" s="2336"/>
      <c r="K81" s="793"/>
      <c r="L81" s="793"/>
    </row>
    <row r="82" spans="1:12" s="962" customFormat="1">
      <c r="A82" s="2335"/>
      <c r="D82" s="2336"/>
      <c r="K82" s="793"/>
      <c r="L82" s="793"/>
    </row>
    <row r="83" spans="1:12" s="962" customFormat="1">
      <c r="A83" s="2335"/>
      <c r="D83" s="2336"/>
      <c r="K83" s="793"/>
      <c r="L83" s="793"/>
    </row>
    <row r="84" spans="1:12" s="962" customFormat="1">
      <c r="A84" s="2335"/>
      <c r="D84" s="2336"/>
      <c r="K84" s="793"/>
      <c r="L84" s="793"/>
    </row>
    <row r="85" spans="1:12" s="962" customFormat="1">
      <c r="A85" s="2335"/>
      <c r="D85" s="2336"/>
      <c r="K85" s="793"/>
      <c r="L85" s="793"/>
    </row>
    <row r="86" spans="1:12" s="962" customFormat="1">
      <c r="A86" s="2335"/>
      <c r="D86" s="2336"/>
      <c r="K86" s="793"/>
      <c r="L86" s="793"/>
    </row>
    <row r="87" spans="1:12" s="962" customFormat="1">
      <c r="A87" s="2335"/>
      <c r="D87" s="2336"/>
      <c r="K87" s="793"/>
      <c r="L87" s="793"/>
    </row>
    <row r="88" spans="1:12" s="962" customFormat="1">
      <c r="A88" s="2335"/>
      <c r="D88" s="2336"/>
      <c r="K88" s="793"/>
      <c r="L88" s="793"/>
    </row>
    <row r="89" spans="1:12" s="962" customFormat="1">
      <c r="A89" s="2335"/>
      <c r="D89" s="2336"/>
      <c r="K89" s="793"/>
      <c r="L89" s="793"/>
    </row>
    <row r="90" spans="1:12" s="962" customFormat="1">
      <c r="A90" s="2335"/>
      <c r="D90" s="2336"/>
      <c r="K90" s="793"/>
      <c r="L90" s="793"/>
    </row>
    <row r="91" spans="1:12" s="962" customFormat="1">
      <c r="A91" s="2335"/>
      <c r="D91" s="2336"/>
      <c r="K91" s="793"/>
      <c r="L91" s="793"/>
    </row>
    <row r="92" spans="1:12" s="962" customFormat="1">
      <c r="A92" s="2335"/>
      <c r="D92" s="2336"/>
      <c r="K92" s="793"/>
      <c r="L92" s="793"/>
    </row>
    <row r="93" spans="1:12" s="962" customFormat="1">
      <c r="A93" s="2335"/>
      <c r="D93" s="2336"/>
      <c r="K93" s="793"/>
      <c r="L93" s="793"/>
    </row>
    <row r="94" spans="1:12" s="962" customFormat="1">
      <c r="A94" s="2335"/>
      <c r="D94" s="2336"/>
      <c r="K94" s="793"/>
      <c r="L94" s="793"/>
    </row>
    <row r="95" spans="1:12" s="962" customFormat="1">
      <c r="A95" s="2335"/>
      <c r="D95" s="2336"/>
      <c r="K95" s="793"/>
      <c r="L95" s="793"/>
    </row>
    <row r="96" spans="1:12" s="962" customFormat="1">
      <c r="A96" s="2335"/>
      <c r="D96" s="2336"/>
      <c r="K96" s="793"/>
      <c r="L96" s="793"/>
    </row>
    <row r="97" spans="1:12" s="962" customFormat="1">
      <c r="A97" s="2335"/>
      <c r="D97" s="2336"/>
      <c r="K97" s="793"/>
      <c r="L97" s="793"/>
    </row>
    <row r="98" spans="1:12" s="962" customFormat="1">
      <c r="A98" s="2335"/>
      <c r="D98" s="2336"/>
      <c r="K98" s="793"/>
      <c r="L98" s="793"/>
    </row>
    <row r="99" spans="1:12" s="962" customFormat="1">
      <c r="A99" s="2335"/>
      <c r="D99" s="2336"/>
      <c r="K99" s="793"/>
      <c r="L99" s="793"/>
    </row>
    <row r="100" spans="1:12" s="962" customFormat="1">
      <c r="A100" s="2335"/>
      <c r="D100" s="2336"/>
      <c r="K100" s="793"/>
      <c r="L100" s="793"/>
    </row>
    <row r="101" spans="1:12" s="962" customFormat="1">
      <c r="A101" s="2335"/>
      <c r="D101" s="2336"/>
      <c r="K101" s="793"/>
      <c r="L101" s="793"/>
    </row>
    <row r="102" spans="1:12" s="962" customFormat="1">
      <c r="A102" s="2335"/>
      <c r="D102" s="2336"/>
      <c r="K102" s="793"/>
      <c r="L102" s="793"/>
    </row>
    <row r="103" spans="1:12" s="962" customFormat="1">
      <c r="A103" s="2335"/>
      <c r="D103" s="2336"/>
      <c r="K103" s="793"/>
      <c r="L103" s="793"/>
    </row>
    <row r="104" spans="1:12" s="962" customFormat="1">
      <c r="A104" s="2335"/>
      <c r="D104" s="2336"/>
      <c r="K104" s="793"/>
      <c r="L104" s="793"/>
    </row>
    <row r="105" spans="1:12" s="962" customFormat="1">
      <c r="A105" s="2335"/>
      <c r="D105" s="2336"/>
      <c r="K105" s="793"/>
      <c r="L105" s="793"/>
    </row>
    <row r="106" spans="1:12" s="962" customFormat="1">
      <c r="A106" s="2335"/>
      <c r="D106" s="2336"/>
      <c r="K106" s="793"/>
      <c r="L106" s="793"/>
    </row>
    <row r="107" spans="1:12" s="962" customFormat="1">
      <c r="A107" s="2335"/>
      <c r="D107" s="2336"/>
      <c r="K107" s="793"/>
      <c r="L107" s="793"/>
    </row>
    <row r="108" spans="1:12" s="962" customFormat="1">
      <c r="A108" s="2335"/>
      <c r="D108" s="2336"/>
      <c r="K108" s="793"/>
      <c r="L108" s="793"/>
    </row>
    <row r="109" spans="1:12" s="962" customFormat="1">
      <c r="A109" s="2335"/>
      <c r="D109" s="2336"/>
      <c r="K109" s="793"/>
      <c r="L109" s="793"/>
    </row>
    <row r="110" spans="1:12" s="962" customFormat="1">
      <c r="A110" s="2335"/>
      <c r="D110" s="2336"/>
      <c r="K110" s="793"/>
      <c r="L110" s="793"/>
    </row>
    <row r="111" spans="1:12" s="962" customFormat="1">
      <c r="A111" s="2335"/>
      <c r="D111" s="2336"/>
      <c r="K111" s="793"/>
      <c r="L111" s="793"/>
    </row>
    <row r="112" spans="1:12" s="962" customFormat="1">
      <c r="A112" s="2335"/>
      <c r="D112" s="2336"/>
      <c r="K112" s="793"/>
      <c r="L112" s="793"/>
    </row>
    <row r="113" spans="1:12" s="962" customFormat="1">
      <c r="A113" s="2335"/>
      <c r="D113" s="2336"/>
      <c r="K113" s="793"/>
      <c r="L113" s="793"/>
    </row>
    <row r="114" spans="1:12" s="962" customFormat="1">
      <c r="A114" s="2335"/>
      <c r="D114" s="2336"/>
      <c r="K114" s="793"/>
      <c r="L114" s="793"/>
    </row>
    <row r="115" spans="1:12" s="962" customFormat="1">
      <c r="A115" s="2335"/>
      <c r="D115" s="2336"/>
      <c r="K115" s="793"/>
      <c r="L115" s="793"/>
    </row>
    <row r="116" spans="1:12" s="962" customFormat="1">
      <c r="A116" s="2335"/>
      <c r="D116" s="2336"/>
      <c r="K116" s="793"/>
      <c r="L116" s="793"/>
    </row>
    <row r="117" spans="1:12" s="962" customFormat="1">
      <c r="A117" s="2335"/>
      <c r="D117" s="2336"/>
      <c r="K117" s="793"/>
      <c r="L117" s="793"/>
    </row>
    <row r="118" spans="1:12" s="962" customFormat="1">
      <c r="A118" s="2335"/>
      <c r="D118" s="2336"/>
      <c r="K118" s="793"/>
      <c r="L118" s="793"/>
    </row>
    <row r="119" spans="1:12" s="962" customFormat="1">
      <c r="A119" s="2335"/>
      <c r="D119" s="2336"/>
      <c r="K119" s="793"/>
      <c r="L119" s="793"/>
    </row>
    <row r="120" spans="1:12" s="962" customFormat="1">
      <c r="A120" s="2335"/>
      <c r="D120" s="2336"/>
      <c r="K120" s="793"/>
      <c r="L120" s="793"/>
    </row>
    <row r="121" spans="1:12" s="962" customFormat="1">
      <c r="A121" s="2335"/>
      <c r="D121" s="2336"/>
      <c r="K121" s="793"/>
      <c r="L121" s="793"/>
    </row>
    <row r="122" spans="1:12" s="962" customFormat="1">
      <c r="A122" s="2335"/>
      <c r="D122" s="2336"/>
      <c r="K122" s="793"/>
      <c r="L122" s="793"/>
    </row>
    <row r="123" spans="1:12" s="962" customFormat="1">
      <c r="A123" s="2335"/>
      <c r="D123" s="2336"/>
      <c r="K123" s="793"/>
      <c r="L123" s="793"/>
    </row>
    <row r="124" spans="1:12" s="962" customFormat="1">
      <c r="A124" s="2335"/>
      <c r="D124" s="2336"/>
      <c r="K124" s="793"/>
      <c r="L124" s="793"/>
    </row>
    <row r="125" spans="1:12" s="962" customFormat="1">
      <c r="A125" s="2335"/>
      <c r="D125" s="2336"/>
      <c r="K125" s="793"/>
      <c r="L125" s="793"/>
    </row>
    <row r="126" spans="1:12" s="962" customFormat="1">
      <c r="A126" s="2335"/>
      <c r="D126" s="2336"/>
      <c r="K126" s="793"/>
      <c r="L126" s="793"/>
    </row>
    <row r="127" spans="1:12" s="962" customFormat="1">
      <c r="A127" s="2335"/>
      <c r="D127" s="2336"/>
      <c r="K127" s="793"/>
      <c r="L127" s="793"/>
    </row>
    <row r="128" spans="1:12" s="962" customFormat="1">
      <c r="A128" s="2335"/>
      <c r="D128" s="2336"/>
      <c r="K128" s="793"/>
      <c r="L128" s="793"/>
    </row>
    <row r="129" spans="1:12" s="962" customFormat="1">
      <c r="A129" s="2335"/>
      <c r="D129" s="2336"/>
      <c r="K129" s="793"/>
      <c r="L129" s="793"/>
    </row>
    <row r="130" spans="1:12" s="962" customFormat="1">
      <c r="A130" s="2335"/>
      <c r="D130" s="2336"/>
      <c r="K130" s="793"/>
      <c r="L130" s="793"/>
    </row>
    <row r="131" spans="1:12" s="962" customFormat="1">
      <c r="A131" s="2335"/>
      <c r="D131" s="2336"/>
      <c r="K131" s="793"/>
      <c r="L131" s="793"/>
    </row>
    <row r="132" spans="1:12" s="962" customFormat="1">
      <c r="A132" s="2335"/>
      <c r="D132" s="2336"/>
      <c r="K132" s="793"/>
      <c r="L132" s="793"/>
    </row>
    <row r="133" spans="1:12" s="962" customFormat="1">
      <c r="A133" s="2335"/>
      <c r="D133" s="2336"/>
      <c r="K133" s="793"/>
      <c r="L133" s="793"/>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80" t="s">
        <v>2082</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4" t="s">
        <v>2085</v>
      </c>
      <c r="B3" s="1265" t="s">
        <v>2086</v>
      </c>
      <c r="C3" s="2364" t="s">
        <v>2087</v>
      </c>
      <c r="D3" s="2365"/>
      <c r="E3" s="430" t="s">
        <v>2085</v>
      </c>
      <c r="F3" s="2366" t="s">
        <v>2088</v>
      </c>
      <c r="G3" s="2367" t="s">
        <v>2089</v>
      </c>
      <c r="H3" s="2362"/>
      <c r="I3" s="2362"/>
      <c r="J3" s="2362"/>
      <c r="K3" s="2362"/>
      <c r="L3" s="2362"/>
      <c r="M3" s="2362"/>
      <c r="N3" s="2362"/>
      <c r="O3" s="2362"/>
      <c r="P3" s="2362"/>
      <c r="Q3" s="2362"/>
      <c r="R3" s="2362"/>
    </row>
    <row r="4" spans="1:29" ht="41.25">
      <c r="A4" s="430"/>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0"/>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0"/>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0"/>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0"/>
      <c r="B8" s="1792" t="s">
        <v>2099</v>
      </c>
      <c r="C8" s="2370" t="s">
        <v>2100</v>
      </c>
      <c r="D8" s="2371"/>
      <c r="E8" s="2371"/>
      <c r="F8" s="1131"/>
      <c r="G8" s="1131"/>
      <c r="H8" s="2362"/>
      <c r="I8" s="2362"/>
      <c r="J8" s="2362"/>
      <c r="K8" s="2362"/>
      <c r="L8" s="2362"/>
      <c r="M8" s="2362"/>
      <c r="N8" s="2362"/>
      <c r="O8" s="2362"/>
      <c r="P8" s="2362"/>
      <c r="Q8" s="2362"/>
      <c r="R8" s="2362"/>
    </row>
    <row r="9" spans="1:29" ht="27">
      <c r="A9" s="430"/>
      <c r="B9" s="1792" t="s">
        <v>2103</v>
      </c>
      <c r="C9" s="2368" t="s">
        <v>2104</v>
      </c>
      <c r="D9" s="2365"/>
      <c r="E9" s="2371"/>
      <c r="F9" s="1131"/>
      <c r="G9" s="1131"/>
      <c r="H9" s="2362"/>
      <c r="I9" s="2362"/>
      <c r="J9" s="2362"/>
      <c r="K9" s="2362"/>
      <c r="L9" s="2362"/>
      <c r="M9" s="2362"/>
      <c r="N9" s="2362"/>
      <c r="O9" s="2362"/>
      <c r="P9" s="2362"/>
      <c r="Q9" s="2362"/>
      <c r="R9" s="2362"/>
    </row>
    <row r="10" spans="1:29" s="117" customFormat="1" ht="15.75" thickBot="1">
      <c r="A10" s="2375"/>
      <c r="B10" s="2376" t="s">
        <v>2105</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4" t="str">
        <f>G3</f>
        <v>估价对象位于XX开发区，园区建设成熟度XX，产业集聚程度XX</v>
      </c>
    </row>
    <row r="16" spans="1:29" ht="42.75">
      <c r="A16" s="642"/>
      <c r="B16" s="2399" t="s">
        <v>2090</v>
      </c>
      <c r="C16" s="2400" t="str">
        <f>C4</f>
        <v>估价对象位于XX商圈，周边商业氛围成熟，人流量大，商业繁华度好</v>
      </c>
      <c r="D16" s="2365"/>
      <c r="E16" s="2401"/>
      <c r="F16" s="2402" t="s">
        <v>2092</v>
      </c>
      <c r="G16" s="135" t="str">
        <f>G4</f>
        <v>估价对象周边道路状况、公共交通通达情况、停车便捷程度，综合评价交通便捷度较好</v>
      </c>
    </row>
    <row r="17" spans="1:18" ht="42.75">
      <c r="A17" s="642"/>
      <c r="B17" s="2399" t="s">
        <v>2094</v>
      </c>
      <c r="C17" s="2400" t="str">
        <f>C5</f>
        <v>估价对象位于XX商圈，周边办公楼项目较多，入驻率高，办公集聚程度较好</v>
      </c>
      <c r="D17" s="2371"/>
      <c r="E17" s="2401"/>
      <c r="F17" s="2402" t="s">
        <v>2112</v>
      </c>
      <c r="G17" s="1566"/>
    </row>
    <row r="18" spans="1:18" ht="57">
      <c r="A18" s="642"/>
      <c r="B18" s="2402" t="s">
        <v>2098</v>
      </c>
      <c r="C18" s="135" t="str">
        <f>C6</f>
        <v>估价对象周边道路状况、公共交通通达情况、停车便捷程度，综合评价交通便捷度较好</v>
      </c>
      <c r="D18" s="2371"/>
      <c r="E18" s="2401"/>
      <c r="F18" s="2402" t="s">
        <v>2101</v>
      </c>
      <c r="G18" s="135" t="str">
        <f>G7</f>
        <v>该园区内是否有污染型企业，绿化情况，卫生条件，整体环境状况判断</v>
      </c>
    </row>
    <row r="19" spans="1:18" ht="28.5">
      <c r="A19" s="642"/>
      <c r="B19" s="2402" t="s">
        <v>2113</v>
      </c>
      <c r="C19" s="1566"/>
      <c r="D19" s="2365"/>
      <c r="E19" s="2401"/>
      <c r="F19" s="1792" t="s">
        <v>2096</v>
      </c>
      <c r="G19" s="135" t="str">
        <f>G5</f>
        <v>估价对象所在区域公共配套设施齐备情况</v>
      </c>
    </row>
    <row r="20" spans="1:18" ht="28.5">
      <c r="A20" s="642"/>
      <c r="B20" s="2402" t="s">
        <v>2114</v>
      </c>
      <c r="C20" s="2400" t="str">
        <f>C9</f>
        <v>区域自然环境：；人文环境；综合评价环境状况一般</v>
      </c>
      <c r="D20" s="2371"/>
      <c r="E20" s="2401"/>
      <c r="F20" s="1792" t="s">
        <v>2115</v>
      </c>
      <c r="G20" s="135" t="str">
        <f>G6</f>
        <v>估价对象所在区域基础设施水平</v>
      </c>
    </row>
    <row r="21" spans="1:18" ht="28.5">
      <c r="A21" s="642"/>
      <c r="B21" s="1792" t="s">
        <v>2096</v>
      </c>
      <c r="C21" s="135" t="str">
        <f>C7</f>
        <v>估价对象所在区域公共配套设施齐备情况</v>
      </c>
      <c r="D21" s="2365"/>
      <c r="E21" s="2401"/>
      <c r="F21" s="2402" t="s">
        <v>2116</v>
      </c>
      <c r="G21" s="2403"/>
    </row>
    <row r="22" spans="1:18" ht="13.5" customHeight="1">
      <c r="A22" s="642"/>
      <c r="B22" s="1792" t="s">
        <v>2099</v>
      </c>
      <c r="C22" s="135" t="str">
        <f>C8</f>
        <v>估价对象所在区域基础设施水平</v>
      </c>
      <c r="D22" s="2365"/>
      <c r="E22" s="2401"/>
      <c r="F22" s="2402" t="s">
        <v>2105</v>
      </c>
      <c r="G22" s="1566"/>
    </row>
    <row r="23" spans="1:18" s="2362" customFormat="1" ht="15.75" thickBot="1">
      <c r="A23" s="642"/>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7918.4</v>
      </c>
      <c r="C1" s="1739"/>
      <c r="D1" s="1739"/>
      <c r="E1" s="1739"/>
      <c r="F1" s="1739"/>
      <c r="G1" s="1737"/>
    </row>
    <row r="2" spans="1:10" ht="16.5">
      <c r="A2" s="1740" t="s">
        <v>1353</v>
      </c>
      <c r="B2" s="1740">
        <f>SUM(C14:C23)</f>
        <v>0</v>
      </c>
      <c r="C2" s="1739"/>
      <c r="D2" s="1739"/>
      <c r="E2" s="1739"/>
      <c r="F2" s="1739"/>
      <c r="G2" s="1737"/>
    </row>
    <row r="3" spans="1:10" ht="16.5">
      <c r="A3" s="1740" t="s">
        <v>1362</v>
      </c>
      <c r="B3" s="1741">
        <f>项目基本情况!D3</f>
        <v>43346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8739</v>
      </c>
      <c r="C5" s="1740">
        <f ca="1">ROUND(B5*10000/$B$1,0)</f>
        <v>11036</v>
      </c>
      <c r="D5" s="1740" t="e">
        <f ca="1">ROUND(B5*10000/$B$2,0)</f>
        <v>#DIV/0!</v>
      </c>
      <c r="E5" s="1739"/>
      <c r="F5" s="1737"/>
      <c r="G5" s="1737"/>
    </row>
    <row r="6" spans="1:10" ht="16.5">
      <c r="A6" s="1740" t="s">
        <v>1356</v>
      </c>
      <c r="B6" s="1740">
        <f ca="1">SUM(G14:G23)</f>
        <v>8739</v>
      </c>
      <c r="C6" s="1740">
        <f ca="1">ROUND(B6*10000/$B$1,0)</f>
        <v>11036</v>
      </c>
      <c r="D6" s="1740" t="e">
        <f ca="1">ROUND(B6*10000/$B$2,0)</f>
        <v>#DIV/0!</v>
      </c>
      <c r="E6" s="1739"/>
      <c r="F6" s="1737"/>
      <c r="G6" s="1737"/>
    </row>
    <row r="7" spans="1:10" ht="16.5">
      <c r="A7" s="1740" t="s">
        <v>1364</v>
      </c>
      <c r="B7" s="1740">
        <f>SUM(H14:H23)</f>
        <v>0</v>
      </c>
      <c r="C7" s="1740">
        <f>ROUND(B7*10000/$B$1,0)</f>
        <v>0</v>
      </c>
      <c r="D7" s="1740" t="e">
        <f>ROUND(B7*10000/$B$2,0)</f>
        <v>#DIV/0!</v>
      </c>
      <c r="E7" s="1739"/>
      <c r="F7" s="1737"/>
      <c r="G7" s="1737"/>
    </row>
    <row r="8" spans="1:10" ht="16.5">
      <c r="A8" s="1740" t="s">
        <v>1285</v>
      </c>
      <c r="B8" s="1740">
        <f>SUM(I14:I23)</f>
        <v>0</v>
      </c>
      <c r="C8" s="1740">
        <f>ROUND(B8*10000/$B$1,0)</f>
        <v>0</v>
      </c>
      <c r="D8" s="1740" t="e">
        <f>ROUND(B8*10000/$B$2,0)</f>
        <v>#DIV/0!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7918.4</v>
      </c>
      <c r="C14" s="1738">
        <f>结果表!C118</f>
        <v>0</v>
      </c>
      <c r="D14" s="1738">
        <f ca="1">结果表!H118</f>
        <v>8739</v>
      </c>
      <c r="E14" s="1738">
        <f ca="1">ROUND(D14*10000/B14,0)</f>
        <v>11036</v>
      </c>
      <c r="F14" s="1738" t="e">
        <f ca="1">ROUND(D14*10000/C14,0)</f>
        <v>#DIV/0!</v>
      </c>
      <c r="G14" s="1738">
        <f ca="1">结果表!D122</f>
        <v>8739</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6" t="str">
        <f>项目基本情况!B1</f>
        <v>江苏省镇江市京口区解放路27号镇江财富广场8幢101室等共79套商业用房房地产抵押价值预评估</v>
      </c>
      <c r="C37" s="2986"/>
      <c r="D37" s="2986"/>
      <c r="E37" s="2986"/>
      <c r="F37" s="2986"/>
      <c r="G37" s="2986"/>
      <c r="H37" s="2986"/>
      <c r="I37" s="2986"/>
    </row>
    <row r="38" spans="1:9">
      <c r="A38" s="1014"/>
      <c r="B38" s="1014"/>
    </row>
    <row r="39" spans="1:9">
      <c r="A39" s="1012" t="s">
        <v>818</v>
      </c>
      <c r="B39" s="1012" t="s">
        <v>820</v>
      </c>
    </row>
    <row r="40" spans="1:9">
      <c r="A40" s="1012"/>
      <c r="B40" s="1938" t="str">
        <f>项目基本情况!B5</f>
        <v>中信信托有限责任公司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郑燚（注册号：1120070131)、王鹏（注册号：1120050019)</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D4" sqref="D4"/>
    </sheetView>
  </sheetViews>
  <sheetFormatPr defaultColWidth="12.625" defaultRowHeight="21.75" customHeight="1"/>
  <cols>
    <col min="1" max="2" width="12.625" style="2419"/>
    <col min="3" max="4" width="12.625" style="2419" customWidth="1"/>
    <col min="5" max="9" width="12.625" style="2419"/>
    <col min="10" max="11" width="12.625" style="790" customWidth="1"/>
    <col min="12" max="12" width="12.625" style="790"/>
    <col min="13" max="13" width="14.125" style="790" bestFit="1" customWidth="1"/>
    <col min="14" max="26" width="12.625" style="790"/>
    <col min="27" max="35" width="12.625" style="2418"/>
    <col min="36" max="16384" width="12.625" style="2419"/>
  </cols>
  <sheetData>
    <row r="1" spans="1:12" ht="21.75" customHeight="1" thickBot="1">
      <c r="A1" s="2219" t="s">
        <v>2119</v>
      </c>
      <c r="B1" s="2413"/>
      <c r="C1" s="2414"/>
      <c r="D1" s="2413"/>
      <c r="E1" s="2413"/>
      <c r="F1" s="2415" t="s">
        <v>2120</v>
      </c>
      <c r="G1" s="2065" t="s">
        <v>3065</v>
      </c>
      <c r="H1" s="2416" t="str">
        <f>IF(G1="现房","——","估价对象范围")</f>
        <v>——</v>
      </c>
      <c r="I1" s="2417" t="s">
        <v>3069</v>
      </c>
    </row>
    <row r="2" spans="1:12" ht="21.75" customHeight="1" thickBot="1">
      <c r="A2" s="3154" t="str">
        <f>项目基本情况!S2</f>
        <v>江苏省镇江市京口区解放路27号镇江财富广场8幢101室等共79套商业用房房地产</v>
      </c>
      <c r="B2" s="3155"/>
      <c r="C2" s="3155"/>
      <c r="D2" s="3155"/>
      <c r="E2" s="3155"/>
      <c r="F2" s="3155"/>
      <c r="G2" s="3155"/>
      <c r="H2" s="3155"/>
      <c r="I2" s="3156"/>
    </row>
    <row r="3" spans="1:12" ht="12.75">
      <c r="A3" s="3157" t="s">
        <v>2121</v>
      </c>
      <c r="B3" s="3158"/>
      <c r="C3" s="3158"/>
      <c r="D3" s="3158"/>
      <c r="E3" s="3158"/>
      <c r="F3" s="3158"/>
      <c r="G3" s="3158"/>
      <c r="H3" s="3158"/>
      <c r="I3" s="3158"/>
    </row>
    <row r="4" spans="1:12" ht="14.25">
      <c r="A4" s="2420" t="s">
        <v>2122</v>
      </c>
      <c r="B4" s="2421" t="s">
        <v>2123</v>
      </c>
      <c r="C4" s="2422" t="s">
        <v>3066</v>
      </c>
      <c r="D4" s="2422" t="s">
        <v>3067</v>
      </c>
      <c r="E4" s="3138" t="s">
        <v>2124</v>
      </c>
      <c r="F4" s="3151"/>
      <c r="G4" s="3151"/>
      <c r="H4" s="3151"/>
      <c r="I4" s="3139"/>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2125</v>
      </c>
      <c r="B5" s="3052">
        <v>25</v>
      </c>
      <c r="C5" s="3159"/>
      <c r="D5" s="3147"/>
      <c r="E5" s="139" t="s">
        <v>2126</v>
      </c>
      <c r="F5" s="2424"/>
      <c r="G5" s="2424"/>
      <c r="H5" s="2424"/>
      <c r="I5" s="1828"/>
    </row>
    <row r="6" spans="1:12" ht="12.75">
      <c r="A6" s="3129"/>
      <c r="B6" s="3052"/>
      <c r="C6" s="3161"/>
      <c r="D6" s="3147"/>
      <c r="E6" s="139" t="s">
        <v>2127</v>
      </c>
      <c r="F6" s="2424"/>
      <c r="G6" s="2424"/>
      <c r="H6" s="2424"/>
      <c r="I6" s="1828"/>
    </row>
    <row r="7" spans="1:12" ht="12.75">
      <c r="A7" s="3129"/>
      <c r="B7" s="3052"/>
      <c r="C7" s="3160"/>
      <c r="D7" s="3147"/>
      <c r="E7" s="139" t="s">
        <v>2128</v>
      </c>
      <c r="F7" s="2424"/>
      <c r="G7" s="2424"/>
      <c r="H7" s="2424"/>
      <c r="I7" s="1828"/>
    </row>
    <row r="8" spans="1:12" ht="12.75">
      <c r="A8" s="3129" t="s">
        <v>2129</v>
      </c>
      <c r="B8" s="3052">
        <v>15</v>
      </c>
      <c r="C8" s="3159"/>
      <c r="D8" s="3147"/>
      <c r="E8" s="139" t="s">
        <v>2130</v>
      </c>
      <c r="F8" s="2424"/>
      <c r="G8" s="2424"/>
      <c r="H8" s="2424"/>
      <c r="I8" s="1828"/>
    </row>
    <row r="9" spans="1:12" ht="12.75">
      <c r="A9" s="3129"/>
      <c r="B9" s="3052"/>
      <c r="C9" s="3160"/>
      <c r="D9" s="3147"/>
      <c r="E9" s="139" t="s">
        <v>2131</v>
      </c>
      <c r="F9" s="2424"/>
      <c r="G9" s="2424"/>
      <c r="H9" s="2424"/>
      <c r="I9" s="1828"/>
    </row>
    <row r="10" spans="1:12" ht="12.75">
      <c r="A10" s="3129" t="s">
        <v>2132</v>
      </c>
      <c r="B10" s="3052">
        <v>15</v>
      </c>
      <c r="C10" s="3159"/>
      <c r="D10" s="3147"/>
      <c r="E10" s="139" t="s">
        <v>2133</v>
      </c>
      <c r="F10" s="2424"/>
      <c r="G10" s="2424"/>
      <c r="H10" s="2424"/>
      <c r="I10" s="1828"/>
    </row>
    <row r="11" spans="1:12" ht="12.75">
      <c r="A11" s="3129"/>
      <c r="B11" s="3052"/>
      <c r="C11" s="3160"/>
      <c r="D11" s="3147"/>
      <c r="E11" s="139" t="s">
        <v>2134</v>
      </c>
      <c r="F11" s="2424"/>
      <c r="G11" s="2424"/>
      <c r="H11" s="2424"/>
      <c r="I11" s="1828"/>
    </row>
    <row r="12" spans="1:12" ht="12.75">
      <c r="A12" s="3129" t="s">
        <v>2135</v>
      </c>
      <c r="B12" s="3052">
        <v>15</v>
      </c>
      <c r="C12" s="3159"/>
      <c r="D12" s="3147"/>
      <c r="E12" s="139" t="s">
        <v>2136</v>
      </c>
      <c r="F12" s="2424"/>
      <c r="G12" s="2424"/>
      <c r="H12" s="2424"/>
      <c r="I12" s="1828"/>
    </row>
    <row r="13" spans="1:12" ht="12.75">
      <c r="A13" s="3129"/>
      <c r="B13" s="3052"/>
      <c r="C13" s="3160"/>
      <c r="D13" s="3147"/>
      <c r="E13" s="139" t="s">
        <v>2137</v>
      </c>
      <c r="F13" s="2424"/>
      <c r="G13" s="2424"/>
      <c r="H13" s="2424"/>
      <c r="I13" s="1828"/>
    </row>
    <row r="14" spans="1:12" ht="12.75">
      <c r="A14" s="3129" t="s">
        <v>2138</v>
      </c>
      <c r="B14" s="3052">
        <v>30</v>
      </c>
      <c r="C14" s="3159">
        <v>7</v>
      </c>
      <c r="D14" s="3147">
        <v>3</v>
      </c>
      <c r="E14" s="139" t="s">
        <v>2139</v>
      </c>
      <c r="F14" s="2424"/>
      <c r="G14" s="2424"/>
      <c r="H14" s="2424"/>
      <c r="I14" s="1828"/>
    </row>
    <row r="15" spans="1:12" ht="12.75">
      <c r="A15" s="3129"/>
      <c r="B15" s="3052"/>
      <c r="C15" s="3161"/>
      <c r="D15" s="3147"/>
      <c r="E15" s="139" t="s">
        <v>2140</v>
      </c>
      <c r="F15" s="2424"/>
      <c r="G15" s="2424"/>
      <c r="H15" s="2424"/>
      <c r="I15" s="1828"/>
    </row>
    <row r="16" spans="1:12" ht="12.75">
      <c r="A16" s="3129"/>
      <c r="B16" s="3052"/>
      <c r="C16" s="3160"/>
      <c r="D16" s="3147"/>
      <c r="E16" s="139" t="s">
        <v>2141</v>
      </c>
      <c r="F16" s="2424"/>
      <c r="G16" s="2424"/>
      <c r="H16" s="2424"/>
      <c r="I16" s="1828"/>
    </row>
    <row r="17" spans="1:35" ht="15">
      <c r="A17" s="2425" t="s">
        <v>2142</v>
      </c>
      <c r="B17" s="64"/>
      <c r="C17" s="140">
        <f>SUM(C5:C16)</f>
        <v>7</v>
      </c>
      <c r="D17" s="140">
        <f>SUM(D5:D16)</f>
        <v>3</v>
      </c>
      <c r="E17" s="137"/>
      <c r="F17" s="137"/>
      <c r="G17" s="137"/>
      <c r="H17" s="137"/>
      <c r="I17" s="137"/>
      <c r="K17" s="2423"/>
      <c r="L17" s="2426" t="s">
        <v>2143</v>
      </c>
      <c r="M17" s="2426" t="s">
        <v>2144</v>
      </c>
    </row>
    <row r="18" spans="1:35" ht="15.75" thickBot="1">
      <c r="A18" s="2427" t="s">
        <v>2145</v>
      </c>
      <c r="B18" s="2428"/>
      <c r="C18" s="141">
        <f>ROUND(C17/SUM(C17:D17),2)</f>
        <v>0.7</v>
      </c>
      <c r="D18" s="141">
        <f>1-C18</f>
        <v>0.30000000000000004</v>
      </c>
      <c r="E18" s="137"/>
      <c r="F18" s="137"/>
      <c r="G18" s="137"/>
      <c r="H18" s="137"/>
      <c r="I18" s="137"/>
      <c r="K18" s="2423" t="s">
        <v>2146</v>
      </c>
      <c r="L18" s="2423">
        <f>IF(C1="",'数据-汇总表'!E3,SUMIF(项目类型,C1,'数据-汇总表'!E17:E26)+SUMIF(项目类型,C1,'数据-汇总表'!I17:I26))</f>
        <v>7918.4</v>
      </c>
      <c r="M18" s="2423">
        <f>IF(C1="",'数据-汇总表'!E3,SUMIF(项目类型,C1,'数据-汇总表'!E17:E26))</f>
        <v>7918.4</v>
      </c>
    </row>
    <row r="19" spans="1:35" ht="15">
      <c r="A19" s="2429" t="s">
        <v>2147</v>
      </c>
      <c r="B19" s="2430" t="s">
        <v>2148</v>
      </c>
      <c r="C19" s="142">
        <f ca="1">SUMIF(INDIRECT("'"&amp;C4&amp;"'"&amp;"!A:A"),结果表!B19,INDIRECT("'"&amp;C4&amp;"'"&amp;"!B:B"))</f>
        <v>9354</v>
      </c>
      <c r="D19" s="143">
        <f ca="1">SUMIF(INDIRECT("'"&amp;D4&amp;"'"&amp;"!A:A"),结果表!B19,INDIRECT("'"&amp;D4&amp;"'"&amp;"!B:B"))</f>
        <v>7305</v>
      </c>
      <c r="E19" s="2429" t="s">
        <v>2149</v>
      </c>
      <c r="F19" s="2430" t="s">
        <v>2148</v>
      </c>
      <c r="G19" s="144">
        <f ca="1">ROUND(C19*$C$18+D19*$D$18,0)</f>
        <v>8739</v>
      </c>
      <c r="H19" s="2431" t="s">
        <v>2150</v>
      </c>
      <c r="I19" s="137"/>
      <c r="K19" s="2423" t="s">
        <v>2151</v>
      </c>
      <c r="L19" s="2423">
        <f>IF(C1="",'数据-汇总表'!D3,SUMIF(项目类型,C1,'数据-汇总表'!D17:D26)+SUMIF(项目类型,C1,'数据-汇总表'!H17:H27))</f>
        <v>0</v>
      </c>
      <c r="M19" s="2423">
        <f>IF(C1="",'数据-汇总表'!D3,SUMIF(项目类型,C1,'数据-汇总表'!D17:D26))</f>
        <v>0</v>
      </c>
    </row>
    <row r="20" spans="1:35" ht="15">
      <c r="A20" s="2432"/>
      <c r="B20" s="1244" t="s">
        <v>2152</v>
      </c>
      <c r="C20" s="145">
        <f ca="1">SUMIF(INDIRECT("'"&amp;C4&amp;"'"&amp;"!A:A"),结果表!B20,INDIRECT("'"&amp;C4&amp;"'"&amp;"!B:B"))</f>
        <v>11813</v>
      </c>
      <c r="D20" s="146">
        <f ca="1">SUMIF(INDIRECT("'"&amp;D4&amp;"'"&amp;"!A:A"),结果表!B20,INDIRECT("'"&amp;D4&amp;"'"&amp;"!B:B"))</f>
        <v>9225</v>
      </c>
      <c r="E20" s="2432"/>
      <c r="F20" s="1244" t="s">
        <v>2152</v>
      </c>
      <c r="G20" s="147">
        <f ca="1">ROUND(C20*$C$18+D20*$D$18,0)</f>
        <v>11037</v>
      </c>
      <c r="H20" s="978" t="s">
        <v>2153</v>
      </c>
      <c r="I20" s="137"/>
    </row>
    <row r="21" spans="1:35" ht="15" customHeight="1" thickBot="1">
      <c r="A21" s="998"/>
      <c r="B21" s="2433" t="s">
        <v>2154</v>
      </c>
      <c r="C21" s="784" t="e">
        <f ca="1">ROUND(C19*10000/L19,0)</f>
        <v>#DIV/0!</v>
      </c>
      <c r="D21" s="785" t="e">
        <f ca="1">ROUND(D19*10000/L19,0)</f>
        <v>#DIV/0!</v>
      </c>
      <c r="E21" s="998"/>
      <c r="F21" s="2433" t="s">
        <v>2154</v>
      </c>
      <c r="G21" s="148" t="e">
        <f ca="1">ROUND(G19*10000/L19,0)</f>
        <v>#DIV/0!</v>
      </c>
      <c r="H21" s="2434" t="s">
        <v>2153</v>
      </c>
      <c r="I21" s="137"/>
    </row>
    <row r="22" spans="1:35" ht="15" thickBot="1">
      <c r="A22" s="2275" t="s">
        <v>2155</v>
      </c>
      <c r="B22" s="2435"/>
      <c r="C22" s="2436"/>
      <c r="D22" s="786">
        <f ca="1">IF(C19&lt;D19,D19/C19-1,C19/D19-1)</f>
        <v>0.28049281314168373</v>
      </c>
      <c r="E22" s="137"/>
      <c r="F22" s="137"/>
      <c r="G22" s="137"/>
      <c r="H22" s="137"/>
      <c r="I22" s="137"/>
    </row>
    <row r="23" spans="1:35" ht="13.5" thickBot="1">
      <c r="A23" s="2413"/>
      <c r="B23" s="2413"/>
      <c r="C23" s="2413"/>
      <c r="D23" s="2413"/>
      <c r="E23" s="137"/>
      <c r="F23" s="137"/>
      <c r="G23" s="137"/>
      <c r="H23" s="137"/>
      <c r="I23" s="137"/>
    </row>
    <row r="24" spans="1:35" ht="14.25">
      <c r="A24" s="3168" t="s">
        <v>2156</v>
      </c>
      <c r="B24" s="2430" t="s">
        <v>2148</v>
      </c>
      <c r="C24" s="144">
        <f>IF(B30=0,0,D30)</f>
        <v>0</v>
      </c>
      <c r="D24" s="2437"/>
      <c r="E24" s="137"/>
      <c r="F24" s="137"/>
      <c r="G24" s="137"/>
      <c r="H24" s="137"/>
      <c r="I24" s="137"/>
    </row>
    <row r="25" spans="1:35" ht="14.25">
      <c r="A25" s="3169"/>
      <c r="B25" s="1244" t="s">
        <v>2152</v>
      </c>
      <c r="C25" s="149">
        <f>IF(B30=0,0,C30)</f>
        <v>0</v>
      </c>
      <c r="D25" s="2438"/>
      <c r="E25" s="137"/>
      <c r="F25" s="137"/>
      <c r="G25" s="137"/>
      <c r="H25" s="137"/>
      <c r="I25" s="137"/>
    </row>
    <row r="26" spans="1:35" ht="13.5" customHeight="1">
      <c r="A26" s="2439" t="s">
        <v>2157</v>
      </c>
      <c r="B26" s="150" t="s">
        <v>2158</v>
      </c>
      <c r="C26" s="150" t="s">
        <v>2159</v>
      </c>
      <c r="D26" s="151" t="s">
        <v>2160</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1" customFormat="1" ht="15" thickBot="1">
      <c r="A31" s="2440"/>
      <c r="B31" s="2440"/>
      <c r="C31" s="2440"/>
      <c r="D31" s="2440"/>
      <c r="E31" s="137"/>
      <c r="F31" s="137"/>
      <c r="G31" s="137"/>
      <c r="H31" s="137"/>
      <c r="I31" s="137"/>
      <c r="J31" s="790"/>
      <c r="K31" s="790"/>
      <c r="L31" s="790"/>
      <c r="M31" s="790"/>
      <c r="N31" s="790"/>
      <c r="O31" s="790"/>
      <c r="P31" s="790"/>
      <c r="Q31" s="790"/>
      <c r="R31" s="790"/>
      <c r="S31" s="790"/>
      <c r="T31" s="790"/>
      <c r="U31" s="790"/>
      <c r="V31" s="790"/>
      <c r="W31" s="790"/>
      <c r="X31" s="790"/>
      <c r="Y31" s="790"/>
      <c r="Z31" s="790"/>
      <c r="AA31" s="2418"/>
      <c r="AB31" s="2418"/>
      <c r="AC31" s="2418"/>
      <c r="AD31" s="2418"/>
      <c r="AE31" s="2418"/>
      <c r="AF31" s="2418"/>
      <c r="AG31" s="2418"/>
      <c r="AH31" s="2418"/>
      <c r="AI31" s="2418"/>
    </row>
    <row r="32" spans="1:35" ht="15.75" thickBot="1">
      <c r="A32" s="2442" t="s">
        <v>2162</v>
      </c>
      <c r="B32" s="2443"/>
      <c r="C32" s="152">
        <f ca="1">IF(D32="总价",G19-C24,G20-C25)</f>
        <v>8739</v>
      </c>
      <c r="D32" s="2444" t="s">
        <v>2163</v>
      </c>
      <c r="E32" s="137"/>
      <c r="F32" s="137"/>
      <c r="G32" s="137"/>
      <c r="H32" s="137"/>
      <c r="I32" s="137"/>
    </row>
    <row r="33" spans="1:15" ht="15">
      <c r="A33" s="955" t="s">
        <v>2164</v>
      </c>
      <c r="B33" s="2445"/>
      <c r="C33" s="2446" t="s">
        <v>3068</v>
      </c>
      <c r="D33" s="2447" t="s">
        <v>3067</v>
      </c>
      <c r="E33" s="2448" t="s">
        <v>2165</v>
      </c>
      <c r="F33" s="2449" t="str">
        <f>IF(D32="楼面单价","取值（单价）","取值（总价）")</f>
        <v>取值（总价）</v>
      </c>
      <c r="G33" s="137"/>
      <c r="H33" s="137"/>
      <c r="I33" s="137"/>
    </row>
    <row r="34" spans="1:15" ht="15">
      <c r="A34" s="2450"/>
      <c r="B34" s="2451" t="s">
        <v>2166</v>
      </c>
      <c r="C34" s="156">
        <f ca="1">IF(C33="自定义",F34,C32-C35)</f>
        <v>2849</v>
      </c>
      <c r="D34" s="1053">
        <f ca="1">IF(C33="自定义",ROUND(C34/C32,3),IF(C33="收益比率",SUMIF(INDIRECT("'"&amp;D33&amp;"'"&amp;"!b:b"),"土地收益比率",INDIRECT("'"&amp;D33&amp;"'"&amp;"!c:c")),SUMIF(INDIRECT("'"&amp;D33&amp;"'"&amp;"!b:b"),"土地成本比率",INDIRECT("'"&amp;D33&amp;"'"&amp;"!c:c"))))</f>
        <v>0.32599999999999996</v>
      </c>
      <c r="E34" s="2452" t="s">
        <v>2167</v>
      </c>
      <c r="F34" s="1733"/>
      <c r="G34" s="137"/>
      <c r="H34" s="137"/>
      <c r="I34" s="137"/>
    </row>
    <row r="35" spans="1:15" ht="15.75" thickBot="1">
      <c r="A35" s="2453"/>
      <c r="B35" s="2454" t="s">
        <v>2168</v>
      </c>
      <c r="C35" s="1438">
        <f ca="1">IF(C33="自定义",F35,ROUND(C32*D35,0))</f>
        <v>5890</v>
      </c>
      <c r="D35" s="1439">
        <f ca="1">IF(C33="自定义",ROUND(C35/C32,3),IF(C33="收益比率",SUMIF(INDIRECT("'"&amp;D33&amp;"'"&amp;"!b:b"),"建筑物收益比率",INDIRECT("'"&amp;D33&amp;"'"&amp;"!c:c")),SUMIF(INDIRECT("'"&amp;D33&amp;"'"&amp;"!b:b"),"建筑物成本比率",INDIRECT("'"&amp;D33&amp;"'"&amp;"!c:c"))))</f>
        <v>0.67400000000000004</v>
      </c>
      <c r="E35" s="2455" t="s">
        <v>2169</v>
      </c>
      <c r="F35" s="162"/>
      <c r="G35" s="137"/>
      <c r="H35" s="137"/>
      <c r="I35" s="137"/>
    </row>
    <row r="36" spans="1:15" ht="15.75" thickBot="1">
      <c r="A36" s="3148" t="s">
        <v>2170</v>
      </c>
      <c r="B36" s="2456" t="s">
        <v>2171</v>
      </c>
      <c r="C36" s="153"/>
      <c r="D36" s="2457"/>
      <c r="E36" s="2458"/>
      <c r="F36" s="2459"/>
      <c r="G36" s="137"/>
      <c r="H36" s="137"/>
      <c r="I36" s="137"/>
    </row>
    <row r="37" spans="1:15" ht="15.75" thickBot="1">
      <c r="A37" s="3149"/>
      <c r="B37" s="2261" t="s">
        <v>2172</v>
      </c>
      <c r="C37" s="155"/>
      <c r="D37" s="1389"/>
      <c r="E37" s="1389"/>
      <c r="F37" s="2459"/>
      <c r="G37" s="137"/>
      <c r="H37" s="137"/>
      <c r="I37" s="137"/>
    </row>
    <row r="38" spans="1:15" ht="15.75" thickBot="1">
      <c r="A38" s="3150"/>
      <c r="B38" s="2460" t="s">
        <v>2173</v>
      </c>
      <c r="C38" s="722"/>
      <c r="D38" s="2461" t="s">
        <v>2174</v>
      </c>
      <c r="E38" s="1389"/>
      <c r="F38" s="2459"/>
      <c r="G38" s="137"/>
      <c r="H38" s="137"/>
      <c r="I38" s="137"/>
    </row>
    <row r="39" spans="1:15" ht="15">
      <c r="A39" s="2432" t="s">
        <v>2175</v>
      </c>
      <c r="B39" s="2462" t="s">
        <v>2176</v>
      </c>
      <c r="C39" s="2463" t="s">
        <v>2177</v>
      </c>
      <c r="D39" s="2463" t="s">
        <v>2178</v>
      </c>
      <c r="E39" s="2464" t="s">
        <v>2179</v>
      </c>
      <c r="F39" s="2459"/>
      <c r="G39" s="137"/>
      <c r="H39" s="137"/>
      <c r="I39" s="137"/>
    </row>
    <row r="40" spans="1:15" ht="14.25">
      <c r="A40" s="2465" t="s">
        <v>2180</v>
      </c>
      <c r="B40" s="157"/>
      <c r="C40" s="158"/>
      <c r="D40" s="158"/>
      <c r="E40" s="159"/>
      <c r="F40" s="2459"/>
      <c r="G40" s="137"/>
      <c r="H40" s="137"/>
      <c r="I40" s="137"/>
    </row>
    <row r="41" spans="1:15" ht="14.25">
      <c r="A41" s="2465" t="s">
        <v>2181</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59"/>
      <c r="B43" s="2159"/>
      <c r="C43" s="2159"/>
      <c r="D43" s="2159"/>
      <c r="E43" s="2159"/>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165" t="s">
        <v>2184</v>
      </c>
      <c r="B45" s="3166"/>
      <c r="C45" s="3167"/>
      <c r="D45" s="163">
        <f ca="1">ROUND(H101*F45,0)</f>
        <v>8739</v>
      </c>
      <c r="E45" s="164" t="s">
        <v>2185</v>
      </c>
      <c r="F45" s="165">
        <v>1</v>
      </c>
      <c r="G45" s="166" t="s">
        <v>2186</v>
      </c>
      <c r="H45" s="137"/>
      <c r="I45" s="137"/>
      <c r="J45" s="3084" t="s">
        <v>2187</v>
      </c>
      <c r="K45" s="3084"/>
      <c r="L45" s="3084"/>
      <c r="M45" s="3084"/>
      <c r="N45" s="3084"/>
      <c r="O45" s="3084"/>
    </row>
    <row r="46" spans="1:15" ht="14.25" customHeight="1">
      <c r="A46" s="3162" t="s">
        <v>2188</v>
      </c>
      <c r="B46" s="3163"/>
      <c r="C46" s="3163"/>
      <c r="D46" s="3163"/>
      <c r="E46" s="3163"/>
      <c r="F46" s="3163"/>
      <c r="G46" s="3164"/>
      <c r="H46" s="2475"/>
      <c r="I46" s="167"/>
      <c r="J46" s="1806">
        <v>1</v>
      </c>
      <c r="K46" s="3084" t="s">
        <v>2189</v>
      </c>
      <c r="L46" s="3084"/>
      <c r="M46" s="3085"/>
      <c r="N46" s="3085"/>
      <c r="O46" s="3085"/>
    </row>
    <row r="47" spans="1:15" ht="12" customHeight="1">
      <c r="A47" s="168" t="s">
        <v>2190</v>
      </c>
      <c r="B47" s="169"/>
      <c r="C47" s="170"/>
      <c r="D47" s="171" t="s">
        <v>2191</v>
      </c>
      <c r="E47" s="24" t="s">
        <v>2192</v>
      </c>
      <c r="F47" s="172" t="s">
        <v>2193</v>
      </c>
      <c r="G47" s="173" t="s">
        <v>2194</v>
      </c>
      <c r="H47" s="2475"/>
      <c r="I47" s="167"/>
      <c r="J47" s="1806">
        <v>2</v>
      </c>
      <c r="K47" s="3084" t="s">
        <v>2195</v>
      </c>
      <c r="L47" s="3084"/>
      <c r="M47" s="3086">
        <f>'数据-取费表'!B2</f>
        <v>43346</v>
      </c>
      <c r="N47" s="3086"/>
      <c r="O47" s="3086"/>
    </row>
    <row r="48" spans="1:15" ht="25.5">
      <c r="A48" s="3152" t="s">
        <v>2196</v>
      </c>
      <c r="B48" s="3153"/>
      <c r="C48" s="3153"/>
      <c r="D48" s="139">
        <f>IF(H48="情况1",0,IF(H48="情况2",D52,IF(H48="情况3",D53,IF(H48="情况4",D54))))</f>
        <v>0</v>
      </c>
      <c r="E48" s="1795" t="str">
        <f>IF(H48="情况4","(销售额-原购置价)×税（费）率","销售额×税（费）率")</f>
        <v>销售额×税（费）率</v>
      </c>
      <c r="F48" s="174" t="str">
        <f>IF(H48="情况1","免征",'数据-取费表'!B41)</f>
        <v>免征</v>
      </c>
      <c r="G48" s="2476" t="s">
        <v>2197</v>
      </c>
      <c r="H48" s="2477" t="s">
        <v>2198</v>
      </c>
      <c r="I48" s="2475"/>
      <c r="J48" s="1806">
        <v>3</v>
      </c>
      <c r="K48" s="3084" t="s">
        <v>2199</v>
      </c>
      <c r="L48" s="3084"/>
      <c r="M48" s="3087">
        <f ca="1">H101</f>
        <v>8739</v>
      </c>
      <c r="N48" s="3087"/>
      <c r="O48" s="3087"/>
    </row>
    <row r="49" spans="1:35" ht="25.5" customHeight="1">
      <c r="A49" s="175" t="s">
        <v>2200</v>
      </c>
      <c r="B49" s="3132" t="s">
        <v>2201</v>
      </c>
      <c r="C49" s="3132"/>
      <c r="D49" s="176">
        <v>0</v>
      </c>
      <c r="E49" s="23" t="s">
        <v>2202</v>
      </c>
      <c r="F49" s="28" t="s">
        <v>34</v>
      </c>
      <c r="G49" s="3113"/>
      <c r="H49" s="137"/>
      <c r="I49" s="2478"/>
      <c r="J49" s="1806">
        <v>4</v>
      </c>
      <c r="K49" s="3084" t="str">
        <f>IF(项目基本情况!E8="房地产抵押价值","房地产抵押价值","抵押担保权已注销时的房地产抵押价值")</f>
        <v>房地产抵押价值</v>
      </c>
      <c r="L49" s="3084"/>
      <c r="M49" s="3087">
        <f ca="1">IF(项目基本情况!E8="房地产抵押价值",H107,H109)</f>
        <v>8739</v>
      </c>
      <c r="N49" s="3087"/>
      <c r="O49" s="3087"/>
    </row>
    <row r="50" spans="1:35" ht="25.5" customHeight="1">
      <c r="A50" s="177"/>
      <c r="B50" s="3132" t="s">
        <v>2203</v>
      </c>
      <c r="C50" s="3132"/>
      <c r="D50" s="178"/>
      <c r="E50" s="31"/>
      <c r="F50" s="179"/>
      <c r="G50" s="3114"/>
      <c r="H50" s="137"/>
      <c r="I50" s="2478"/>
      <c r="J50" s="3084" t="s">
        <v>2204</v>
      </c>
      <c r="K50" s="3084"/>
      <c r="L50" s="3084"/>
      <c r="M50" s="3084"/>
      <c r="N50" s="3084"/>
      <c r="O50" s="3084"/>
    </row>
    <row r="51" spans="1:35" ht="12" customHeight="1">
      <c r="A51" s="180"/>
      <c r="B51" s="3132" t="s">
        <v>2205</v>
      </c>
      <c r="C51" s="3132"/>
      <c r="D51" s="181"/>
      <c r="E51" s="30"/>
      <c r="F51" s="179"/>
      <c r="G51" s="3115"/>
      <c r="H51" s="137"/>
      <c r="I51" s="2478"/>
      <c r="J51" s="2479" t="s">
        <v>2206</v>
      </c>
      <c r="K51" s="3084" t="s">
        <v>2207</v>
      </c>
      <c r="L51" s="3084"/>
      <c r="M51" s="2479" t="s">
        <v>2208</v>
      </c>
      <c r="N51" s="2479" t="s">
        <v>2209</v>
      </c>
      <c r="O51" s="2479" t="s">
        <v>2210</v>
      </c>
    </row>
    <row r="52" spans="1:35" ht="24" customHeight="1">
      <c r="A52" s="182" t="s">
        <v>2211</v>
      </c>
      <c r="B52" s="3132" t="s">
        <v>2212</v>
      </c>
      <c r="C52" s="3132"/>
      <c r="D52" s="181">
        <f ca="1">ROUND(D45*'数据-取费表'!B41/(1+'数据-取费表'!C42),0)</f>
        <v>466</v>
      </c>
      <c r="E52" s="11" t="s">
        <v>2213</v>
      </c>
      <c r="F52" s="183">
        <f>'数据-取费表'!B41</f>
        <v>5.6000000000000001E-2</v>
      </c>
      <c r="G52" s="2480"/>
      <c r="H52" s="137"/>
      <c r="I52" s="2478"/>
      <c r="J52" s="1806">
        <v>1</v>
      </c>
      <c r="K52" s="3107" t="s">
        <v>2214</v>
      </c>
      <c r="L52" s="3107"/>
      <c r="M52" s="1748">
        <f>D48</f>
        <v>0</v>
      </c>
      <c r="N52" s="1806" t="str">
        <f>E48</f>
        <v>销售额×税（费）率</v>
      </c>
      <c r="O52" s="1749" t="str">
        <f>F48</f>
        <v>免征</v>
      </c>
    </row>
    <row r="53" spans="1:35" ht="12" customHeight="1">
      <c r="A53" s="182" t="s">
        <v>2215</v>
      </c>
      <c r="B53" s="3133" t="s">
        <v>2216</v>
      </c>
      <c r="C53" s="3134"/>
      <c r="D53" s="181">
        <f ca="1">ROUND(D45*'数据-取费表'!B41/(1+'数据-取费表'!C42),0)</f>
        <v>466</v>
      </c>
      <c r="E53" s="11" t="s">
        <v>2213</v>
      </c>
      <c r="F53" s="183">
        <f>'数据-取费表'!B41</f>
        <v>5.6000000000000001E-2</v>
      </c>
      <c r="G53" s="2480"/>
      <c r="H53" s="137"/>
      <c r="I53" s="2478"/>
      <c r="J53" s="1806">
        <v>2</v>
      </c>
      <c r="K53" s="3107" t="s">
        <v>2217</v>
      </c>
      <c r="L53" s="3107"/>
      <c r="M53" s="1748">
        <f t="shared" ref="M53:O54" ca="1" si="0">D55</f>
        <v>4</v>
      </c>
      <c r="N53" s="1806" t="str">
        <f t="shared" si="0"/>
        <v>销售额×税（费）率</v>
      </c>
      <c r="O53" s="1749">
        <f t="shared" si="0"/>
        <v>5.0000000000000001E-4</v>
      </c>
    </row>
    <row r="54" spans="1:35" ht="12" customHeight="1">
      <c r="A54" s="182" t="s">
        <v>2218</v>
      </c>
      <c r="B54" s="3133" t="s">
        <v>2219</v>
      </c>
      <c r="C54" s="3134"/>
      <c r="D54" s="181">
        <f ca="1">C68</f>
        <v>466</v>
      </c>
      <c r="E54" s="30" t="s">
        <v>2220</v>
      </c>
      <c r="F54" s="183">
        <f>'数据-取费表'!B41</f>
        <v>5.6000000000000001E-2</v>
      </c>
      <c r="G54" s="2480"/>
      <c r="H54" s="2481"/>
      <c r="I54" s="2478"/>
      <c r="J54" s="1806">
        <v>3</v>
      </c>
      <c r="K54" s="3107" t="s">
        <v>2221</v>
      </c>
      <c r="L54" s="3107"/>
      <c r="M54" s="1748">
        <f t="shared" ca="1" si="0"/>
        <v>4946</v>
      </c>
      <c r="N54" s="1806" t="str">
        <f t="shared" si="0"/>
        <v>增值额×税（费）率</v>
      </c>
      <c r="O54" s="1750" t="str">
        <f t="shared" si="0"/>
        <v>——</v>
      </c>
    </row>
    <row r="55" spans="1:35" ht="24" customHeight="1">
      <c r="A55" s="3171" t="s">
        <v>2222</v>
      </c>
      <c r="B55" s="3153"/>
      <c r="C55" s="3153"/>
      <c r="D55" s="184">
        <f ca="1">IF(H55="个人住宅",0,ROUND(D45*I55,0))</f>
        <v>4</v>
      </c>
      <c r="E55" s="11" t="s">
        <v>2223</v>
      </c>
      <c r="F55" s="183">
        <f>IF(H55="正常",I55,"免征")</f>
        <v>5.0000000000000001E-4</v>
      </c>
      <c r="G55" s="2480"/>
      <c r="H55" s="2477" t="s">
        <v>2224</v>
      </c>
      <c r="I55" s="185">
        <f>'数据-取费表'!B49</f>
        <v>5.0000000000000001E-4</v>
      </c>
      <c r="J55" s="1806" t="str">
        <f>IF(H59="非个人房产","",4)</f>
        <v/>
      </c>
      <c r="K55" s="3107" t="str">
        <f>IF(H59="非个人房产","——","个人所得税")</f>
        <v>——</v>
      </c>
      <c r="L55" s="3107"/>
      <c r="M55" s="1751" t="str">
        <f>D59</f>
        <v>——</v>
      </c>
      <c r="N55" s="1804" t="str">
        <f>E59</f>
        <v>——</v>
      </c>
      <c r="O55" s="1752" t="str">
        <f>F59</f>
        <v>——</v>
      </c>
    </row>
    <row r="56" spans="1:35" ht="24.75">
      <c r="A56" s="3171" t="s">
        <v>2225</v>
      </c>
      <c r="B56" s="3153"/>
      <c r="C56" s="3153"/>
      <c r="D56" s="184">
        <f ca="1">IF(H56="个人住宅",D57,D58)</f>
        <v>4946</v>
      </c>
      <c r="E56" s="11" t="s">
        <v>2226</v>
      </c>
      <c r="F56" s="183" t="str">
        <f>IF(H56="正常",F58,"免征")</f>
        <v>——</v>
      </c>
      <c r="G56" s="2482" t="s">
        <v>2227</v>
      </c>
      <c r="H56" s="2483" t="s">
        <v>2224</v>
      </c>
      <c r="I56" s="2484"/>
      <c r="J56" s="1806" t="str">
        <f>IF(项目基本情况!K6="上海银行",IF(J55="",4,J55+1),"")</f>
        <v/>
      </c>
      <c r="K56" s="3090" t="str">
        <f>IF(项目基本情况!K6="上海银行","其他处置费用","")</f>
        <v/>
      </c>
      <c r="L56" s="3091"/>
      <c r="M56" s="1748" t="str">
        <f>IF(项目基本情况!K6="上海银行",M69,"")</f>
        <v/>
      </c>
      <c r="N56" s="3093" t="str">
        <f>IF(项目基本情况!K6="上海银行","包含处置中涉及的律师、诉讼、拍卖、评估等费用","")</f>
        <v/>
      </c>
      <c r="O56" s="3094"/>
    </row>
    <row r="57" spans="1:35" ht="12.75">
      <c r="A57" s="182" t="s">
        <v>2200</v>
      </c>
      <c r="B57" s="3138" t="s">
        <v>2228</v>
      </c>
      <c r="C57" s="3139"/>
      <c r="D57" s="186">
        <v>0</v>
      </c>
      <c r="E57" s="23" t="s">
        <v>2202</v>
      </c>
      <c r="F57" s="154"/>
      <c r="G57" s="2480"/>
      <c r="H57" s="2484"/>
      <c r="I57" s="2484"/>
      <c r="J57" s="3107">
        <f>IF(AND(J55="",J56=""),4,IF(项目基本情况!K6="上海银行",结果表!J56+1,结果表!J55+1))</f>
        <v>4</v>
      </c>
      <c r="K57" s="3107" t="s">
        <v>2229</v>
      </c>
      <c r="L57" s="2485" t="s">
        <v>2230</v>
      </c>
      <c r="M57" s="1753"/>
      <c r="N57" s="1754">
        <f ca="1">SUMIF(M52:M56,"&lt;9e307")</f>
        <v>4950</v>
      </c>
      <c r="O57" s="2486"/>
      <c r="P57" s="1747">
        <f ca="1">N57/M49</f>
        <v>0.56642636457260553</v>
      </c>
    </row>
    <row r="58" spans="1:35" ht="24.75">
      <c r="A58" s="182" t="s">
        <v>2211</v>
      </c>
      <c r="B58" s="3138" t="s">
        <v>2231</v>
      </c>
      <c r="C58" s="3151"/>
      <c r="D58" s="184">
        <f ca="1">IF(H58="转让取得",C81,C97)</f>
        <v>4946</v>
      </c>
      <c r="E58" s="11" t="s">
        <v>2226</v>
      </c>
      <c r="F58" s="24" t="s">
        <v>34</v>
      </c>
      <c r="G58" s="2480"/>
      <c r="H58" s="2483" t="s">
        <v>2232</v>
      </c>
      <c r="I58" s="2484"/>
      <c r="J58" s="3107"/>
      <c r="K58" s="3107"/>
      <c r="L58" s="2485" t="s">
        <v>2233</v>
      </c>
      <c r="M58" s="1755"/>
      <c r="N58" s="2487" t="str">
        <f ca="1">NUMBERSTRING(INT(N57*10000),2)&amp;"元整"</f>
        <v>肆仟玖佰伍拾万元整</v>
      </c>
      <c r="O58" s="2488"/>
    </row>
    <row r="59" spans="1:35" ht="24.75" thickBot="1">
      <c r="A59" s="3111" t="s">
        <v>2234</v>
      </c>
      <c r="B59" s="3112"/>
      <c r="C59" s="3112"/>
      <c r="D59" s="187" t="str">
        <f>IF(H59="非个人房产","——",IF(H59="个人住宅",0,ROUND(D45*I59,0)))</f>
        <v>——</v>
      </c>
      <c r="E59" s="188" t="str">
        <f>IF(H59="非个人房产","——","销售额×税（费）率")</f>
        <v>——</v>
      </c>
      <c r="F59" s="189" t="str">
        <f>IF(H59="非个人房产","——",IF(H59="个人住宅","免征",I59))</f>
        <v>——</v>
      </c>
      <c r="G59" s="2489" t="s">
        <v>2227</v>
      </c>
      <c r="H59" s="2483" t="s">
        <v>2235</v>
      </c>
      <c r="I59" s="190">
        <v>0.01</v>
      </c>
      <c r="J59" s="3109">
        <f>J57+1</f>
        <v>5</v>
      </c>
      <c r="K59" s="3107" t="s">
        <v>2236</v>
      </c>
      <c r="L59" s="1806" t="s">
        <v>2230</v>
      </c>
      <c r="M59" s="1756"/>
      <c r="N59" s="1757">
        <f ca="1">M49-N57</f>
        <v>3789</v>
      </c>
      <c r="O59" s="2490"/>
    </row>
    <row r="60" spans="1:35" ht="12" customHeight="1">
      <c r="A60" s="2491"/>
      <c r="B60" s="2413"/>
      <c r="C60" s="2413"/>
      <c r="D60" s="2413"/>
      <c r="E60" s="2160"/>
      <c r="F60" s="2484"/>
      <c r="G60" s="2484"/>
      <c r="H60" s="2492"/>
      <c r="I60" s="137"/>
      <c r="J60" s="3110"/>
      <c r="K60" s="3107"/>
      <c r="L60" s="2485" t="s">
        <v>2233</v>
      </c>
      <c r="M60" s="1755"/>
      <c r="N60" s="2487" t="str">
        <f ca="1">NUMBERSTRING(INT(N59*10000),2)&amp;"元整"</f>
        <v>叁仟柒佰捌拾玖万元整</v>
      </c>
      <c r="O60" s="2488"/>
    </row>
    <row r="61" spans="1:35" ht="13.5" thickBot="1">
      <c r="A61" s="3170" t="s">
        <v>2237</v>
      </c>
      <c r="B61" s="3170"/>
      <c r="C61" s="3170"/>
      <c r="D61" s="3170"/>
      <c r="E61" s="3170"/>
      <c r="F61" s="2484"/>
      <c r="G61" s="2484"/>
      <c r="H61" s="2492"/>
      <c r="I61" s="137"/>
      <c r="J61" s="1806">
        <f>J59+1</f>
        <v>6</v>
      </c>
      <c r="K61" s="3107" t="s">
        <v>2238</v>
      </c>
      <c r="L61" s="3107"/>
      <c r="M61" s="1758"/>
      <c r="N61" s="1759">
        <f ca="1">ROUND(N59*10000/'数据-汇总表'!E3,0)</f>
        <v>4785</v>
      </c>
      <c r="O61" s="2493"/>
    </row>
    <row r="62" spans="1:35" ht="12.75">
      <c r="A62" s="3127" t="s">
        <v>2239</v>
      </c>
      <c r="B62" s="3128"/>
      <c r="C62" s="1798"/>
      <c r="D62" s="1798" t="s">
        <v>2240</v>
      </c>
      <c r="E62" s="191" t="s">
        <v>2241</v>
      </c>
      <c r="F62" s="2484"/>
      <c r="G62" s="2484"/>
      <c r="H62" s="2492"/>
      <c r="I62" s="137"/>
    </row>
    <row r="63" spans="1:35" ht="12.75">
      <c r="A63" s="202" t="s">
        <v>775</v>
      </c>
      <c r="B63" s="192" t="s">
        <v>2242</v>
      </c>
      <c r="C63" s="193">
        <f ca="1">ROUND((C64+C65)/(1+'数据-取费表'!C42),0)</f>
        <v>8323</v>
      </c>
      <c r="D63" s="194"/>
      <c r="E63" s="195"/>
      <c r="F63" s="2484"/>
      <c r="G63" s="2484"/>
      <c r="H63" s="2492"/>
      <c r="I63" s="137"/>
      <c r="J63" s="3092" t="s">
        <v>2243</v>
      </c>
      <c r="K63" s="2494" t="s">
        <v>2244</v>
      </c>
      <c r="L63" s="1746">
        <f ca="1">IF(M49&gt;10000,M49*0.5%,IF(AND(M49&gt;1000,M49&lt;=10000),M49*1%,IF(AND(M49&gt;100,M49&lt;=1000),M49*3%,IF(AND(M49&gt;10,M49&lt;=100),M49*5%,M49*8%))))</f>
        <v>87.39</v>
      </c>
      <c r="M63" s="24">
        <f ca="1">ROUND(L63,1)</f>
        <v>87.4</v>
      </c>
      <c r="Z63" s="2418"/>
      <c r="AI63" s="2419"/>
    </row>
    <row r="64" spans="1:35" ht="14.25" customHeight="1">
      <c r="A64" s="196" t="s">
        <v>770</v>
      </c>
      <c r="B64" s="197" t="s">
        <v>2245</v>
      </c>
      <c r="C64" s="198">
        <f ca="1">D45</f>
        <v>8739</v>
      </c>
      <c r="D64" s="199" t="s">
        <v>32</v>
      </c>
      <c r="E64" s="200"/>
      <c r="F64" s="2484"/>
      <c r="G64" s="2484"/>
      <c r="H64" s="2492"/>
      <c r="I64" s="137"/>
      <c r="J64" s="3092"/>
      <c r="K64" s="2494" t="s">
        <v>2246</v>
      </c>
      <c r="L64" s="1746">
        <f ca="1">IF(M49&gt;2000,M49*0.5%,IF(AND(M49&gt;1000,M49&lt;=2000),M49*0.6%,IF(AND(M49&gt;500,M49&lt;=1000),M49*0.7%,IF(AND(M49&gt;200,M49&lt;=500),M49*0.8%,IF(AND(M49&gt;100,M49&lt;=200),M49*0.9%,IF(AND(M49&gt;50,M49&lt;=100),M49*1%,IF(AND(M49&gt;20,M49&lt;=50),M49*1.5%,IF(AND(M49&gt;10,M49&lt;=20),M49*2%,IF(AND(M49&gt;1,M49&lt;=10),M49*2.5%)))))))))</f>
        <v>43.695</v>
      </c>
      <c r="M64" s="24">
        <f t="shared" ref="M64:M65" ca="1" si="1">ROUND(L64,1)</f>
        <v>43.7</v>
      </c>
      <c r="N64" s="137" t="s">
        <v>2247</v>
      </c>
      <c r="Z64" s="2418"/>
      <c r="AI64" s="2419"/>
    </row>
    <row r="65" spans="1:35" ht="14.25" customHeight="1">
      <c r="A65" s="196" t="s">
        <v>771</v>
      </c>
      <c r="B65" s="197" t="s">
        <v>2248</v>
      </c>
      <c r="C65" s="201"/>
      <c r="D65" s="199"/>
      <c r="E65" s="200"/>
      <c r="F65" s="2484"/>
      <c r="G65" s="2484"/>
      <c r="H65" s="2492"/>
      <c r="I65" s="137"/>
      <c r="J65" s="3092"/>
      <c r="K65" s="2494" t="s">
        <v>2249</v>
      </c>
      <c r="L65" s="1746">
        <f ca="1">IF(M49&gt;1000,M49*0.1%,IF(AND(M49&gt;500,M49&lt;=1000),M49*0.5%,IF(AND(M49&gt;50,M49&lt;=500),M49*1%,IF(AND(M49&gt;1,M49&lt;=50),M49*1.5%))))</f>
        <v>8.7390000000000008</v>
      </c>
      <c r="M65" s="24">
        <f t="shared" ca="1" si="1"/>
        <v>8.6999999999999993</v>
      </c>
      <c r="N65" s="137" t="s">
        <v>2247</v>
      </c>
      <c r="Z65" s="2418"/>
      <c r="AI65" s="2419"/>
    </row>
    <row r="66" spans="1:35" ht="14.25" customHeight="1">
      <c r="A66" s="202" t="s">
        <v>772</v>
      </c>
      <c r="B66" s="203" t="s">
        <v>2250</v>
      </c>
      <c r="C66" s="204"/>
      <c r="D66" s="205" t="s">
        <v>32</v>
      </c>
      <c r="E66" s="1770" t="s">
        <v>1371</v>
      </c>
      <c r="F66" s="2484"/>
      <c r="G66" s="2484"/>
      <c r="H66" s="2492"/>
      <c r="I66" s="137"/>
      <c r="J66" s="3092"/>
      <c r="K66" s="2494" t="s">
        <v>2251</v>
      </c>
      <c r="L66" s="1746">
        <f ca="1">M49*0.5%</f>
        <v>43.695</v>
      </c>
      <c r="M66" s="24">
        <f ca="1">IF(L66&gt;0.5,0.5,ROUND(L66,0))</f>
        <v>0.5</v>
      </c>
      <c r="N66" s="137" t="s">
        <v>2252</v>
      </c>
      <c r="Z66" s="2418"/>
      <c r="AI66" s="2419"/>
    </row>
    <row r="67" spans="1:35" ht="14.25" customHeight="1">
      <c r="A67" s="202" t="s">
        <v>773</v>
      </c>
      <c r="B67" s="203" t="s">
        <v>2253</v>
      </c>
      <c r="C67" s="206">
        <f ca="1">C63-C66</f>
        <v>8323</v>
      </c>
      <c r="D67" s="199" t="s">
        <v>32</v>
      </c>
      <c r="E67" s="200"/>
      <c r="F67" s="2484"/>
      <c r="G67" s="2484"/>
      <c r="H67" s="2492"/>
      <c r="I67" s="137"/>
      <c r="J67" s="3092"/>
      <c r="K67" s="2494" t="s">
        <v>2254</v>
      </c>
      <c r="L67" s="1746">
        <f ca="1">IF(M49&gt;=10000,(8.25+(M49-10000)*0.01%),IF(AND(M49&gt;=8000,M49&lt;10000),(7.85+(M49-8000)*0.02%),IF(AND(M49&gt;=5000,M49&lt;8000),(6.65+(M49-5000)*0.04%),IF(AND(M49&gt;=2000,M49&lt;5000),(4.25+(PM49-2000)*0.08%),IF(AND(M49&gt;=1000,M49&lt;2000),(2.75+(M49-1000)*0.15%),IF(AND(M49&gt;=100,M49&lt;1000),(0.5+(M49-100)*0.25%),IF(AND(M49&gt;0,M49&lt;100),M49*0.5%)))))))</f>
        <v>7.9977999999999998</v>
      </c>
      <c r="M67" s="24">
        <f ca="1">ROUND(L67*0.9,1)</f>
        <v>7.2</v>
      </c>
      <c r="Z67" s="2418"/>
      <c r="AI67" s="2419"/>
    </row>
    <row r="68" spans="1:35" ht="14.25" customHeight="1" thickBot="1">
      <c r="A68" s="207" t="s">
        <v>774</v>
      </c>
      <c r="B68" s="208" t="s">
        <v>2255</v>
      </c>
      <c r="C68" s="209">
        <f ca="1">IF(C67&lt;=0,0,ROUND(C67*D68,0))</f>
        <v>466</v>
      </c>
      <c r="D68" s="210">
        <f>'数据-取费表'!B41</f>
        <v>5.6000000000000001E-2</v>
      </c>
      <c r="E68" s="211"/>
      <c r="F68" s="2484"/>
      <c r="G68" s="2484"/>
      <c r="H68" s="2492"/>
      <c r="I68" s="137"/>
      <c r="J68" s="3092"/>
      <c r="K68" s="2494" t="s">
        <v>2256</v>
      </c>
      <c r="L68" s="1746">
        <f ca="1">IF(M49&gt;10000,M49*0.5%,IF(AND(M49&gt;5000,M49&lt;=10000),M49*1%,IF(AND(M49&gt;1000,M49&lt;=5000),M49*2%,IF(AND(M49&gt;200,M49&lt;=1000),M49*3%,M49*5%))))</f>
        <v>87.39</v>
      </c>
      <c r="M68" s="24">
        <f ca="1">ROUND(L68,1)</f>
        <v>87.4</v>
      </c>
      <c r="Z68" s="2418"/>
      <c r="AI68" s="2419"/>
    </row>
    <row r="69" spans="1:35" s="2441" customFormat="1" ht="16.5" customHeight="1">
      <c r="A69" s="2495"/>
      <c r="B69" s="2496"/>
      <c r="C69" s="2497"/>
      <c r="D69" s="2498"/>
      <c r="E69" s="2499"/>
      <c r="F69" s="2160"/>
      <c r="G69" s="2160"/>
      <c r="H69" s="2159"/>
      <c r="I69" s="2413"/>
      <c r="J69" s="3092"/>
      <c r="K69" s="2494" t="s">
        <v>2257</v>
      </c>
      <c r="L69" s="2500"/>
      <c r="M69" s="24">
        <f ca="1">ROUND(SUM(M63:M68),0)</f>
        <v>235</v>
      </c>
      <c r="N69" s="1747">
        <f ca="1">M69/M49</f>
        <v>2.6890948621123699E-2</v>
      </c>
      <c r="O69" s="790"/>
      <c r="P69" s="790"/>
      <c r="Q69" s="790"/>
      <c r="R69" s="790"/>
      <c r="S69" s="790"/>
      <c r="T69" s="790"/>
      <c r="U69" s="790"/>
      <c r="V69" s="790"/>
      <c r="W69" s="790"/>
      <c r="X69" s="790"/>
      <c r="Y69" s="790"/>
      <c r="Z69" s="2418"/>
      <c r="AA69" s="2418"/>
      <c r="AB69" s="2418"/>
      <c r="AC69" s="2418"/>
      <c r="AD69" s="2418"/>
      <c r="AE69" s="2418"/>
      <c r="AF69" s="2418"/>
      <c r="AG69" s="2418"/>
      <c r="AH69" s="2418"/>
    </row>
    <row r="70" spans="1:35" s="2502" customFormat="1" ht="15" thickBot="1">
      <c r="A70" s="3136" t="s">
        <v>2258</v>
      </c>
      <c r="B70" s="3137"/>
      <c r="C70" s="3137"/>
      <c r="D70" s="3137"/>
      <c r="E70" s="3137"/>
      <c r="F70" s="3137"/>
      <c r="G70" s="3137"/>
      <c r="H70" s="313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2239</v>
      </c>
      <c r="B71" s="3128"/>
      <c r="C71" s="1798"/>
      <c r="D71" s="1798" t="s">
        <v>2240</v>
      </c>
      <c r="E71" s="212" t="s">
        <v>2241</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2259</v>
      </c>
      <c r="C72" s="206">
        <f ca="1">ROUND(D45/(1+'数据-取费表'!C42),0)</f>
        <v>8323</v>
      </c>
      <c r="D72" s="199" t="s">
        <v>32</v>
      </c>
      <c r="E72" s="1797"/>
      <c r="F72" s="1791"/>
      <c r="G72" s="1791"/>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2260</v>
      </c>
      <c r="C73" s="206">
        <f ca="1">C74+C78</f>
        <v>50</v>
      </c>
      <c r="D73" s="199" t="s">
        <v>32</v>
      </c>
      <c r="E73" s="1797"/>
      <c r="F73" s="1791"/>
      <c r="G73" s="1791"/>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2261</v>
      </c>
      <c r="C74" s="199">
        <f>ROUND(IF(G77="2016年5月1日后购买",C75/(1+'数据-取费表'!C42)+C76+C77,C75+C76+C77),0)</f>
        <v>0</v>
      </c>
      <c r="D74" s="199" t="s">
        <v>32</v>
      </c>
      <c r="E74" s="1797"/>
      <c r="F74" s="1791"/>
      <c r="G74" s="1791"/>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2262</v>
      </c>
      <c r="C75" s="217"/>
      <c r="D75" s="199" t="s">
        <v>32</v>
      </c>
      <c r="E75" s="218" t="s">
        <v>2263</v>
      </c>
      <c r="F75" s="2506" t="s">
        <v>2264</v>
      </c>
      <c r="G75" s="218" t="s">
        <v>2265</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2266</v>
      </c>
      <c r="C76" s="199">
        <f>IF(F75="购房发票",ROUND(C75*H75*D76,0),0)</f>
        <v>0</v>
      </c>
      <c r="D76" s="221">
        <v>0.05</v>
      </c>
      <c r="E76" s="3133" t="s">
        <v>2267</v>
      </c>
      <c r="F76" s="3132"/>
      <c r="G76" s="3132"/>
      <c r="H76" s="313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2271</v>
      </c>
      <c r="C78" s="224">
        <f ca="1">ROUND(D45*D78/(1+'数据-取费表'!C42),0)</f>
        <v>50</v>
      </c>
      <c r="D78" s="225">
        <f>'数据-取费表'!B43</f>
        <v>6.000000000000001E-3</v>
      </c>
      <c r="E78" s="3124" t="s">
        <v>2272</v>
      </c>
      <c r="F78" s="3125"/>
      <c r="G78" s="3125"/>
      <c r="H78" s="312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2273</v>
      </c>
      <c r="C79" s="206">
        <f ca="1">C72-C73</f>
        <v>8273</v>
      </c>
      <c r="D79" s="199" t="s">
        <v>32</v>
      </c>
      <c r="E79" s="1797"/>
      <c r="F79" s="1791"/>
      <c r="G79" s="1791"/>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2274</v>
      </c>
      <c r="C80" s="226">
        <f ca="1">IF(C79&lt;=0,0,C79/C73)</f>
        <v>165.46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2275</v>
      </c>
      <c r="C81" s="227">
        <f ca="1">ROUND(IF(C79&lt;=0,0,IF(C80&gt;=200%,C79*60%-C73*35%,IF(C80&gt;=100%,C79*50%-C73*15%,IF(C80&gt;=50%,C79*40%-C73*5%,IF(C80&lt;50%,C79*30%,0))))),0)</f>
        <v>4946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8"/>
      <c r="B82" s="729"/>
      <c r="C82" s="7"/>
      <c r="D82" s="7"/>
      <c r="E82" s="729"/>
      <c r="F82" s="729"/>
      <c r="G82" s="729"/>
      <c r="H82" s="730"/>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6" t="s">
        <v>2276</v>
      </c>
      <c r="B83" s="3137"/>
      <c r="C83" s="3137"/>
      <c r="D83" s="3137"/>
      <c r="E83" s="3137"/>
      <c r="F83" s="3137"/>
      <c r="G83" s="3137"/>
      <c r="H83" s="313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2239</v>
      </c>
      <c r="B84" s="3128"/>
      <c r="C84" s="1798"/>
      <c r="D84" s="1798" t="s">
        <v>2240</v>
      </c>
      <c r="E84" s="212" t="s">
        <v>2241</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2259</v>
      </c>
      <c r="C85" s="206">
        <f ca="1">ROUND(D45/(1+'数据-取费表'!C42),0)</f>
        <v>8323</v>
      </c>
      <c r="D85" s="199" t="s">
        <v>32</v>
      </c>
      <c r="E85" s="1797"/>
      <c r="F85" s="1791"/>
      <c r="G85" s="1791"/>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2260</v>
      </c>
      <c r="C86" s="206">
        <f ca="1">IF(H88="仅含出让金",C87+C90+C91+C92+C93+C94,C87+C91+C92+C93+C94)</f>
        <v>50</v>
      </c>
      <c r="D86" s="234"/>
      <c r="E86" s="1797"/>
      <c r="F86" s="1791"/>
      <c r="G86" s="1791"/>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2277</v>
      </c>
      <c r="C87" s="224">
        <f>C88+C89</f>
        <v>0</v>
      </c>
      <c r="D87" s="225"/>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2278</v>
      </c>
      <c r="C88" s="235"/>
      <c r="D88" s="225"/>
      <c r="E88" s="236" t="s">
        <v>2279</v>
      </c>
      <c r="F88" s="1794"/>
      <c r="G88" s="237"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2268</v>
      </c>
      <c r="C89" s="224">
        <f>ROUND(C88*D89,0)</f>
        <v>0</v>
      </c>
      <c r="D89" s="225">
        <f>'数据-取费表'!B48+'数据-取费表'!B49</f>
        <v>3.0499999999999999E-2</v>
      </c>
      <c r="E89" s="236"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2282</v>
      </c>
      <c r="C90" s="235"/>
      <c r="D90" s="225"/>
      <c r="E90" s="236"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2283</v>
      </c>
      <c r="B91" s="197" t="s">
        <v>2284</v>
      </c>
      <c r="C91" s="224">
        <f>IF(H91="——",成本法!C33,I91)</f>
        <v>0</v>
      </c>
      <c r="D91" s="225"/>
      <c r="E91" s="3124" t="s">
        <v>2285</v>
      </c>
      <c r="F91" s="3125"/>
      <c r="G91" s="3125"/>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2287</v>
      </c>
      <c r="B92" s="197" t="s">
        <v>2288</v>
      </c>
      <c r="C92" s="224">
        <f>ROUND((C87+C90+C91)*D92,0)</f>
        <v>0</v>
      </c>
      <c r="D92" s="225">
        <v>0.1</v>
      </c>
      <c r="E92" s="3124" t="s">
        <v>2289</v>
      </c>
      <c r="F92" s="3125"/>
      <c r="G92" s="3125"/>
      <c r="H92" s="312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2290</v>
      </c>
      <c r="B93" s="197" t="s">
        <v>2271</v>
      </c>
      <c r="C93" s="224">
        <f ca="1">ROUND(D45*D93/(1+'数据-取费表'!C42),0)</f>
        <v>50</v>
      </c>
      <c r="D93" s="225">
        <f>'数据-取费表'!B43</f>
        <v>6.000000000000001E-3</v>
      </c>
      <c r="E93" s="3124" t="s">
        <v>2272</v>
      </c>
      <c r="F93" s="3125"/>
      <c r="G93" s="3125"/>
      <c r="H93" s="312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2291</v>
      </c>
      <c r="B94" s="197" t="s">
        <v>2292</v>
      </c>
      <c r="C94" s="235">
        <f>ROUND((C87+C90+C91)*D94,0)</f>
        <v>0</v>
      </c>
      <c r="D94" s="225">
        <v>0.2</v>
      </c>
      <c r="E94" s="3172" t="s">
        <v>2293</v>
      </c>
      <c r="F94" s="3173"/>
      <c r="G94" s="3173"/>
      <c r="H94" s="31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2273</v>
      </c>
      <c r="C95" s="206">
        <f ca="1">ROUND(C85-C86,0)</f>
        <v>8273</v>
      </c>
      <c r="D95" s="199" t="s">
        <v>32</v>
      </c>
      <c r="E95" s="1797"/>
      <c r="F95" s="1791"/>
      <c r="G95" s="1791"/>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2274</v>
      </c>
      <c r="C96" s="226">
        <f ca="1">IF(C95&lt;=0,0,C95/C86)</f>
        <v>165.46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2275</v>
      </c>
      <c r="C97" s="227">
        <f ca="1">ROUND(IF(C95&lt;=0,0,IF(C96&gt;=200%,C95*60%-C86*35%,IF(C96&gt;=100%,C95*50%-C86*15%,IF(C96&gt;=50%,C95*40%-C86*5%,IF(C96&lt;50%,C95*30%,0))))),0)</f>
        <v>4946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7"/>
    </row>
    <row r="99" spans="1:35" ht="21.75" customHeight="1" thickBot="1">
      <c r="A99" s="2469" t="s">
        <v>2294</v>
      </c>
      <c r="B99" s="2413"/>
      <c r="C99" s="2413"/>
      <c r="D99" s="2413"/>
      <c r="E99" s="2160"/>
      <c r="F99" s="2160"/>
      <c r="G99" s="2160"/>
      <c r="H99" s="2159"/>
      <c r="I99" s="137"/>
    </row>
    <row r="100" spans="1:35" ht="18.75" customHeight="1">
      <c r="A100" s="3076" t="s">
        <v>2295</v>
      </c>
      <c r="B100" s="3077"/>
      <c r="C100" s="3077"/>
      <c r="D100" s="3108"/>
      <c r="E100" s="3077" t="s">
        <v>2296</v>
      </c>
      <c r="F100" s="3077"/>
      <c r="G100" s="3077"/>
      <c r="H100" s="3108"/>
      <c r="I100" s="137"/>
    </row>
    <row r="101" spans="1:35" ht="18.75" customHeight="1">
      <c r="A101" s="3116" t="s">
        <v>2297</v>
      </c>
      <c r="B101" s="3117"/>
      <c r="C101" s="731" t="str">
        <f>C4</f>
        <v>比较法-商业</v>
      </c>
      <c r="D101" s="732" t="str">
        <f>D4</f>
        <v>收益法</v>
      </c>
      <c r="E101" s="3088" t="s">
        <v>2298</v>
      </c>
      <c r="F101" s="3089"/>
      <c r="G101" s="2515" t="s">
        <v>2299</v>
      </c>
      <c r="H101" s="1043">
        <f ca="1">H118</f>
        <v>8739</v>
      </c>
      <c r="I101" s="137"/>
    </row>
    <row r="102" spans="1:35" ht="18.75" customHeight="1">
      <c r="A102" s="3118" t="s">
        <v>2300</v>
      </c>
      <c r="B102" s="2515" t="s">
        <v>2299</v>
      </c>
      <c r="C102" s="731">
        <f ca="1">C19</f>
        <v>9354</v>
      </c>
      <c r="D102" s="732">
        <f ca="1">D19</f>
        <v>7305</v>
      </c>
      <c r="E102" s="3088"/>
      <c r="F102" s="3089"/>
      <c r="G102" s="2515" t="s">
        <v>2301</v>
      </c>
      <c r="H102" s="370">
        <f ca="1">I118</f>
        <v>11036</v>
      </c>
      <c r="I102" s="137"/>
    </row>
    <row r="103" spans="1:35" ht="42.75" customHeight="1">
      <c r="A103" s="3118"/>
      <c r="B103" s="2515" t="s">
        <v>2301</v>
      </c>
      <c r="C103" s="733">
        <f ca="1">C20</f>
        <v>11813</v>
      </c>
      <c r="D103" s="734">
        <f ca="1">D20</f>
        <v>9225</v>
      </c>
      <c r="E103" s="3082" t="s">
        <v>2302</v>
      </c>
      <c r="F103" s="3083"/>
      <c r="G103" s="2516" t="s">
        <v>2303</v>
      </c>
      <c r="H103" s="1043">
        <f>IF(D36="正常操作",H104+H105+H106,H105+H106)</f>
        <v>0</v>
      </c>
      <c r="I103" s="137"/>
    </row>
    <row r="104" spans="1:35" ht="18.75" customHeight="1">
      <c r="A104" s="3118" t="s">
        <v>2304</v>
      </c>
      <c r="B104" s="2517" t="s">
        <v>2299</v>
      </c>
      <c r="C104" s="735">
        <f ca="1">H118</f>
        <v>8739</v>
      </c>
      <c r="D104" s="736"/>
      <c r="E104" s="2261" t="s">
        <v>2305</v>
      </c>
      <c r="F104" s="2252"/>
      <c r="G104" s="2516" t="s">
        <v>2303</v>
      </c>
      <c r="H104" s="1044">
        <f>IF(D36="同一抵押权人同一抵押物续贷",C36&amp;"（未扣减，详见特别提示）",C36)</f>
        <v>0</v>
      </c>
      <c r="I104" s="137"/>
    </row>
    <row r="105" spans="1:35" ht="18.75" customHeight="1" thickBot="1">
      <c r="A105" s="3130"/>
      <c r="B105" s="2518" t="s">
        <v>2301</v>
      </c>
      <c r="C105" s="737">
        <f ca="1">I118</f>
        <v>11036</v>
      </c>
      <c r="D105" s="738"/>
      <c r="E105" s="2261" t="s">
        <v>2306</v>
      </c>
      <c r="F105" s="2252"/>
      <c r="G105" s="2516" t="s">
        <v>2303</v>
      </c>
      <c r="H105" s="1044">
        <f>C37</f>
        <v>0</v>
      </c>
      <c r="I105" s="137"/>
    </row>
    <row r="106" spans="1:35" ht="18.75" customHeight="1">
      <c r="A106" s="2413" t="s">
        <v>2307</v>
      </c>
      <c r="B106" s="2413"/>
      <c r="C106" s="2413"/>
      <c r="D106" s="2413"/>
      <c r="E106" s="2519" t="s">
        <v>2308</v>
      </c>
      <c r="F106" s="2252"/>
      <c r="G106" s="2516" t="s">
        <v>2303</v>
      </c>
      <c r="H106" s="1044">
        <f>C38</f>
        <v>0</v>
      </c>
      <c r="I106" s="137"/>
    </row>
    <row r="107" spans="1:35" ht="18.75" customHeight="1">
      <c r="A107" s="137"/>
      <c r="B107" s="137"/>
      <c r="C107" s="137"/>
      <c r="D107" s="137"/>
      <c r="E107" s="3119" t="str">
        <f>IF(项目基本情况!E8="已注销","——","3.房地产抵押价值")</f>
        <v>3.房地产抵押价值</v>
      </c>
      <c r="F107" s="3089"/>
      <c r="G107" s="2515" t="s">
        <v>2299</v>
      </c>
      <c r="H107" s="1043">
        <f ca="1">IF(E107="——","——",H101-H103)</f>
        <v>8739</v>
      </c>
      <c r="I107" s="137"/>
    </row>
    <row r="108" spans="1:35" ht="18.75" customHeight="1">
      <c r="A108" s="137"/>
      <c r="B108" s="137"/>
      <c r="C108" s="137"/>
      <c r="D108" s="137"/>
      <c r="E108" s="3119"/>
      <c r="F108" s="3089"/>
      <c r="G108" s="2515" t="s">
        <v>2301</v>
      </c>
      <c r="H108" s="370">
        <f ca="1">ROUND(H107*10000/'数据-汇总表'!E3,0)</f>
        <v>11036</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089"/>
      <c r="G109" s="2515" t="s">
        <v>2299</v>
      </c>
      <c r="H109" s="347" t="str">
        <f>IF(E109="——","——",H101-H105-H106)</f>
        <v>——</v>
      </c>
      <c r="I109" s="137"/>
    </row>
    <row r="110" spans="1:35" ht="18.75" customHeight="1">
      <c r="A110" s="137"/>
      <c r="B110" s="137"/>
      <c r="C110" s="137"/>
      <c r="D110" s="137"/>
      <c r="E110" s="3119"/>
      <c r="F110" s="3089"/>
      <c r="G110" s="2515" t="s">
        <v>2301</v>
      </c>
      <c r="H110" s="370" t="str">
        <f>IF(H109="——","——",ROUND(H109*10000/'数据-汇总表'!E3,0))</f>
        <v>——</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15" t="s">
        <v>2299</v>
      </c>
      <c r="H111" s="1043" t="str">
        <f>IF(E111="——","——",N59)</f>
        <v>——</v>
      </c>
      <c r="I111" s="137"/>
    </row>
    <row r="112" spans="1:35" ht="18.75" customHeight="1" thickBot="1">
      <c r="A112" s="137"/>
      <c r="B112" s="137"/>
      <c r="C112" s="137"/>
      <c r="D112" s="137"/>
      <c r="E112" s="3122"/>
      <c r="F112" s="3123"/>
      <c r="G112" s="2520" t="s">
        <v>2301</v>
      </c>
      <c r="H112" s="785" t="str">
        <f>IF(E111="——","——",N61)</f>
        <v>——</v>
      </c>
      <c r="I112" s="137"/>
    </row>
    <row r="113" spans="1:11" ht="18.75" customHeight="1">
      <c r="A113" s="137"/>
      <c r="B113" s="137"/>
      <c r="C113" s="137"/>
      <c r="D113" s="137"/>
      <c r="E113" s="3131" t="s">
        <v>2307</v>
      </c>
      <c r="F113" s="3131"/>
      <c r="G113" s="3131"/>
      <c r="H113" s="3131"/>
      <c r="I113" s="137"/>
    </row>
    <row r="114" spans="1:11" ht="3.75" customHeight="1">
      <c r="A114" s="2413"/>
      <c r="B114" s="2413"/>
      <c r="C114" s="2413"/>
      <c r="D114" s="2413"/>
      <c r="E114" s="2491"/>
      <c r="F114" s="2491"/>
      <c r="G114" s="2491"/>
      <c r="H114" s="2491"/>
      <c r="I114" s="2413"/>
    </row>
    <row r="115" spans="1:11" ht="18.75" customHeight="1">
      <c r="A115" s="3144" t="s">
        <v>2309</v>
      </c>
      <c r="B115" s="3145"/>
      <c r="C115" s="3145"/>
      <c r="D115" s="3145"/>
      <c r="E115" s="3145"/>
      <c r="F115" s="3145"/>
      <c r="G115" s="3145"/>
      <c r="H115" s="3145"/>
      <c r="I115" s="3146"/>
    </row>
    <row r="116" spans="1:11" ht="27" customHeight="1">
      <c r="A116" s="3052" t="s">
        <v>2310</v>
      </c>
      <c r="B116" s="3098" t="s">
        <v>3072</v>
      </c>
      <c r="C116" s="3098" t="s">
        <v>3071</v>
      </c>
      <c r="D116" s="3104" t="s">
        <v>2311</v>
      </c>
      <c r="E116" s="3105"/>
      <c r="F116" s="3140" t="s">
        <v>3070</v>
      </c>
      <c r="G116" s="3140"/>
      <c r="H116" s="3052" t="s">
        <v>2312</v>
      </c>
      <c r="I116" s="3052"/>
    </row>
    <row r="117" spans="1:11" ht="18.75" customHeight="1">
      <c r="A117" s="3052"/>
      <c r="B117" s="3099"/>
      <c r="C117" s="3099"/>
      <c r="D117" s="1792" t="s">
        <v>2313</v>
      </c>
      <c r="E117" s="1792" t="s">
        <v>2314</v>
      </c>
      <c r="F117" s="1792" t="s">
        <v>2313</v>
      </c>
      <c r="G117" s="1792" t="s">
        <v>2315</v>
      </c>
      <c r="H117" s="1792" t="s">
        <v>2313</v>
      </c>
      <c r="I117" s="1792" t="s">
        <v>2315</v>
      </c>
    </row>
    <row r="118" spans="1:11" ht="24.75" customHeight="1">
      <c r="A118" s="2521" t="str">
        <f>项目基本情况!S2</f>
        <v>江苏省镇江市京口区解放路27号镇江财富广场8幢101室等共79套商业用房房地产</v>
      </c>
      <c r="B118" s="1792">
        <f>M18</f>
        <v>7918.4</v>
      </c>
      <c r="C118" s="1792">
        <f>M19</f>
        <v>0</v>
      </c>
      <c r="D118" s="1792">
        <f ca="1">ROUND(IF(D32="总价",C34,E118*B118/10000),0)</f>
        <v>2849</v>
      </c>
      <c r="E118" s="1792">
        <f ca="1">ROUND(IF(C33="自定义",IF(D32="楼面单价",C34,D118*10000/B118),I118-G118),0)</f>
        <v>3598</v>
      </c>
      <c r="F118" s="1792">
        <f ca="1">ROUND(IF(D32="总价",C35,G118*B118/10000),0)</f>
        <v>5890</v>
      </c>
      <c r="G118" s="1792">
        <f ca="1">ROUND(IF(D32="楼面单价",C35,F118*10000/B118),0)</f>
        <v>7438</v>
      </c>
      <c r="H118" s="1792">
        <f ca="1">ROUND(IF(D32="总价",C32,I118*B118/10000),0)</f>
        <v>8739</v>
      </c>
      <c r="I118" s="1792">
        <f ca="1">ROUND(IF(D32="楼面单价",C32,H118*10000/B118),0)</f>
        <v>11036</v>
      </c>
    </row>
    <row r="119" spans="1:11" ht="18.75" customHeight="1">
      <c r="A119" s="3052" t="s">
        <v>2316</v>
      </c>
      <c r="B119" s="3052"/>
      <c r="C119" s="3052"/>
      <c r="D119" s="3100" t="str">
        <f ca="1">NUMBERSTRING(INT(D118*10000),2)&amp;"元整"</f>
        <v>贰仟捌佰肆拾玖万元整</v>
      </c>
      <c r="E119" s="3101"/>
      <c r="F119" s="3100" t="str">
        <f ca="1">NUMBERSTRING(INT(F118*10000),2)&amp;"元整"</f>
        <v>伍仟捌佰玖拾万元整</v>
      </c>
      <c r="G119" s="3101"/>
      <c r="H119" s="3100" t="str">
        <f ca="1">NUMBERSTRING(INT(H118*10000),2)&amp;"元整"</f>
        <v>捌仟柒佰叁拾玖万元整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8" t="str">
        <f>IF(D120=0,"故，本次评估不存在"&amp;A120,"故，本次评估"&amp;A120&amp;"为人民币"&amp;D120&amp;"万元整。")</f>
        <v>故，本次评估不存在估价师知悉的法定优先受偿款</v>
      </c>
    </row>
    <row r="121" spans="1:11" ht="18.75" customHeight="1">
      <c r="A121" s="3141" t="s">
        <v>2316</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8739</v>
      </c>
      <c r="E122" s="3096"/>
      <c r="F122" s="3096"/>
      <c r="G122" s="3096"/>
      <c r="H122" s="3096"/>
      <c r="I122" s="3097"/>
    </row>
    <row r="123" spans="1:11" ht="18.75" customHeight="1">
      <c r="A123" s="3052" t="s">
        <v>2316</v>
      </c>
      <c r="B123" s="3052"/>
      <c r="C123" s="3052"/>
      <c r="D123" s="3100" t="str">
        <f ca="1">NUMBERSTRING(INT(D122*10000),2)&amp;"元整"</f>
        <v>捌仟柒佰叁拾玖万元整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2" t="s">
        <v>2316</v>
      </c>
      <c r="B125" s="3052"/>
      <c r="C125" s="3052"/>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2" t="s">
        <v>2316</v>
      </c>
      <c r="B127" s="3052"/>
      <c r="C127" s="3052"/>
      <c r="D127" s="3100" t="e">
        <f>NUMBERSTRING(INT(D126*10000),2)&amp;"元整"</f>
        <v>#VALUE!</v>
      </c>
      <c r="E127" s="3102"/>
      <c r="F127" s="3102"/>
      <c r="G127" s="3102"/>
      <c r="H127" s="3102"/>
      <c r="I127" s="3101"/>
    </row>
    <row r="128" spans="1:11" ht="21.75" customHeight="1">
      <c r="A128" s="3103" t="s">
        <v>2317</v>
      </c>
      <c r="B128" s="3103"/>
      <c r="C128" s="3103"/>
      <c r="D128" s="3103"/>
      <c r="E128" s="3103"/>
      <c r="F128" s="3103"/>
      <c r="G128" s="3103"/>
      <c r="H128" s="3103"/>
      <c r="I128" s="3103"/>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0"/>
    </row>
    <row r="135" spans="1:35" ht="21.75" customHeight="1">
      <c r="A135" s="790"/>
      <c r="B135" s="790"/>
      <c r="C135" s="790"/>
      <c r="D135" s="790"/>
      <c r="E135" s="790"/>
      <c r="F135" s="2538" t="s">
        <v>2320</v>
      </c>
      <c r="G135" s="2539"/>
      <c r="H135" s="2539"/>
      <c r="I135" s="2540" t="s">
        <v>2321</v>
      </c>
    </row>
    <row r="136" spans="1:35" ht="21.75" customHeight="1">
      <c r="A136" s="790"/>
      <c r="B136" s="2541"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9"/>
      <c r="C138" s="2539"/>
      <c r="D138" s="2539"/>
      <c r="E138" s="2539"/>
      <c r="F138" s="2539"/>
      <c r="G138" s="2539"/>
      <c r="H138" s="2539"/>
      <c r="I138" s="2540" t="s">
        <v>2323</v>
      </c>
    </row>
    <row r="139" spans="1:35" ht="21.75" customHeight="1">
      <c r="A139" s="790"/>
      <c r="B139" s="2541" t="s">
        <v>2324</v>
      </c>
      <c r="C139" s="790"/>
      <c r="D139" s="790"/>
      <c r="E139" s="790"/>
      <c r="F139" s="790"/>
      <c r="G139" s="790"/>
      <c r="H139" s="790"/>
      <c r="I139" s="790"/>
    </row>
    <row r="140" spans="1:35" ht="21.75" customHeight="1">
      <c r="A140" s="790"/>
      <c r="B140" s="2541"/>
      <c r="C140" s="790"/>
      <c r="D140" s="790"/>
      <c r="E140" s="790"/>
      <c r="F140" s="790"/>
      <c r="G140" s="790"/>
      <c r="H140" s="790"/>
      <c r="I140" s="790"/>
    </row>
    <row r="141" spans="1:35" ht="21.75" customHeight="1">
      <c r="A141" s="790"/>
      <c r="B141" s="2539"/>
      <c r="C141" s="2539"/>
      <c r="D141" s="2539"/>
      <c r="E141" s="2539"/>
      <c r="F141" s="2539"/>
      <c r="G141" s="2539"/>
      <c r="H141" s="2539"/>
      <c r="I141" s="2540" t="s">
        <v>2323</v>
      </c>
    </row>
    <row r="142" spans="1:35" ht="21.75" customHeight="1">
      <c r="A142" s="790"/>
      <c r="B142" s="2541"/>
      <c r="C142" s="2542"/>
      <c r="D142" s="2543"/>
      <c r="E142" s="2543"/>
      <c r="F142" s="2335"/>
      <c r="G142" s="790"/>
      <c r="H142" s="790"/>
      <c r="I142" s="790"/>
    </row>
    <row r="143" spans="1:35" s="138" customFormat="1" ht="21.75" customHeight="1">
      <c r="A143" s="790"/>
      <c r="B143" s="2541"/>
      <c r="C143" s="2542"/>
      <c r="D143" s="2543"/>
      <c r="E143" s="2543"/>
      <c r="F143" s="233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c r="C1" s="241"/>
      <c r="D1" s="241"/>
      <c r="E1" s="241"/>
      <c r="F1" s="241"/>
      <c r="G1" s="1376">
        <f>MATCH(B1,'数据-取费表'!A6:A16,0)+5</f>
        <v>7</v>
      </c>
    </row>
    <row r="2" spans="1:9" s="243" customFormat="1" ht="18" customHeight="1">
      <c r="A2" s="244" t="s">
        <v>2326</v>
      </c>
      <c r="B2" s="245">
        <f ca="1">IF(D2="——",C52,C52-E2)</f>
        <v>2812</v>
      </c>
      <c r="C2" s="242" t="s">
        <v>2327</v>
      </c>
      <c r="D2" s="2544" t="s">
        <v>70</v>
      </c>
      <c r="E2" s="1437" t="e">
        <f ca="1">SUMIF(INDIRECT("'"&amp;G2&amp;"'"&amp;"!A:A"),"承租人权益价值",INDIRECT("'"&amp;G2&amp;"'"&amp;"!c:c"))</f>
        <v>#REF!</v>
      </c>
      <c r="F2" s="2545" t="s">
        <v>2327</v>
      </c>
      <c r="G2" s="2546"/>
    </row>
    <row r="3" spans="1:9" s="243" customFormat="1" ht="18" customHeight="1" thickBot="1">
      <c r="A3" s="246" t="s">
        <v>2328</v>
      </c>
      <c r="B3" s="247">
        <f ca="1">ROUND(B2*10000/(IF(B1="",'数据-汇总表'!E3,INDIRECT("'数据-取费表'!k"&amp;$G$1))),0)</f>
        <v>3551</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83</v>
      </c>
      <c r="D5" s="254" t="s">
        <v>2333</v>
      </c>
      <c r="E5" s="255" t="s">
        <v>2334</v>
      </c>
      <c r="F5" s="255" t="s">
        <v>2335</v>
      </c>
      <c r="G5" s="256"/>
    </row>
    <row r="6" spans="1:9" s="257" customFormat="1" ht="13.5" customHeight="1">
      <c r="A6" s="947" t="s">
        <v>2336</v>
      </c>
      <c r="B6" s="258" t="s">
        <v>2337</v>
      </c>
      <c r="C6" s="259"/>
      <c r="D6" s="260"/>
      <c r="E6" s="261"/>
      <c r="F6" s="261"/>
      <c r="G6" s="262"/>
    </row>
    <row r="7" spans="1:9" s="257" customFormat="1" ht="13.5" customHeight="1">
      <c r="A7" s="947" t="s">
        <v>2338</v>
      </c>
      <c r="B7" s="258" t="s">
        <v>2339</v>
      </c>
      <c r="C7" s="263">
        <f>ROUND(C6*F7,0)</f>
        <v>0</v>
      </c>
      <c r="D7" s="263"/>
      <c r="E7" s="261"/>
      <c r="F7" s="264">
        <f>'数据-取费表'!B48+'数据-取费表'!B49</f>
        <v>3.0499999999999999E-2</v>
      </c>
      <c r="G7" s="262"/>
    </row>
    <row r="8" spans="1:9" s="266" customFormat="1">
      <c r="A8" s="947" t="s">
        <v>2340</v>
      </c>
      <c r="B8" s="258" t="s">
        <v>2341</v>
      </c>
      <c r="C8" s="263">
        <f>IF(G8="已包含在土地购买价格中","0",IF(B1="",'数据-取费表'!B29,IF(G9="全部缴纳",C9+C10,H9)))</f>
        <v>83</v>
      </c>
      <c r="D8" s="265"/>
      <c r="E8" s="263"/>
      <c r="F8" s="264"/>
      <c r="G8" s="2547"/>
    </row>
    <row r="9" spans="1:9" s="257" customFormat="1" ht="13.5" customHeight="1">
      <c r="A9" s="948" t="s">
        <v>800</v>
      </c>
      <c r="B9" s="267" t="s">
        <v>2342</v>
      </c>
      <c r="C9" s="268">
        <f ca="1">ROUND(D9*E9/10000,0)</f>
        <v>0</v>
      </c>
      <c r="D9" s="1030">
        <f ca="1">IF(B1="",'数据-汇总表'!E5,IF(INDIRECT("'数据-取费表'!c"&amp;$G$1)="住宅",INDIRECT("'数据-取费表'!k"&amp;$G$1),0))</f>
        <v>0</v>
      </c>
      <c r="E9" s="268">
        <f>'数据-取费表'!B27</f>
        <v>105</v>
      </c>
      <c r="F9" s="264"/>
      <c r="G9" s="2548"/>
      <c r="H9" s="1387"/>
      <c r="I9" s="2549" t="s">
        <v>2343</v>
      </c>
    </row>
    <row r="10" spans="1:9" s="257" customFormat="1" ht="13.5" customHeight="1">
      <c r="A10" s="948" t="s">
        <v>801</v>
      </c>
      <c r="B10" s="267" t="s">
        <v>2344</v>
      </c>
      <c r="C10" s="268">
        <f ca="1">ROUND(D10*E10/10000,0)</f>
        <v>83</v>
      </c>
      <c r="D10" s="1030">
        <f ca="1">IF(B1="",'数据-汇总表'!E6,IF(INDIRECT("'数据-取费表'!c"&amp;$G$1)="住宅",INDIRECT("'数据-取费表'!s"&amp;$G$1),INDIRECT("'数据-取费表'!k"&amp;$G$1)+INDIRECT("'数据-取费表'!s"&amp;$G$1)))</f>
        <v>7918.4</v>
      </c>
      <c r="E10" s="268">
        <f>'数据-取费表'!B28</f>
        <v>105</v>
      </c>
      <c r="F10" s="264"/>
      <c r="G10" s="269"/>
    </row>
    <row r="11" spans="1:9" s="257" customFormat="1" ht="13.5" hidden="1" customHeight="1">
      <c r="A11" s="270" t="s">
        <v>7</v>
      </c>
      <c r="B11" s="258" t="s">
        <v>2345</v>
      </c>
      <c r="C11" s="254"/>
      <c r="D11" s="1032"/>
      <c r="E11" s="261"/>
      <c r="F11" s="261"/>
      <c r="G11" s="262"/>
    </row>
    <row r="12" spans="1:9" s="257" customFormat="1" ht="13.5" hidden="1" customHeight="1">
      <c r="A12" s="270" t="s">
        <v>8</v>
      </c>
      <c r="B12" s="258" t="s">
        <v>2346</v>
      </c>
      <c r="C12" s="254">
        <v>0</v>
      </c>
      <c r="D12" s="1032"/>
      <c r="E12" s="271"/>
      <c r="F12" s="264">
        <v>3.0499999999999999E-2</v>
      </c>
      <c r="G12" s="262"/>
    </row>
    <row r="13" spans="1:9" s="257" customFormat="1" ht="13.5" hidden="1" customHeight="1">
      <c r="A13" s="270" t="s">
        <v>9</v>
      </c>
      <c r="B13" s="258" t="s">
        <v>2347</v>
      </c>
      <c r="C13" s="254"/>
      <c r="D13" s="1032"/>
      <c r="E13" s="261"/>
      <c r="F13" s="261"/>
      <c r="G13" s="262"/>
    </row>
    <row r="14" spans="1:9" s="257" customFormat="1" ht="13.5" hidden="1" customHeight="1">
      <c r="A14" s="270" t="s">
        <v>10</v>
      </c>
      <c r="B14" s="258" t="s">
        <v>2348</v>
      </c>
      <c r="C14" s="254"/>
      <c r="D14" s="1032"/>
      <c r="E14" s="261"/>
      <c r="F14" s="261"/>
      <c r="G14" s="262" t="s">
        <v>2349</v>
      </c>
    </row>
    <row r="15" spans="1:9" s="257" customFormat="1" ht="13.5" hidden="1" customHeight="1">
      <c r="A15" s="270" t="s">
        <v>11</v>
      </c>
      <c r="B15" s="258" t="s">
        <v>2350</v>
      </c>
      <c r="C15" s="263"/>
      <c r="D15" s="1032"/>
      <c r="E15" s="261"/>
      <c r="F15" s="261"/>
      <c r="G15" s="262" t="s">
        <v>2351</v>
      </c>
    </row>
    <row r="16" spans="1:9" s="257" customFormat="1" ht="13.5" hidden="1" customHeight="1">
      <c r="A16" s="270" t="s">
        <v>12</v>
      </c>
      <c r="B16" s="258" t="s">
        <v>2348</v>
      </c>
      <c r="C16" s="263"/>
      <c r="D16" s="1032"/>
      <c r="E16" s="261"/>
      <c r="F16" s="261"/>
      <c r="G16" s="262"/>
    </row>
    <row r="17" spans="1:7" s="257" customFormat="1" ht="13.5" hidden="1" customHeight="1">
      <c r="A17" s="270" t="s">
        <v>13</v>
      </c>
      <c r="B17" s="258" t="s">
        <v>2352</v>
      </c>
      <c r="C17" s="272"/>
      <c r="D17" s="1033"/>
      <c r="E17" s="272"/>
      <c r="F17" s="272"/>
      <c r="G17" s="262" t="s">
        <v>2351</v>
      </c>
    </row>
    <row r="18" spans="1:7" s="257" customFormat="1" ht="13.5" hidden="1" customHeight="1">
      <c r="A18" s="270" t="s">
        <v>14</v>
      </c>
      <c r="B18" s="258" t="s">
        <v>2353</v>
      </c>
      <c r="C18" s="263">
        <v>0</v>
      </c>
      <c r="D18" s="1032"/>
      <c r="E18" s="261"/>
      <c r="F18" s="264">
        <v>3.0499999999999999E-2</v>
      </c>
      <c r="G18" s="262" t="s">
        <v>2354</v>
      </c>
    </row>
    <row r="19" spans="1:7" s="266" customFormat="1" ht="13.5" customHeight="1">
      <c r="A19" s="298" t="s">
        <v>2355</v>
      </c>
      <c r="B19" s="253" t="s">
        <v>2356</v>
      </c>
      <c r="C19" s="254">
        <f ca="1">IF(G19="已包含在土地取得成本中","0",ROUND(D19*E19/10000,0))</f>
        <v>158</v>
      </c>
      <c r="D19" s="1034">
        <f ca="1">D9+D10</f>
        <v>7918.4</v>
      </c>
      <c r="E19" s="254">
        <f>'数据-取费表'!B31</f>
        <v>200</v>
      </c>
      <c r="F19" s="274"/>
      <c r="G19" s="2547"/>
    </row>
    <row r="20" spans="1:7" s="257" customFormat="1" ht="13.5" customHeight="1">
      <c r="A20" s="298" t="s">
        <v>2357</v>
      </c>
      <c r="B20" s="253" t="s">
        <v>2358</v>
      </c>
      <c r="C20" s="275">
        <f ca="1">ROUND((C5+C19)*F20,0)</f>
        <v>5</v>
      </c>
      <c r="D20" s="275"/>
      <c r="E20" s="275"/>
      <c r="F20" s="276">
        <f>'数据-取费表'!B37</f>
        <v>0.02</v>
      </c>
      <c r="G20" s="277" t="s">
        <v>2359</v>
      </c>
    </row>
    <row r="21" spans="1:7" s="257" customFormat="1" ht="13.5" customHeight="1">
      <c r="A21" s="298" t="s">
        <v>2360</v>
      </c>
      <c r="B21" s="253" t="s">
        <v>2361</v>
      </c>
      <c r="C21" s="278">
        <f>F21</f>
        <v>1.4999999999999999E-2</v>
      </c>
      <c r="D21" s="279" t="s">
        <v>2362</v>
      </c>
      <c r="E21" s="275"/>
      <c r="F21" s="276">
        <f>'数据-取费表'!B38</f>
        <v>1.4999999999999999E-2</v>
      </c>
      <c r="G21" s="277" t="s">
        <v>2363</v>
      </c>
    </row>
    <row r="22" spans="1:7" s="257" customFormat="1" ht="13.5" customHeight="1">
      <c r="A22" s="298" t="s">
        <v>2364</v>
      </c>
      <c r="B22" s="253" t="s">
        <v>2365</v>
      </c>
      <c r="C22" s="1351">
        <f ca="1">ROUND(SUM(C23:C25),0)</f>
        <v>11</v>
      </c>
      <c r="D22" s="278">
        <f ca="1">C26</f>
        <v>2.9999999999999997E-4</v>
      </c>
      <c r="E22" s="279" t="s">
        <v>2362</v>
      </c>
      <c r="F22" s="280">
        <f ca="1">'数据-取费表'!B40</f>
        <v>4.3499999999999997E-2</v>
      </c>
      <c r="G22" s="277" t="str">
        <f>IF('数据-取费表'!B22&lt;=1,"单利计息","复利计息")</f>
        <v>单利计息</v>
      </c>
    </row>
    <row r="23" spans="1:7" s="257" customFormat="1" ht="13.5" customHeight="1">
      <c r="A23" s="949" t="s">
        <v>2366</v>
      </c>
      <c r="B23" s="258" t="s">
        <v>2367</v>
      </c>
      <c r="C23" s="1352">
        <f ca="1">ROUND(IF('数据-取费表'!B22&lt;=1,C5*F22*'数据-取费表'!B23,C5*(POWER((1+F22),'数据-取费表'!B23)-1)),0)</f>
        <v>4</v>
      </c>
      <c r="D23" s="281"/>
      <c r="E23" s="281"/>
      <c r="F23" s="282"/>
      <c r="G23" s="283" t="s">
        <v>2368</v>
      </c>
    </row>
    <row r="24" spans="1:7" s="257" customFormat="1" ht="13.5" customHeight="1">
      <c r="A24" s="949" t="s">
        <v>2369</v>
      </c>
      <c r="B24" s="258" t="s">
        <v>2370</v>
      </c>
      <c r="C24" s="1352">
        <f ca="1">ROUND(IF('数据-取费表'!B22&lt;=1,C19*F22*('数据-取费表'!B19/2+'数据-取费表'!B21),C19*(POWER((1+F22),('数据-取费表'!B19/2+'数据-取费表'!B21))-1)),0)</f>
        <v>7</v>
      </c>
      <c r="D24" s="281"/>
      <c r="E24" s="281"/>
      <c r="F24" s="282"/>
      <c r="G24" s="283" t="s">
        <v>2371</v>
      </c>
    </row>
    <row r="25" spans="1:7" s="257" customFormat="1" ht="24">
      <c r="A25" s="949" t="s">
        <v>2372</v>
      </c>
      <c r="B25" s="258" t="s">
        <v>2373</v>
      </c>
      <c r="C25" s="1352">
        <f ca="1">ROUND(IF('数据-取费表'!B22&lt;=1,C20*F22*'数据-取费表'!B23/2,C20*(POWER((1+F22),'数据-取费表'!B23/2)-1)),0)</f>
        <v>0</v>
      </c>
      <c r="D25" s="281"/>
      <c r="E25" s="284"/>
      <c r="F25" s="282"/>
      <c r="G25" s="285" t="s">
        <v>2374</v>
      </c>
    </row>
    <row r="26" spans="1:7" s="257" customFormat="1">
      <c r="A26" s="949" t="s">
        <v>795</v>
      </c>
      <c r="B26" s="258" t="s">
        <v>2375</v>
      </c>
      <c r="C26" s="281">
        <f ca="1">ROUND(IF('数据-取费表'!B22&lt;=1,F21*F22*'数据-取费表'!B23/2,F21*(POWER((1+F22),'数据-取费表'!B23/2)-1)),4)</f>
        <v>2.9999999999999997E-4</v>
      </c>
      <c r="D26" s="281"/>
      <c r="E26" s="284"/>
      <c r="F26" s="282"/>
      <c r="G26" s="286"/>
    </row>
    <row r="27" spans="1:7" s="257" customFormat="1" ht="24.75">
      <c r="A27" s="298" t="s">
        <v>2376</v>
      </c>
      <c r="B27" s="287" t="s">
        <v>2377</v>
      </c>
      <c r="C27" s="288">
        <f ca="1">C28</f>
        <v>25</v>
      </c>
      <c r="D27" s="278">
        <f ca="1">C29</f>
        <v>1.5E-3</v>
      </c>
      <c r="E27" s="279" t="s">
        <v>2378</v>
      </c>
      <c r="F27" s="289">
        <f ca="1">IF(B1="",'数据-取费表'!Q16,INDIRECT("'数据-取费表'!q"&amp;$G$1))</f>
        <v>0.1</v>
      </c>
      <c r="G27" s="290" t="s">
        <v>2379</v>
      </c>
    </row>
    <row r="28" spans="1:7" s="257" customFormat="1" ht="13.5" customHeight="1">
      <c r="A28" s="949" t="s">
        <v>791</v>
      </c>
      <c r="B28" s="291" t="s">
        <v>2380</v>
      </c>
      <c r="C28" s="292">
        <f ca="1">ROUND((C5+C19+C20)*F27*'数据-取费表'!B21/'数据-取费表'!B20,0)</f>
        <v>25</v>
      </c>
      <c r="D28" s="278"/>
      <c r="E28" s="279"/>
      <c r="F28" s="289"/>
      <c r="G28" s="290"/>
    </row>
    <row r="29" spans="1:7" s="257" customFormat="1" ht="13.5" customHeight="1">
      <c r="A29" s="949" t="s">
        <v>792</v>
      </c>
      <c r="B29" s="291" t="s">
        <v>2381</v>
      </c>
      <c r="C29" s="281">
        <f ca="1">ROUND(C21*F27*'数据-取费表'!B21/'数据-取费表'!B20,4)</f>
        <v>1.5E-3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303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2267</v>
      </c>
      <c r="D33" s="275"/>
      <c r="E33" s="255"/>
      <c r="F33" s="284"/>
      <c r="G33" s="277"/>
    </row>
    <row r="34" spans="1:7" s="301" customFormat="1" ht="13.5" customHeight="1">
      <c r="A34" s="949" t="s">
        <v>791</v>
      </c>
      <c r="B34" s="258" t="s">
        <v>2389</v>
      </c>
      <c r="C34" s="263">
        <f ca="1">IF(B1="",IF(F34=100%,'数据-取费表'!M16,'数据-取费表'!O16),IF(F34=100%,INDIRECT("'数据-取费表'!m"&amp;$G$1)+INDIRECT("'数据-取费表'!t"&amp;$G$1),INDIRECT("'数据-取费表'!o"&amp;$G$1)+INDIRECT("'数据-取费表'!aq"&amp;$G$1)))</f>
        <v>1980</v>
      </c>
      <c r="D34" s="260"/>
      <c r="E34" s="263"/>
      <c r="F34" s="300">
        <f ca="1">IF('数据-取费表'!B24=0,1,IF(B1="",'数据-取费表'!N16,INDIRECT("'数据-取费表'!n"&amp;$G$1)))</f>
        <v>1</v>
      </c>
      <c r="G34" s="262" t="s">
        <v>2390</v>
      </c>
    </row>
    <row r="35" spans="1:7" ht="13.5" customHeight="1">
      <c r="A35" s="949" t="s">
        <v>796</v>
      </c>
      <c r="B35" s="258" t="s">
        <v>2391</v>
      </c>
      <c r="C35" s="263">
        <f ca="1">ROUND(C34*F35,0)</f>
        <v>99</v>
      </c>
      <c r="D35" s="263"/>
      <c r="E35" s="263"/>
      <c r="F35" s="302">
        <f>'数据-取费表'!B33</f>
        <v>0.05</v>
      </c>
      <c r="G35" s="262" t="s">
        <v>2392</v>
      </c>
    </row>
    <row r="36" spans="1:7" ht="24">
      <c r="A36" s="949"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9" t="s">
        <v>798</v>
      </c>
      <c r="B37" s="258" t="s">
        <v>2395</v>
      </c>
      <c r="C37" s="292">
        <f ca="1">ROUND(E37*D37*F34/10000,0)</f>
        <v>158</v>
      </c>
      <c r="D37" s="260">
        <f ca="1">D19</f>
        <v>7918.4</v>
      </c>
      <c r="E37" s="292">
        <f>'数据-取费表'!B35</f>
        <v>200</v>
      </c>
      <c r="F37" s="302"/>
      <c r="G37" s="304" t="s">
        <v>2396</v>
      </c>
    </row>
    <row r="38" spans="1:7" ht="13.5" customHeight="1">
      <c r="A38" s="949" t="s">
        <v>799</v>
      </c>
      <c r="B38" s="258" t="s">
        <v>2397</v>
      </c>
      <c r="C38" s="263">
        <f ca="1">ROUND(C34*F38,0)</f>
        <v>30</v>
      </c>
      <c r="D38" s="263"/>
      <c r="E38" s="263"/>
      <c r="F38" s="302">
        <f>'数据-取费表'!B36</f>
        <v>1.4999999999999999E-2</v>
      </c>
      <c r="G38" s="262" t="s">
        <v>2392</v>
      </c>
    </row>
    <row r="39" spans="1:7" s="257" customFormat="1" ht="13.5" customHeight="1">
      <c r="A39" s="298" t="s">
        <v>2398</v>
      </c>
      <c r="B39" s="253" t="s">
        <v>2399</v>
      </c>
      <c r="C39" s="275">
        <f ca="1">ROUND(C33*F20,0)</f>
        <v>45</v>
      </c>
      <c r="D39" s="275"/>
      <c r="E39" s="275"/>
      <c r="F39" s="276"/>
      <c r="G39" s="277" t="s">
        <v>2400</v>
      </c>
    </row>
    <row r="40" spans="1:7" s="257" customFormat="1" ht="13.5" customHeight="1">
      <c r="A40" s="298" t="s">
        <v>2401</v>
      </c>
      <c r="B40" s="253" t="s">
        <v>2402</v>
      </c>
      <c r="C40" s="1725">
        <f>F21</f>
        <v>1.4999999999999999E-2</v>
      </c>
      <c r="D40" s="279" t="s">
        <v>2403</v>
      </c>
      <c r="E40" s="275"/>
      <c r="F40" s="276"/>
      <c r="G40" s="277" t="s">
        <v>2404</v>
      </c>
    </row>
    <row r="41" spans="1:7" s="257" customFormat="1" ht="13.5" customHeight="1">
      <c r="A41" s="298" t="s">
        <v>2405</v>
      </c>
      <c r="B41" s="253" t="s">
        <v>2406</v>
      </c>
      <c r="C41" s="275">
        <f ca="1">ROUND(SUM(C42:C43),0)</f>
        <v>50</v>
      </c>
      <c r="D41" s="278">
        <f ca="1">C44</f>
        <v>2.9999999999999997E-4</v>
      </c>
      <c r="E41" s="279" t="s">
        <v>2403</v>
      </c>
      <c r="F41" s="280"/>
      <c r="G41" s="277" t="str">
        <f>IF('数据-取费表'!B22&lt;=1,"单利计息","复利计息")</f>
        <v>单利计息</v>
      </c>
    </row>
    <row r="42" spans="1:7" ht="13.5" customHeight="1">
      <c r="A42" s="949" t="s">
        <v>791</v>
      </c>
      <c r="B42" s="258" t="s">
        <v>2407</v>
      </c>
      <c r="C42" s="281">
        <f ca="1">ROUND(IF('数据-取费表'!B22&lt;=1,C33*F22*'数据-取费表'!B21/2,C33*(POWER((1+F22),'数据-取费表'!B21/2)-1)),0)</f>
        <v>49</v>
      </c>
      <c r="D42" s="281"/>
      <c r="E42" s="281"/>
      <c r="F42" s="282"/>
      <c r="G42" s="3175" t="s">
        <v>2408</v>
      </c>
    </row>
    <row r="43" spans="1:7" ht="13.5" customHeight="1">
      <c r="A43" s="949" t="s">
        <v>792</v>
      </c>
      <c r="B43" s="258" t="s">
        <v>2409</v>
      </c>
      <c r="C43" s="281">
        <f ca="1">ROUND(IF('数据-取费表'!B22&lt;=1,C39*F22*'数据-取费表'!B21/2,C39*(POWER((1+F22),'数据-取费表'!B21/2)-1)),0)</f>
        <v>1</v>
      </c>
      <c r="D43" s="281"/>
      <c r="E43" s="281"/>
      <c r="F43" s="282"/>
      <c r="G43" s="3176"/>
    </row>
    <row r="44" spans="1:7" ht="13.5" customHeight="1">
      <c r="A44" s="949" t="s">
        <v>793</v>
      </c>
      <c r="B44" s="258" t="s">
        <v>2410</v>
      </c>
      <c r="C44" s="281">
        <f ca="1">ROUND(IF('数据-取费表'!B22&lt;=1,C40*F22*'数据-取费表'!B21/2,C40*(POWER((1+F22),'数据-取费表'!B21/2)-1)),4)</f>
        <v>2.9999999999999997E-4</v>
      </c>
      <c r="D44" s="281"/>
      <c r="E44" s="281"/>
      <c r="F44" s="282"/>
      <c r="G44" s="3177"/>
    </row>
    <row r="45" spans="1:7" s="257" customFormat="1" ht="13.5" customHeight="1">
      <c r="A45" s="298" t="s">
        <v>2411</v>
      </c>
      <c r="B45" s="287" t="s">
        <v>2377</v>
      </c>
      <c r="C45" s="288">
        <f ca="1">C46</f>
        <v>231</v>
      </c>
      <c r="D45" s="278">
        <f ca="1">C47</f>
        <v>1.5E-3</v>
      </c>
      <c r="E45" s="279" t="s">
        <v>2403</v>
      </c>
      <c r="F45" s="289"/>
      <c r="G45" s="290" t="s">
        <v>2412</v>
      </c>
    </row>
    <row r="46" spans="1:7" s="257" customFormat="1" ht="13.5" customHeight="1">
      <c r="A46" s="949" t="s">
        <v>791</v>
      </c>
      <c r="B46" s="291" t="s">
        <v>2413</v>
      </c>
      <c r="C46" s="292">
        <f ca="1">ROUND((C33+C39)*F27,0)</f>
        <v>231</v>
      </c>
      <c r="D46" s="306"/>
      <c r="E46" s="279"/>
      <c r="F46" s="289"/>
      <c r="G46" s="290"/>
    </row>
    <row r="47" spans="1:7" s="257" customFormat="1" ht="13.5" customHeight="1">
      <c r="A47" s="949" t="s">
        <v>792</v>
      </c>
      <c r="B47" s="291" t="s">
        <v>2414</v>
      </c>
      <c r="C47" s="281">
        <f ca="1">ROUND(C40*F27,4)</f>
        <v>1.5E-3</v>
      </c>
      <c r="D47" s="306"/>
      <c r="E47" s="279"/>
      <c r="F47" s="289"/>
      <c r="G47" s="290"/>
    </row>
    <row r="48" spans="1:7" s="257" customFormat="1" ht="13.5" customHeight="1">
      <c r="A48" s="298" t="s">
        <v>2376</v>
      </c>
      <c r="B48" s="253" t="s">
        <v>2415</v>
      </c>
      <c r="C48" s="1725">
        <f>ROUND(F30/(1+'数据-取费表'!C42),4)</f>
        <v>5.33E-2</v>
      </c>
      <c r="D48" s="279" t="s">
        <v>2403</v>
      </c>
      <c r="E48" s="275"/>
      <c r="F48" s="280"/>
      <c r="G48" s="277" t="s">
        <v>2416</v>
      </c>
    </row>
    <row r="49" spans="1:7" ht="16.5" customHeight="1">
      <c r="A49" s="298" t="s">
        <v>2382</v>
      </c>
      <c r="B49" s="253" t="s">
        <v>2417</v>
      </c>
      <c r="C49" s="275">
        <f ca="1">ROUND((C33+C39+C41+C45)/(1-C40-D41-D45-C48),0)</f>
        <v>2788</v>
      </c>
      <c r="D49" s="275"/>
      <c r="E49" s="275"/>
      <c r="F49" s="307"/>
      <c r="G49" s="277" t="s">
        <v>2418</v>
      </c>
    </row>
    <row r="50" spans="1:7" s="301" customFormat="1" ht="24">
      <c r="A50" s="298" t="s">
        <v>2419</v>
      </c>
      <c r="B50" s="253" t="s">
        <v>2420</v>
      </c>
      <c r="C50" s="275"/>
      <c r="D50" s="275"/>
      <c r="E50" s="275"/>
      <c r="F50" s="307">
        <f>IF('数据-取费表'!B24=0,'数据-取费表'!N16,1)</f>
        <v>0.9</v>
      </c>
      <c r="G50" s="290" t="s">
        <v>2421</v>
      </c>
    </row>
    <row r="51" spans="1:7" ht="16.5" customHeight="1">
      <c r="A51" s="298" t="s">
        <v>2422</v>
      </c>
      <c r="B51" s="253" t="s">
        <v>2423</v>
      </c>
      <c r="C51" s="275">
        <f ca="1">ROUND(C49*F50,0)</f>
        <v>2509</v>
      </c>
      <c r="D51" s="275"/>
      <c r="E51" s="275"/>
      <c r="F51" s="307"/>
      <c r="G51" s="277" t="s">
        <v>2424</v>
      </c>
    </row>
    <row r="52" spans="1:7" s="251" customFormat="1" ht="16.5" thickBot="1">
      <c r="A52" s="308" t="s">
        <v>2425</v>
      </c>
      <c r="B52" s="309"/>
      <c r="C52" s="310">
        <f ca="1">C31+C51</f>
        <v>2812</v>
      </c>
      <c r="D52" s="309"/>
      <c r="E52" s="309"/>
      <c r="F52" s="309"/>
      <c r="G52" s="311"/>
    </row>
    <row r="55" spans="1:7" ht="15">
      <c r="B55" s="313" t="s">
        <v>2426</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50" t="s">
        <v>2427</v>
      </c>
      <c r="D1" s="241"/>
      <c r="E1" s="241"/>
      <c r="F1" s="241"/>
      <c r="G1" s="1376">
        <f>MATCH(B1,'数据-取费表'!A6:A16,0)+5</f>
        <v>7</v>
      </c>
      <c r="H1" s="1279" t="str">
        <f>IF(ISERROR(FIND("住宅",B1)),"非住宅","住宅")</f>
        <v>非住宅</v>
      </c>
    </row>
    <row r="2" spans="1:8" s="243" customFormat="1" ht="18" customHeight="1">
      <c r="A2" s="244" t="s">
        <v>2326</v>
      </c>
      <c r="B2" s="245">
        <f ca="1">ROUND(IF(D2="——",C52/10000,C52/10000-E2),0)</f>
        <v>2813</v>
      </c>
      <c r="C2" s="242" t="s">
        <v>2327</v>
      </c>
      <c r="D2" s="2544" t="s">
        <v>70</v>
      </c>
      <c r="E2" s="1437" t="e">
        <f ca="1">SUMIF(INDIRECT("'"&amp;G2&amp;"'"&amp;"!A:A"),"承租人权益价值",INDIRECT("'"&amp;G2&amp;"'"&amp;"!c:c"))</f>
        <v>#REF!</v>
      </c>
      <c r="F2" s="2545" t="s">
        <v>2327</v>
      </c>
      <c r="G2" s="2546"/>
    </row>
    <row r="3" spans="1:8" s="243" customFormat="1" ht="18" customHeight="1" thickBot="1">
      <c r="A3" s="246" t="s">
        <v>2328</v>
      </c>
      <c r="B3" s="247">
        <f ca="1">ROUND(B2*10000/(IF(B1="",'数据-汇总表'!E3,INDIRECT("'数据-取费表'!k"&amp;$G$1))),0)</f>
        <v>3552</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831432</v>
      </c>
      <c r="D5" s="254" t="s">
        <v>2333</v>
      </c>
      <c r="E5" s="255" t="s">
        <v>2334</v>
      </c>
      <c r="F5" s="255" t="s">
        <v>2335</v>
      </c>
      <c r="G5" s="256"/>
    </row>
    <row r="6" spans="1:8" s="257" customFormat="1" ht="13.5" customHeight="1">
      <c r="A6" s="947" t="s">
        <v>2336</v>
      </c>
      <c r="B6" s="258" t="s">
        <v>2337</v>
      </c>
      <c r="C6" s="259"/>
      <c r="D6" s="260"/>
      <c r="E6" s="261"/>
      <c r="F6" s="261"/>
      <c r="G6" s="262"/>
    </row>
    <row r="7" spans="1:8" s="257" customFormat="1" ht="13.5" customHeight="1">
      <c r="A7" s="947" t="s">
        <v>2338</v>
      </c>
      <c r="B7" s="258" t="s">
        <v>2339</v>
      </c>
      <c r="C7" s="263">
        <f>ROUND(C6*F7,0)</f>
        <v>0</v>
      </c>
      <c r="D7" s="263"/>
      <c r="E7" s="261"/>
      <c r="F7" s="264">
        <f>'数据-取费表'!B48+'数据-取费表'!B49</f>
        <v>3.0499999999999999E-2</v>
      </c>
      <c r="G7" s="262"/>
    </row>
    <row r="8" spans="1:8" s="266" customFormat="1">
      <c r="A8" s="947" t="s">
        <v>2340</v>
      </c>
      <c r="B8" s="258" t="s">
        <v>2341</v>
      </c>
      <c r="C8" s="263">
        <f ca="1">IF(G8="已包含在土地购买价格中",0,C9+C10)</f>
        <v>831432</v>
      </c>
      <c r="D8" s="265"/>
      <c r="E8" s="263"/>
      <c r="F8" s="264"/>
      <c r="G8" s="2547"/>
    </row>
    <row r="9" spans="1:8" s="257" customFormat="1" ht="13.5" customHeight="1">
      <c r="A9" s="948" t="s">
        <v>800</v>
      </c>
      <c r="B9" s="267" t="s">
        <v>2342</v>
      </c>
      <c r="C9" s="268">
        <f ca="1">ROUND(D9*E9,0)</f>
        <v>0</v>
      </c>
      <c r="D9" s="1030">
        <f ca="1">IF(B1="",'数据-汇总表'!E5,IF(INDIRECT("'数据-取费表'!c"&amp;$G$1)="住宅",INDIRECT("'数据-取费表'!k"&amp;$G$1),0))</f>
        <v>0</v>
      </c>
      <c r="E9" s="268">
        <f>'数据-取费表'!B27</f>
        <v>105</v>
      </c>
      <c r="F9" s="264"/>
      <c r="G9" s="269"/>
    </row>
    <row r="10" spans="1:8" s="257" customFormat="1" ht="13.5" customHeight="1">
      <c r="A10" s="948" t="s">
        <v>801</v>
      </c>
      <c r="B10" s="267" t="s">
        <v>2344</v>
      </c>
      <c r="C10" s="268">
        <f ca="1">ROUND(D10*E10,0)</f>
        <v>831432</v>
      </c>
      <c r="D10" s="1030">
        <f ca="1">IF(B1="",'数据-汇总表'!E6,IF(INDIRECT("'数据-取费表'!c"&amp;$G$1)="住宅",INDIRECT("'数据-取费表'!s"&amp;$G$1),INDIRECT("'数据-取费表'!k"&amp;$G$1)+INDIRECT("'数据-取费表'!s"&amp;$G$1)))</f>
        <v>7918.4</v>
      </c>
      <c r="E10" s="268">
        <f>'数据-取费表'!B28</f>
        <v>105</v>
      </c>
      <c r="F10" s="264"/>
      <c r="G10" s="269"/>
    </row>
    <row r="11" spans="1:8" s="257" customFormat="1" ht="13.5" hidden="1" customHeight="1">
      <c r="A11" s="270" t="s">
        <v>7</v>
      </c>
      <c r="B11" s="258" t="s">
        <v>2345</v>
      </c>
      <c r="C11" s="254"/>
      <c r="D11" s="1032"/>
      <c r="E11" s="261"/>
      <c r="F11" s="261"/>
      <c r="G11" s="262"/>
    </row>
    <row r="12" spans="1:8" s="257" customFormat="1" ht="13.5" hidden="1" customHeight="1">
      <c r="A12" s="270" t="s">
        <v>8</v>
      </c>
      <c r="B12" s="258" t="s">
        <v>2428</v>
      </c>
      <c r="C12" s="254">
        <v>0</v>
      </c>
      <c r="D12" s="1032"/>
      <c r="E12" s="271"/>
      <c r="F12" s="264">
        <v>3.0499999999999999E-2</v>
      </c>
      <c r="G12" s="262"/>
    </row>
    <row r="13" spans="1:8" s="257" customFormat="1" ht="13.5" hidden="1" customHeight="1">
      <c r="A13" s="270" t="s">
        <v>9</v>
      </c>
      <c r="B13" s="258" t="s">
        <v>2429</v>
      </c>
      <c r="C13" s="254"/>
      <c r="D13" s="1032"/>
      <c r="E13" s="261"/>
      <c r="F13" s="261"/>
      <c r="G13" s="262"/>
    </row>
    <row r="14" spans="1:8" s="257" customFormat="1" ht="13.5" hidden="1" customHeight="1">
      <c r="A14" s="270" t="s">
        <v>10</v>
      </c>
      <c r="B14" s="258" t="s">
        <v>2341</v>
      </c>
      <c r="C14" s="254"/>
      <c r="D14" s="1032"/>
      <c r="E14" s="261"/>
      <c r="F14" s="261"/>
      <c r="G14" s="262" t="s">
        <v>2430</v>
      </c>
    </row>
    <row r="15" spans="1:8" s="257" customFormat="1" ht="13.5" hidden="1" customHeight="1">
      <c r="A15" s="270" t="s">
        <v>11</v>
      </c>
      <c r="B15" s="258" t="s">
        <v>2431</v>
      </c>
      <c r="C15" s="263"/>
      <c r="D15" s="1032"/>
      <c r="E15" s="261"/>
      <c r="F15" s="261"/>
      <c r="G15" s="262" t="s">
        <v>2432</v>
      </c>
    </row>
    <row r="16" spans="1:8" s="257" customFormat="1" ht="13.5" hidden="1" customHeight="1">
      <c r="A16" s="270" t="s">
        <v>12</v>
      </c>
      <c r="B16" s="258" t="s">
        <v>2341</v>
      </c>
      <c r="C16" s="263"/>
      <c r="D16" s="1032"/>
      <c r="E16" s="261"/>
      <c r="F16" s="261"/>
      <c r="G16" s="262"/>
    </row>
    <row r="17" spans="1:7" s="257" customFormat="1" ht="13.5" hidden="1" customHeight="1">
      <c r="A17" s="270" t="s">
        <v>13</v>
      </c>
      <c r="B17" s="258" t="s">
        <v>2433</v>
      </c>
      <c r="C17" s="272"/>
      <c r="D17" s="1033"/>
      <c r="E17" s="272"/>
      <c r="F17" s="272"/>
      <c r="G17" s="262" t="s">
        <v>2432</v>
      </c>
    </row>
    <row r="18" spans="1:7" s="257" customFormat="1" ht="13.5" hidden="1" customHeight="1">
      <c r="A18" s="270" t="s">
        <v>14</v>
      </c>
      <c r="B18" s="258" t="s">
        <v>2434</v>
      </c>
      <c r="C18" s="263">
        <v>0</v>
      </c>
      <c r="D18" s="1032"/>
      <c r="E18" s="261"/>
      <c r="F18" s="264">
        <v>3.0499999999999999E-2</v>
      </c>
      <c r="G18" s="262" t="s">
        <v>2435</v>
      </c>
    </row>
    <row r="19" spans="1:7" s="266" customFormat="1" ht="13.5" customHeight="1">
      <c r="A19" s="298" t="s">
        <v>2436</v>
      </c>
      <c r="B19" s="253" t="s">
        <v>2437</v>
      </c>
      <c r="C19" s="254">
        <f ca="1">IF(G19="已包含在土地取得成本中","0",ROUND(D19*E19,0))</f>
        <v>1583680</v>
      </c>
      <c r="D19" s="1034">
        <f ca="1">D9+D10</f>
        <v>7918.4</v>
      </c>
      <c r="E19" s="254">
        <f>'数据-取费表'!B31</f>
        <v>200</v>
      </c>
      <c r="F19" s="274"/>
      <c r="G19" s="2547"/>
    </row>
    <row r="20" spans="1:7" s="257" customFormat="1" ht="13.5" customHeight="1">
      <c r="A20" s="298" t="s">
        <v>2438</v>
      </c>
      <c r="B20" s="253" t="s">
        <v>2439</v>
      </c>
      <c r="C20" s="275">
        <f ca="1">ROUND((C5+C19)*F20,0)</f>
        <v>48302</v>
      </c>
      <c r="D20" s="275"/>
      <c r="E20" s="275"/>
      <c r="F20" s="276">
        <f>'数据-取费表'!B37</f>
        <v>0.02</v>
      </c>
      <c r="G20" s="277" t="s">
        <v>2440</v>
      </c>
    </row>
    <row r="21" spans="1:7" s="257" customFormat="1" ht="13.5" customHeight="1">
      <c r="A21" s="298" t="s">
        <v>2441</v>
      </c>
      <c r="B21" s="253" t="s">
        <v>2442</v>
      </c>
      <c r="C21" s="278">
        <f>F21</f>
        <v>1.4999999999999999E-2</v>
      </c>
      <c r="D21" s="279" t="s">
        <v>2443</v>
      </c>
      <c r="E21" s="275"/>
      <c r="F21" s="276">
        <f>'数据-取费表'!B38</f>
        <v>1.4999999999999999E-2</v>
      </c>
      <c r="G21" s="277" t="s">
        <v>2444</v>
      </c>
    </row>
    <row r="22" spans="1:7" s="257" customFormat="1" ht="13.5" customHeight="1">
      <c r="A22" s="298" t="s">
        <v>2445</v>
      </c>
      <c r="B22" s="253" t="s">
        <v>2446</v>
      </c>
      <c r="C22" s="1377">
        <f ca="1">ROUND(SUM(C23:C25),0)</f>
        <v>106108</v>
      </c>
      <c r="D22" s="278">
        <f ca="1">C26</f>
        <v>2.9999999999999997E-4</v>
      </c>
      <c r="E22" s="279" t="s">
        <v>2443</v>
      </c>
      <c r="F22" s="280">
        <f ca="1">'数据-取费表'!B40</f>
        <v>4.3499999999999997E-2</v>
      </c>
      <c r="G22" s="277" t="str">
        <f>IF('数据-取费表'!B22&lt;=1,"单利计息","复利计息")</f>
        <v>单利计息</v>
      </c>
    </row>
    <row r="23" spans="1:7" s="257" customFormat="1" ht="13.5" customHeight="1">
      <c r="A23" s="949" t="s">
        <v>2336</v>
      </c>
      <c r="B23" s="258" t="s">
        <v>2447</v>
      </c>
      <c r="C23" s="1378">
        <f ca="1">ROUND(IF('数据-取费表'!B22&lt;=1,C5*F22*'数据-取费表'!B22,C5*(POWER((1+F22),'数据-取费表'!B22)-1)),0)</f>
        <v>36167</v>
      </c>
      <c r="D23" s="281"/>
      <c r="E23" s="281"/>
      <c r="F23" s="282"/>
      <c r="G23" s="283" t="s">
        <v>2448</v>
      </c>
    </row>
    <row r="24" spans="1:7" s="257" customFormat="1" ht="13.5" customHeight="1">
      <c r="A24" s="949" t="s">
        <v>2338</v>
      </c>
      <c r="B24" s="258" t="s">
        <v>2449</v>
      </c>
      <c r="C24" s="1378">
        <f ca="1">ROUND(IF('数据-取费表'!B22&lt;=1,C19*F22*('数据-取费表'!B19/2+'数据-取费表'!B20),C19*(POWER((1+F22),('数据-取费表'!B19/2+'数据-取费表'!B20))-1)),0)</f>
        <v>68890</v>
      </c>
      <c r="D24" s="281"/>
      <c r="E24" s="281"/>
      <c r="F24" s="282"/>
      <c r="G24" s="283" t="s">
        <v>2450</v>
      </c>
    </row>
    <row r="25" spans="1:7" s="257" customFormat="1" ht="24">
      <c r="A25" s="949" t="s">
        <v>2340</v>
      </c>
      <c r="B25" s="258" t="s">
        <v>2451</v>
      </c>
      <c r="C25" s="1378">
        <f ca="1">ROUND(IF('数据-取费表'!B22&lt;=1,C20*F22*'数据-取费表'!B22/2,C20*(POWER((1+F22),'数据-取费表'!B22/2)-1)),0)</f>
        <v>1051</v>
      </c>
      <c r="D25" s="281"/>
      <c r="E25" s="284"/>
      <c r="F25" s="282"/>
      <c r="G25" s="285" t="s">
        <v>2452</v>
      </c>
    </row>
    <row r="26" spans="1:7" s="257" customFormat="1">
      <c r="A26" s="949" t="s">
        <v>795</v>
      </c>
      <c r="B26" s="258" t="s">
        <v>2375</v>
      </c>
      <c r="C26" s="281">
        <f ca="1">ROUND(IF('数据-取费表'!B22&lt;=1,F21*F22*'数据-取费表'!B22/2,F21*(POWER((1+F22),'数据-取费表'!B22/2)-1)),4)</f>
        <v>2.9999999999999997E-4</v>
      </c>
      <c r="D26" s="281"/>
      <c r="E26" s="284"/>
      <c r="F26" s="282"/>
      <c r="G26" s="286"/>
    </row>
    <row r="27" spans="1:7" s="257" customFormat="1" ht="24.75">
      <c r="A27" s="298" t="s">
        <v>2376</v>
      </c>
      <c r="B27" s="287" t="s">
        <v>2377</v>
      </c>
      <c r="C27" s="288">
        <f ca="1">C28</f>
        <v>246341</v>
      </c>
      <c r="D27" s="278">
        <f ca="1">C29</f>
        <v>1.5E-3</v>
      </c>
      <c r="E27" s="279" t="s">
        <v>2378</v>
      </c>
      <c r="F27" s="289">
        <f ca="1">IF(B1="",'数据-取费表'!Q16,INDIRECT("'数据-取费表'!q"&amp;$G$1))</f>
        <v>0.1</v>
      </c>
      <c r="G27" s="290" t="s">
        <v>2379</v>
      </c>
    </row>
    <row r="28" spans="1:7" s="257" customFormat="1" ht="13.5" customHeight="1">
      <c r="A28" s="949" t="s">
        <v>791</v>
      </c>
      <c r="B28" s="291" t="s">
        <v>2380</v>
      </c>
      <c r="C28" s="292">
        <f ca="1">ROUND((C5+C19+C20)*F27,0)</f>
        <v>246341</v>
      </c>
      <c r="D28" s="278"/>
      <c r="E28" s="279"/>
      <c r="F28" s="289"/>
      <c r="G28" s="290"/>
    </row>
    <row r="29" spans="1:7" s="257" customFormat="1" ht="13.5" customHeight="1">
      <c r="A29" s="949" t="s">
        <v>792</v>
      </c>
      <c r="B29" s="291" t="s">
        <v>2381</v>
      </c>
      <c r="C29" s="281">
        <f ca="1">ROUND(C21*F27,4)</f>
        <v>1.5E-3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3028135</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22666420</v>
      </c>
      <c r="D33" s="275"/>
      <c r="E33" s="255"/>
      <c r="F33" s="284"/>
      <c r="G33" s="277"/>
    </row>
    <row r="34" spans="1:7" s="301" customFormat="1" ht="13.5" customHeight="1">
      <c r="A34" s="949" t="s">
        <v>791</v>
      </c>
      <c r="B34" s="258" t="s">
        <v>2389</v>
      </c>
      <c r="C34" s="263">
        <f ca="1">ROUND(IF(B1="",SUMPRODUCT('数据-取费表'!K6:K14,'数据-取费表'!L6:L14),INDIRECT("'数据-取费表'!l"&amp;$G$1)*INDIRECT("'数据-取费表'!k"&amp;$G$1)+'数据-取费表'!L14*INDIRECT("'数据-取费表'!S"&amp;$G$1)),0)</f>
        <v>19796000</v>
      </c>
      <c r="D34" s="260"/>
      <c r="E34" s="263"/>
      <c r="F34" s="300"/>
      <c r="G34" s="262"/>
    </row>
    <row r="35" spans="1:7" ht="13.5" customHeight="1">
      <c r="A35" s="949" t="s">
        <v>796</v>
      </c>
      <c r="B35" s="258" t="s">
        <v>2391</v>
      </c>
      <c r="C35" s="263">
        <f ca="1">ROUND(C34*F35,0)</f>
        <v>989800</v>
      </c>
      <c r="D35" s="263"/>
      <c r="E35" s="263"/>
      <c r="F35" s="302">
        <f>'数据-取费表'!B33</f>
        <v>0.05</v>
      </c>
      <c r="G35" s="262" t="s">
        <v>2392</v>
      </c>
    </row>
    <row r="36" spans="1:7" ht="24">
      <c r="A36" s="949"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9" t="s">
        <v>798</v>
      </c>
      <c r="B37" s="258" t="s">
        <v>2395</v>
      </c>
      <c r="C37" s="292">
        <f ca="1">ROUND(E37*D37,0)</f>
        <v>1583680</v>
      </c>
      <c r="D37" s="260">
        <f ca="1">D19</f>
        <v>7918.4</v>
      </c>
      <c r="E37" s="292">
        <f>'数据-取费表'!B35</f>
        <v>200</v>
      </c>
      <c r="F37" s="302"/>
      <c r="G37" s="304"/>
    </row>
    <row r="38" spans="1:7" ht="13.5" customHeight="1">
      <c r="A38" s="949" t="s">
        <v>799</v>
      </c>
      <c r="B38" s="258" t="s">
        <v>2397</v>
      </c>
      <c r="C38" s="263">
        <f ca="1">ROUND(C34*F38,0)</f>
        <v>296940</v>
      </c>
      <c r="D38" s="263"/>
      <c r="E38" s="263"/>
      <c r="F38" s="302">
        <f>'数据-取费表'!B36</f>
        <v>1.4999999999999999E-2</v>
      </c>
      <c r="G38" s="262" t="s">
        <v>2392</v>
      </c>
    </row>
    <row r="39" spans="1:7" s="257" customFormat="1" ht="13.5" customHeight="1">
      <c r="A39" s="298" t="s">
        <v>2398</v>
      </c>
      <c r="B39" s="253" t="s">
        <v>2399</v>
      </c>
      <c r="C39" s="275">
        <f ca="1">ROUND(C33*F20,0)</f>
        <v>453328</v>
      </c>
      <c r="D39" s="275"/>
      <c r="E39" s="275"/>
      <c r="F39" s="276"/>
      <c r="G39" s="277" t="s">
        <v>2400</v>
      </c>
    </row>
    <row r="40" spans="1:7" s="257" customFormat="1" ht="13.5" customHeight="1">
      <c r="A40" s="298" t="s">
        <v>2401</v>
      </c>
      <c r="B40" s="253" t="s">
        <v>2402</v>
      </c>
      <c r="C40" s="1725">
        <f>F21</f>
        <v>1.4999999999999999E-2</v>
      </c>
      <c r="D40" s="279" t="s">
        <v>2403</v>
      </c>
      <c r="E40" s="275"/>
      <c r="F40" s="276"/>
      <c r="G40" s="277" t="s">
        <v>2404</v>
      </c>
    </row>
    <row r="41" spans="1:7" s="257" customFormat="1" ht="13.5" customHeight="1">
      <c r="A41" s="298" t="s">
        <v>2405</v>
      </c>
      <c r="B41" s="253" t="s">
        <v>2406</v>
      </c>
      <c r="C41" s="275">
        <f ca="1">ROUND(SUM(C42:C43),0)</f>
        <v>502855</v>
      </c>
      <c r="D41" s="278">
        <f ca="1">C44</f>
        <v>2.9999999999999997E-4</v>
      </c>
      <c r="E41" s="279" t="s">
        <v>2403</v>
      </c>
      <c r="F41" s="280"/>
      <c r="G41" s="277" t="str">
        <f>IF('数据-取费表'!B22&lt;=1,"单利计息","复利计息")</f>
        <v>单利计息</v>
      </c>
    </row>
    <row r="42" spans="1:7" ht="13.5" customHeight="1">
      <c r="A42" s="949" t="s">
        <v>791</v>
      </c>
      <c r="B42" s="258" t="s">
        <v>2407</v>
      </c>
      <c r="C42" s="281">
        <f ca="1">ROUND(IF('数据-取费表'!B22&lt;=1,C33*F22*'数据-取费表'!B20/2,C33*(POWER((1+F22),'数据-取费表'!B20/2)-1)),0)</f>
        <v>492995</v>
      </c>
      <c r="D42" s="281"/>
      <c r="E42" s="281"/>
      <c r="F42" s="282"/>
      <c r="G42" s="3175" t="s">
        <v>2455</v>
      </c>
    </row>
    <row r="43" spans="1:7" ht="13.5" customHeight="1">
      <c r="A43" s="949" t="s">
        <v>792</v>
      </c>
      <c r="B43" s="258" t="s">
        <v>2409</v>
      </c>
      <c r="C43" s="281">
        <f ca="1">ROUND(IF('数据-取费表'!B22&lt;=1,C39*F22*'数据-取费表'!B20/2,C39*(POWER((1+F22),'数据-取费表'!B20/2)-1)),0)</f>
        <v>9860</v>
      </c>
      <c r="D43" s="281"/>
      <c r="E43" s="281"/>
      <c r="F43" s="282"/>
      <c r="G43" s="3176"/>
    </row>
    <row r="44" spans="1:7" ht="13.5" customHeight="1">
      <c r="A44" s="949" t="s">
        <v>793</v>
      </c>
      <c r="B44" s="258" t="s">
        <v>2410</v>
      </c>
      <c r="C44" s="281">
        <f ca="1">ROUND(IF('数据-取费表'!B22&lt;=1,C40*F22*'数据-取费表'!B20/2,C40*(POWER((1+F22),'数据-取费表'!B20/2)-1)),4)</f>
        <v>2.9999999999999997E-4</v>
      </c>
      <c r="D44" s="281"/>
      <c r="E44" s="281"/>
      <c r="F44" s="282"/>
      <c r="G44" s="3177"/>
    </row>
    <row r="45" spans="1:7" s="257" customFormat="1" ht="13.5" customHeight="1">
      <c r="A45" s="298" t="s">
        <v>2411</v>
      </c>
      <c r="B45" s="287" t="s">
        <v>2377</v>
      </c>
      <c r="C45" s="288">
        <f ca="1">C46</f>
        <v>2311975</v>
      </c>
      <c r="D45" s="278">
        <f ca="1">C47</f>
        <v>1.5E-3</v>
      </c>
      <c r="E45" s="279" t="s">
        <v>2403</v>
      </c>
      <c r="F45" s="289"/>
      <c r="G45" s="290" t="s">
        <v>2412</v>
      </c>
    </row>
    <row r="46" spans="1:7" s="257" customFormat="1" ht="13.5" customHeight="1">
      <c r="A46" s="949" t="s">
        <v>791</v>
      </c>
      <c r="B46" s="291" t="s">
        <v>2413</v>
      </c>
      <c r="C46" s="292">
        <f ca="1">ROUND((C33+C39)*F27,0)</f>
        <v>2311975</v>
      </c>
      <c r="D46" s="306"/>
      <c r="E46" s="279"/>
      <c r="F46" s="289"/>
      <c r="G46" s="290"/>
    </row>
    <row r="47" spans="1:7" s="257" customFormat="1" ht="13.5" customHeight="1">
      <c r="A47" s="949" t="s">
        <v>792</v>
      </c>
      <c r="B47" s="291" t="s">
        <v>2414</v>
      </c>
      <c r="C47" s="281">
        <f ca="1">ROUND(C40*F27,4)</f>
        <v>1.5E-3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27889642</v>
      </c>
      <c r="D49" s="275"/>
      <c r="E49" s="275"/>
      <c r="F49" s="307"/>
      <c r="G49" s="277" t="s">
        <v>2418</v>
      </c>
    </row>
    <row r="50" spans="1:7" s="301" customFormat="1">
      <c r="A50" s="298" t="s">
        <v>2419</v>
      </c>
      <c r="B50" s="253" t="s">
        <v>2420</v>
      </c>
      <c r="C50" s="275"/>
      <c r="D50" s="275"/>
      <c r="E50" s="275"/>
      <c r="F50" s="307">
        <f>IF('数据-取费表'!B24=0,'数据-取费表'!N16,1)</f>
        <v>0.9</v>
      </c>
      <c r="G50" s="290"/>
    </row>
    <row r="51" spans="1:7" ht="16.5" customHeight="1">
      <c r="A51" s="298" t="s">
        <v>2422</v>
      </c>
      <c r="B51" s="253" t="s">
        <v>2457</v>
      </c>
      <c r="C51" s="275">
        <f ca="1">ROUND(C49*F50,0)</f>
        <v>25100678</v>
      </c>
      <c r="D51" s="275"/>
      <c r="E51" s="275"/>
      <c r="F51" s="307"/>
      <c r="G51" s="277" t="s">
        <v>2424</v>
      </c>
    </row>
    <row r="52" spans="1:7" s="251" customFormat="1" ht="16.5" thickBot="1">
      <c r="A52" s="308" t="s">
        <v>2425</v>
      </c>
      <c r="B52" s="309"/>
      <c r="C52" s="310">
        <f ca="1">C31+C51</f>
        <v>28128813</v>
      </c>
      <c r="D52" s="309"/>
      <c r="E52" s="309"/>
      <c r="F52" s="309"/>
      <c r="G52" s="311"/>
    </row>
    <row r="55" spans="1:7" ht="15">
      <c r="B55" s="313" t="s">
        <v>2426</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2458</v>
      </c>
      <c r="B1" s="1578"/>
      <c r="C1" s="1579"/>
      <c r="D1" s="1577"/>
      <c r="E1" s="319"/>
      <c r="F1" s="319"/>
      <c r="G1" s="1578"/>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4" customFormat="1" ht="16.5" customHeight="1">
      <c r="A4" s="951" t="s">
        <v>2461</v>
      </c>
      <c r="B4" s="952"/>
      <c r="C4" s="994">
        <f>SUM(C8:K8)</f>
        <v>0</v>
      </c>
      <c r="D4" s="952"/>
      <c r="E4" s="952"/>
      <c r="F4" s="952"/>
      <c r="G4" s="952"/>
      <c r="H4" s="952"/>
      <c r="I4" s="952"/>
      <c r="J4" s="952"/>
      <c r="K4" s="953"/>
    </row>
    <row r="5" spans="1:33" s="958" customFormat="1" ht="24.75">
      <c r="A5" s="955" t="s">
        <v>2462</v>
      </c>
      <c r="B5" s="956" t="s">
        <v>2463</v>
      </c>
      <c r="C5" s="2551" t="s">
        <v>2464</v>
      </c>
      <c r="D5" s="2551" t="s">
        <v>2465</v>
      </c>
      <c r="E5" s="2551" t="s">
        <v>2466</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2470</v>
      </c>
      <c r="B8" s="176" t="s">
        <v>2471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2472</v>
      </c>
      <c r="B9" s="952"/>
      <c r="C9" s="952"/>
      <c r="D9" s="952"/>
      <c r="E9" s="952"/>
      <c r="F9" s="952"/>
      <c r="G9" s="952"/>
      <c r="H9" s="952"/>
      <c r="I9" s="952"/>
      <c r="J9" s="952"/>
      <c r="K9" s="953"/>
    </row>
    <row r="10" spans="1:33" s="968" customFormat="1" ht="13.5" customHeight="1">
      <c r="A10" s="955" t="s">
        <v>2473</v>
      </c>
      <c r="B10" s="8" t="s">
        <v>2474</v>
      </c>
      <c r="C10" s="964" t="s">
        <v>2475</v>
      </c>
      <c r="D10" s="965" t="s">
        <v>2476</v>
      </c>
      <c r="E10" s="965" t="s">
        <v>2477</v>
      </c>
      <c r="F10" s="965" t="s">
        <v>2478</v>
      </c>
      <c r="G10" s="8"/>
      <c r="H10" s="966"/>
      <c r="I10" s="966"/>
      <c r="J10" s="966"/>
      <c r="K10" s="967"/>
    </row>
    <row r="11" spans="1:33" s="973" customFormat="1" ht="13.5" customHeight="1">
      <c r="A11" s="969" t="s">
        <v>1334</v>
      </c>
      <c r="B11" s="970" t="s">
        <v>2479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2480</v>
      </c>
      <c r="C12" s="24">
        <f ca="1">ROUND(C11*F12,0)</f>
        <v>0</v>
      </c>
      <c r="D12" s="971"/>
      <c r="E12" s="374"/>
      <c r="F12" s="974">
        <f>'数据-取费表'!B33</f>
        <v>0.05</v>
      </c>
      <c r="G12" s="8" t="s">
        <v>2481</v>
      </c>
      <c r="H12" s="966"/>
      <c r="I12" s="966"/>
      <c r="J12" s="966"/>
      <c r="K12" s="967"/>
    </row>
    <row r="13" spans="1:33" s="973" customFormat="1" ht="13.5" customHeight="1">
      <c r="A13" s="969" t="s">
        <v>1336</v>
      </c>
      <c r="B13" s="970" t="s">
        <v>2482</v>
      </c>
      <c r="C13" s="24">
        <f ca="1">ROUND(IF(C1="",SUMIF('数据-取费表'!C:C,"住宅",'数据-取费表'!P:P)*F13,IF(INDIRECT("'数据-取费表'!c"&amp;$K$1)="住宅",INDIRECT("'数据-取费表'!P"&amp;$K$1)*F13,0)),0)</f>
        <v>0</v>
      </c>
      <c r="D13" s="1031"/>
      <c r="E13" s="374"/>
      <c r="F13" s="974">
        <f>'数据-取费表'!B34</f>
        <v>0</v>
      </c>
      <c r="G13" s="8" t="s">
        <v>2483</v>
      </c>
      <c r="H13" s="966"/>
      <c r="I13" s="966"/>
      <c r="J13" s="966"/>
      <c r="K13" s="967"/>
    </row>
    <row r="14" spans="1:33" s="975" customFormat="1" ht="13.5" customHeight="1">
      <c r="A14" s="969" t="s">
        <v>1337</v>
      </c>
      <c r="B14" s="970" t="s">
        <v>2484</v>
      </c>
      <c r="C14" s="24">
        <f ca="1">ROUND(D14*E14*F11/10000,0)</f>
        <v>0</v>
      </c>
      <c r="D14" s="1031">
        <f ca="1">IF(C1="",'数据-汇总表'!E3,INDIRECT("'数据-取费表'!K"&amp;$K$1)+INDIRECT("'数据-取费表'!S"&amp;$K$1))</f>
        <v>7918.4</v>
      </c>
      <c r="E14" s="24">
        <f>'数据-取费表'!B35</f>
        <v>200</v>
      </c>
      <c r="F14" s="974"/>
      <c r="G14" s="8" t="s">
        <v>2485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2486</v>
      </c>
      <c r="C15" s="981">
        <f ca="1">ROUND(C11*F15,0)</f>
        <v>0</v>
      </c>
      <c r="D15" s="976"/>
      <c r="E15" s="981"/>
      <c r="F15" s="982">
        <f>'数据-取费表'!B36</f>
        <v>1.4999999999999999E-2</v>
      </c>
      <c r="G15" s="139" t="s">
        <v>2487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2488</v>
      </c>
      <c r="C16" s="981">
        <f ca="1">SUM(C11:C15)</f>
        <v>0</v>
      </c>
      <c r="D16" s="976"/>
      <c r="E16" s="981"/>
      <c r="F16" s="982"/>
      <c r="G16" s="139"/>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2489</v>
      </c>
      <c r="C17" s="24">
        <f ca="1">ROUND(D17*E17/10000,0)</f>
        <v>0</v>
      </c>
      <c r="D17" s="1031">
        <f ca="1">D14</f>
        <v>7918.4</v>
      </c>
      <c r="E17" s="24">
        <f>'数据-取费表'!B32</f>
        <v>0</v>
      </c>
      <c r="F17" s="976"/>
      <c r="G17" s="139" t="s">
        <v>2490</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2491</v>
      </c>
      <c r="C18" s="24">
        <f ca="1">C19+C20-IF(C1="",'数据-取费表'!B29,IF(G18="已全部缴纳",C19+C20,H18))</f>
        <v>0</v>
      </c>
      <c r="D18" s="1031"/>
      <c r="E18" s="24"/>
      <c r="F18" s="974"/>
      <c r="G18" s="2553"/>
      <c r="H18" s="1574"/>
      <c r="I18" s="2554" t="s">
        <v>2492</v>
      </c>
      <c r="J18" s="977"/>
      <c r="K18" s="978"/>
    </row>
    <row r="19" spans="1:33" s="973" customFormat="1" ht="13.5" customHeight="1">
      <c r="A19" s="969" t="s">
        <v>805</v>
      </c>
      <c r="B19" s="970" t="s">
        <v>2493</v>
      </c>
      <c r="C19" s="24">
        <f ca="1">ROUND(D19*E19/10000,0)</f>
        <v>0</v>
      </c>
      <c r="D19" s="1031">
        <f ca="1">IF(C1="",'数据-汇总表'!E5,IF(INDIRECT("'数据-取费表'!c"&amp;$K$1)="住宅",INDIRECT("'数据-取费表'!k"&amp;$K$1),0))</f>
        <v>0</v>
      </c>
      <c r="E19" s="24">
        <f>'数据-取费表'!B27</f>
        <v>105</v>
      </c>
      <c r="F19" s="974"/>
      <c r="G19" s="15"/>
      <c r="H19" s="1576"/>
      <c r="I19" s="979"/>
      <c r="J19" s="979"/>
      <c r="K19" s="980"/>
    </row>
    <row r="20" spans="1:33" s="973" customFormat="1" ht="13.5" customHeight="1">
      <c r="A20" s="969" t="s">
        <v>806</v>
      </c>
      <c r="B20" s="970" t="s">
        <v>2494</v>
      </c>
      <c r="C20" s="24">
        <f ca="1">ROUND(D20*E20/10000,0)</f>
        <v>83</v>
      </c>
      <c r="D20" s="1031">
        <f ca="1">IF(C1="",'数据-汇总表'!E6,IF(INDIRECT("'数据-取费表'!c"&amp;$K$1)="住宅",INDIRECT("'数据-取费表'!s"&amp;$K$1),INDIRECT("'数据-取费表'!k"&amp;$K$1)+INDIRECT("'数据-取费表'!s"&amp;$K$1)))</f>
        <v>7918.4</v>
      </c>
      <c r="E20" s="24">
        <f>'数据-取费表'!B28</f>
        <v>105</v>
      </c>
      <c r="F20" s="974"/>
      <c r="G20" s="15"/>
      <c r="H20" s="979"/>
      <c r="I20" s="979"/>
      <c r="J20" s="979"/>
      <c r="K20" s="980"/>
    </row>
    <row r="21" spans="1:33" s="973" customFormat="1" ht="13.5" customHeight="1">
      <c r="A21" s="959" t="s">
        <v>802</v>
      </c>
      <c r="B21" s="983" t="s">
        <v>2495</v>
      </c>
      <c r="C21" s="984">
        <f ca="1">C16+C17+C18</f>
        <v>0</v>
      </c>
      <c r="D21" s="985"/>
      <c r="E21" s="324"/>
      <c r="F21" s="324"/>
      <c r="G21" s="139" t="s">
        <v>2496</v>
      </c>
      <c r="H21" s="977"/>
      <c r="I21" s="977"/>
      <c r="J21" s="977"/>
      <c r="K21" s="978"/>
    </row>
    <row r="22" spans="1:33" s="973" customFormat="1" ht="13.5" customHeight="1">
      <c r="A22" s="959" t="s">
        <v>2468</v>
      </c>
      <c r="B22" s="983" t="s">
        <v>2497</v>
      </c>
      <c r="C22" s="984">
        <f ca="1">ROUND(C21*F22,0)</f>
        <v>0</v>
      </c>
      <c r="D22" s="324"/>
      <c r="E22" s="324"/>
      <c r="F22" s="986">
        <f>'数据-取费表'!B37</f>
        <v>0.02</v>
      </c>
      <c r="G22" s="8" t="s">
        <v>2498</v>
      </c>
      <c r="H22" s="966"/>
      <c r="I22" s="966"/>
      <c r="J22" s="966"/>
      <c r="K22" s="967"/>
    </row>
    <row r="23" spans="1:33" s="973" customFormat="1" ht="13.5" customHeight="1">
      <c r="A23" s="959" t="s">
        <v>2470</v>
      </c>
      <c r="B23" s="983" t="s">
        <v>2499</v>
      </c>
      <c r="C23" s="984">
        <f ca="1">ROUND(C4*F23*F11,0)</f>
        <v>0</v>
      </c>
      <c r="D23" s="324"/>
      <c r="E23" s="324"/>
      <c r="F23" s="986">
        <f>'数据-取费表'!B38</f>
        <v>1.4999999999999999E-2</v>
      </c>
      <c r="G23" s="8" t="s">
        <v>2500</v>
      </c>
      <c r="H23" s="966"/>
      <c r="I23" s="966"/>
      <c r="J23" s="966"/>
      <c r="K23" s="967"/>
    </row>
    <row r="24" spans="1:33" s="973" customFormat="1" ht="13.5" customHeight="1">
      <c r="A24" s="959" t="s">
        <v>2501</v>
      </c>
      <c r="B24" s="983" t="s">
        <v>2502</v>
      </c>
      <c r="C24" s="323">
        <f>ROUND(F24/(1+'数据-取费表'!C42),4)</f>
        <v>2.9000000000000001E-2</v>
      </c>
      <c r="D24" s="324" t="s">
        <v>15</v>
      </c>
      <c r="E24" s="324"/>
      <c r="F24" s="986">
        <f>'数据-取费表'!B48+'数据-取费表'!B49</f>
        <v>3.0499999999999999E-2</v>
      </c>
      <c r="G24" s="8" t="s">
        <v>2503</v>
      </c>
      <c r="H24" s="988"/>
      <c r="I24" s="988"/>
      <c r="J24" s="988"/>
      <c r="K24" s="989"/>
    </row>
    <row r="25" spans="1:33" s="973" customFormat="1" ht="13.5" customHeight="1">
      <c r="A25" s="959" t="s">
        <v>2504</v>
      </c>
      <c r="B25" s="985" t="s">
        <v>2505</v>
      </c>
      <c r="C25" s="1353">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2506</v>
      </c>
      <c r="C26" s="1354">
        <f ca="1">ROUND(IF('数据-取费表'!B22&lt;=1,(1+C24)*F25*'数据-取费表'!B24,(1+C24)*(POWER((1+F25),'数据-取费表'!B24)-1)),4)</f>
        <v>0</v>
      </c>
      <c r="D26" s="327"/>
      <c r="E26" s="328"/>
      <c r="F26" s="329"/>
      <c r="G26" s="2555"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2507</v>
      </c>
      <c r="C27" s="1355">
        <f ca="1">ROUND(IF('数据-取费表'!B22&lt;=1,(C21+C22+C23)*F25*'数据-取费表'!B24/2,(C21+C22+C23)*(POWER((1+F25),'数据-取费表'!B24/2)-1)),0)</f>
        <v>0</v>
      </c>
      <c r="D27" s="327"/>
      <c r="E27" s="328"/>
      <c r="F27" s="329"/>
      <c r="G27" s="2555" t="str">
        <f>IF('数据-取费表'!B22&lt;=1,"（1）-（3）项×年利率×建设期÷2","（1）-（3）项×((1+年利率)^(建设期÷2)-1)")</f>
        <v>（1）-（3）项×年利率×建设期÷2</v>
      </c>
      <c r="H27" s="977"/>
      <c r="I27" s="977"/>
      <c r="J27" s="977"/>
      <c r="K27" s="978"/>
    </row>
    <row r="28" spans="1:33" s="332" customFormat="1" ht="13.5" customHeight="1">
      <c r="A28" s="959" t="s">
        <v>2508</v>
      </c>
      <c r="B28" s="2556" t="s">
        <v>2509</v>
      </c>
      <c r="C28" s="330">
        <f ca="1">C30</f>
        <v>0</v>
      </c>
      <c r="D28" s="323">
        <f ca="1">C29</f>
        <v>0</v>
      </c>
      <c r="E28" s="325" t="s">
        <v>15</v>
      </c>
      <c r="F28" s="331">
        <f ca="1">IF(C1="",'数据-取费表'!Q16,INDIRECT("'数据-取费表'!q"&amp;$K$1))</f>
        <v>0.1</v>
      </c>
      <c r="G28" s="987"/>
      <c r="H28" s="988"/>
      <c r="I28" s="988"/>
      <c r="J28" s="988"/>
      <c r="K28" s="989"/>
    </row>
    <row r="29" spans="1:33" s="334" customFormat="1" ht="13.5" customHeight="1">
      <c r="A29" s="969" t="s">
        <v>803</v>
      </c>
      <c r="B29" s="992" t="s">
        <v>2510</v>
      </c>
      <c r="C29" s="327">
        <f ca="1">ROUND((1+C24)*F28*'数据-取费表'!B24/'数据-取费表'!B20,4)</f>
        <v>0</v>
      </c>
      <c r="D29" s="327"/>
      <c r="E29" s="328"/>
      <c r="F29" s="333"/>
      <c r="G29" s="139" t="s">
        <v>2511</v>
      </c>
      <c r="H29" s="977"/>
      <c r="I29" s="977"/>
      <c r="J29" s="977"/>
      <c r="K29" s="978"/>
    </row>
    <row r="30" spans="1:33" s="334" customFormat="1" ht="13.5" customHeight="1">
      <c r="A30" s="969" t="s">
        <v>804</v>
      </c>
      <c r="B30" s="992" t="s">
        <v>2512</v>
      </c>
      <c r="C30" s="335">
        <f ca="1">ROUND((C21+C22+C23)*F28,0)</f>
        <v>0</v>
      </c>
      <c r="D30" s="327"/>
      <c r="E30" s="328"/>
      <c r="F30" s="333"/>
      <c r="G30" s="139"/>
      <c r="H30" s="977"/>
      <c r="I30" s="977"/>
      <c r="J30" s="977"/>
      <c r="K30" s="978"/>
    </row>
    <row r="31" spans="1:33" s="973" customFormat="1" ht="13.5" customHeight="1" thickBot="1">
      <c r="A31" s="2557" t="s">
        <v>2513</v>
      </c>
      <c r="B31" s="1003" t="s">
        <v>2514</v>
      </c>
      <c r="C31" s="1004">
        <f>ROUND(C4*F31/(1+'数据-取费表'!C42),0)</f>
        <v>0</v>
      </c>
      <c r="D31" s="1005"/>
      <c r="E31" s="1006"/>
      <c r="F31" s="1007">
        <f>'数据-取费表'!B41</f>
        <v>5.6000000000000001E-2</v>
      </c>
      <c r="G31" s="1008" t="s">
        <v>2515</v>
      </c>
      <c r="H31" s="1009"/>
      <c r="I31" s="1009"/>
      <c r="J31" s="1009"/>
      <c r="K31" s="1010"/>
    </row>
    <row r="32" spans="1:33" s="968" customFormat="1" ht="13.5" customHeight="1" thickBot="1">
      <c r="A32" s="998" t="s">
        <v>2516</v>
      </c>
      <c r="B32" s="999"/>
      <c r="C32" s="1000">
        <f ca="1">ROUND((C4-C21-C22-C23-C25-C28-C31)/(1+C24+D25+D28),0)</f>
        <v>0</v>
      </c>
      <c r="D32" s="999"/>
      <c r="E32" s="999"/>
      <c r="F32" s="999"/>
      <c r="G32" s="1001" t="s">
        <v>2517</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2527</v>
      </c>
      <c r="B1" s="2579" t="s">
        <v>2528</v>
      </c>
      <c r="C1" s="1631" t="s">
        <v>2529</v>
      </c>
      <c r="D1" s="1618"/>
      <c r="E1" s="2580"/>
      <c r="F1" s="2581" t="s">
        <v>2530</v>
      </c>
      <c r="G1" s="1628" t="s">
        <v>2531</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3"/>
      <c r="D2" s="1362" t="e">
        <f ca="1">SUMIF(INDIRECT("'"&amp;F2&amp;"'"&amp;"!A:A"),"承租人权益价值",INDIRECT("'"&amp;F2&amp;"'"&amp;"!c:c"))</f>
        <v>#REF!</v>
      </c>
      <c r="E2" s="2584" t="s">
        <v>2532</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t="e">
        <f ca="1">IF(C2="——",C49,ROUND(B2*10000/D3,0))</f>
        <v>#DIV/0!</v>
      </c>
      <c r="C3" s="399" t="s">
        <v>2533</v>
      </c>
      <c r="D3" s="398">
        <f>IF(D1="",'数据-汇总表'!E3,SUMIF('数据-汇总表'!$C19:$C33,D1,'数据-汇总表'!$E19:$E33))</f>
        <v>7918.4</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79"/>
    </row>
    <row r="4" spans="1:29" ht="15">
      <c r="A4" s="400" t="s">
        <v>2534</v>
      </c>
      <c r="B4" s="401"/>
      <c r="C4" s="3196" t="s">
        <v>2535</v>
      </c>
      <c r="D4" s="3197"/>
      <c r="E4" s="3198" t="s">
        <v>2536</v>
      </c>
      <c r="F4" s="3199"/>
      <c r="G4" s="3196" t="s">
        <v>2537</v>
      </c>
      <c r="H4" s="3197"/>
      <c r="I4" s="3196" t="s">
        <v>2538</v>
      </c>
      <c r="J4" s="3197"/>
      <c r="K4" s="2593" t="s">
        <v>2539</v>
      </c>
      <c r="L4" s="1128"/>
      <c r="M4" s="1129"/>
      <c r="N4" s="1129"/>
      <c r="O4" s="1129"/>
      <c r="P4" s="3200" t="s">
        <v>2540</v>
      </c>
      <c r="Q4" s="3201"/>
      <c r="R4" s="3183" t="s">
        <v>2536</v>
      </c>
      <c r="S4" s="3184"/>
      <c r="T4" s="3183" t="s">
        <v>2537</v>
      </c>
      <c r="U4" s="3184"/>
      <c r="V4" s="3208" t="s">
        <v>2538</v>
      </c>
      <c r="W4" s="3208"/>
      <c r="X4" s="1810"/>
      <c r="Y4" s="3183" t="s">
        <v>2540</v>
      </c>
      <c r="Z4" s="3184"/>
      <c r="AA4" s="3178" t="s">
        <v>2536</v>
      </c>
      <c r="AB4" s="3178" t="s">
        <v>2537</v>
      </c>
      <c r="AC4" s="3178" t="s">
        <v>2538</v>
      </c>
    </row>
    <row r="5" spans="1:29" ht="15">
      <c r="A5" s="403"/>
      <c r="B5" s="404"/>
      <c r="C5" s="3189" t="s">
        <v>2541</v>
      </c>
      <c r="D5" s="3190"/>
      <c r="E5" s="3187" t="s">
        <v>2542</v>
      </c>
      <c r="F5" s="3188"/>
      <c r="G5" s="3189" t="s">
        <v>2543</v>
      </c>
      <c r="H5" s="3190"/>
      <c r="I5" s="3189" t="s">
        <v>2544</v>
      </c>
      <c r="J5" s="3190"/>
      <c r="K5" s="2594"/>
      <c r="L5" s="1128"/>
      <c r="M5" s="1129"/>
      <c r="N5" s="1129"/>
      <c r="O5" s="1129"/>
      <c r="P5" s="3202"/>
      <c r="Q5" s="3203"/>
      <c r="R5" s="3185"/>
      <c r="S5" s="3186"/>
      <c r="T5" s="3185"/>
      <c r="U5" s="3186"/>
      <c r="V5" s="3208"/>
      <c r="W5" s="3208"/>
      <c r="X5" s="1810"/>
      <c r="Y5" s="3185"/>
      <c r="Z5" s="3186"/>
      <c r="AA5" s="3179"/>
      <c r="AB5" s="3179"/>
      <c r="AC5" s="3179"/>
    </row>
    <row r="6" spans="1:29" ht="15.75" thickBot="1">
      <c r="A6" s="405"/>
      <c r="B6" s="406"/>
      <c r="C6" s="3191" t="s">
        <v>2545</v>
      </c>
      <c r="D6" s="3192"/>
      <c r="E6" s="3193" t="s">
        <v>2545</v>
      </c>
      <c r="F6" s="3194"/>
      <c r="G6" s="3191" t="s">
        <v>2545</v>
      </c>
      <c r="H6" s="3192"/>
      <c r="I6" s="3191" t="s">
        <v>2545</v>
      </c>
      <c r="J6" s="3192"/>
      <c r="K6" s="2594" t="s">
        <v>2546</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7" t="s">
        <v>2547</v>
      </c>
      <c r="B7" s="408"/>
      <c r="C7" s="409">
        <f>'数据-取费表'!B2</f>
        <v>43346</v>
      </c>
      <c r="D7" s="410">
        <v>100</v>
      </c>
      <c r="E7" s="411"/>
      <c r="F7" s="412">
        <f>SUMIF(58:58,YEAR(E7)&amp;"-"&amp;MONTH(E7),59:59)</f>
        <v>0</v>
      </c>
      <c r="G7" s="411"/>
      <c r="H7" s="410">
        <f>SUMIF(58:58,YEAR(G7)&amp;"-"&amp;MONTH(G7),59:59)</f>
        <v>0</v>
      </c>
      <c r="I7" s="411"/>
      <c r="J7" s="410">
        <f>SUMIF(58:58,YEAR(I7)&amp;"-"&amp;MONTH(I7),59:59)</f>
        <v>0</v>
      </c>
      <c r="K7" s="2595"/>
      <c r="L7" s="1130"/>
      <c r="M7" s="1131"/>
      <c r="N7" s="1131"/>
      <c r="O7" s="1131"/>
      <c r="P7" s="3181" t="s">
        <v>2548</v>
      </c>
      <c r="Q7" s="3209"/>
      <c r="R7" s="765" t="s">
        <v>23</v>
      </c>
      <c r="S7" s="766">
        <f t="shared" ref="S7:S15" si="0">F7</f>
        <v>0</v>
      </c>
      <c r="T7" s="765" t="s">
        <v>23</v>
      </c>
      <c r="U7" s="766">
        <f t="shared" ref="U7:U15" si="1">H7</f>
        <v>0</v>
      </c>
      <c r="V7" s="765" t="s">
        <v>23</v>
      </c>
      <c r="W7" s="766">
        <f t="shared" ref="W7:W15" si="2">J7</f>
        <v>0</v>
      </c>
      <c r="X7" s="767"/>
      <c r="Y7" s="3181" t="s">
        <v>2548</v>
      </c>
      <c r="Z7" s="3182"/>
      <c r="AA7" s="768" t="e">
        <f>D7/F7</f>
        <v>#DIV/0!</v>
      </c>
      <c r="AB7" s="768" t="e">
        <f>D7/H7</f>
        <v>#DIV/0!</v>
      </c>
      <c r="AC7" s="768" t="e">
        <f>D7/J7</f>
        <v>#DIV/0!</v>
      </c>
    </row>
    <row r="8" spans="1:29" s="117" customFormat="1" ht="15.75" thickBot="1">
      <c r="A8" s="407" t="s">
        <v>2549</v>
      </c>
      <c r="B8" s="408"/>
      <c r="C8" s="413" t="s">
        <v>2550</v>
      </c>
      <c r="D8" s="410">
        <v>100</v>
      </c>
      <c r="E8" s="2596"/>
      <c r="F8" s="412">
        <f>SUMIF(61:61,E8,62:62)-SUMIF(61:61,C8,62:62)+100</f>
        <v>0</v>
      </c>
      <c r="G8" s="413"/>
      <c r="H8" s="410">
        <f>SUMIF(61:61,G8,62:62)-SUMIF(61:61,C8,62:62)+100</f>
        <v>0</v>
      </c>
      <c r="I8" s="2596"/>
      <c r="J8" s="410">
        <f>SUMIF(61:61,I8,62:62)-SUMIF(61:61,C8,62:62)+100</f>
        <v>0</v>
      </c>
      <c r="K8" s="2595"/>
      <c r="L8" s="1130"/>
      <c r="M8" s="1131"/>
      <c r="N8" s="1131"/>
      <c r="O8" s="1131"/>
      <c r="P8" s="3181" t="s">
        <v>2551</v>
      </c>
      <c r="Q8" s="3182"/>
      <c r="R8" s="765" t="s">
        <v>23</v>
      </c>
      <c r="S8" s="766">
        <f t="shared" si="0"/>
        <v>0</v>
      </c>
      <c r="T8" s="765" t="s">
        <v>23</v>
      </c>
      <c r="U8" s="766">
        <f t="shared" si="1"/>
        <v>0</v>
      </c>
      <c r="V8" s="765" t="s">
        <v>23</v>
      </c>
      <c r="W8" s="766">
        <f t="shared" si="2"/>
        <v>0</v>
      </c>
      <c r="X8" s="767"/>
      <c r="Y8" s="3181" t="s">
        <v>2551</v>
      </c>
      <c r="Z8" s="3182"/>
      <c r="AA8" s="768" t="e">
        <f t="shared" ref="AA8:AA19" si="3">D8/F8</f>
        <v>#DIV/0!</v>
      </c>
      <c r="AB8" s="768" t="e">
        <f t="shared" ref="AB8:AB19" si="4">D8/H8</f>
        <v>#DIV/0!</v>
      </c>
      <c r="AC8" s="768"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5"/>
      <c r="L9" s="1130"/>
      <c r="M9" s="1131"/>
      <c r="N9" s="1131"/>
      <c r="O9" s="1131"/>
      <c r="P9" s="3195"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768">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95"/>
      <c r="Q10" s="1792" t="str">
        <f t="shared" si="6"/>
        <v>土地使用年限（年）</v>
      </c>
      <c r="R10" s="765" t="s">
        <v>17</v>
      </c>
      <c r="S10" s="766">
        <f t="shared" si="0"/>
        <v>100</v>
      </c>
      <c r="T10" s="765" t="s">
        <v>17</v>
      </c>
      <c r="U10" s="766">
        <f t="shared" si="1"/>
        <v>100</v>
      </c>
      <c r="V10" s="765" t="s">
        <v>17</v>
      </c>
      <c r="W10" s="766">
        <f t="shared" si="2"/>
        <v>100</v>
      </c>
      <c r="X10" s="767"/>
      <c r="Y10" s="3052"/>
      <c r="Z10" s="55" t="str">
        <f t="shared" si="7"/>
        <v>土地使用年限（年）</v>
      </c>
      <c r="AA10" s="768">
        <f t="shared" si="3"/>
        <v>1</v>
      </c>
      <c r="AB10" s="768">
        <f t="shared" si="4"/>
        <v>1</v>
      </c>
      <c r="AC10" s="768">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95"/>
      <c r="Q11" s="1792" t="str">
        <f t="shared" si="6"/>
        <v>容积率</v>
      </c>
      <c r="R11" s="765" t="s">
        <v>21</v>
      </c>
      <c r="S11" s="766" t="e">
        <f t="shared" si="0"/>
        <v>#N/A</v>
      </c>
      <c r="T11" s="765" t="s">
        <v>21</v>
      </c>
      <c r="U11" s="766" t="e">
        <f t="shared" si="1"/>
        <v>#N/A</v>
      </c>
      <c r="V11" s="765" t="s">
        <v>21</v>
      </c>
      <c r="W11" s="766" t="e">
        <f t="shared" si="2"/>
        <v>#N/A</v>
      </c>
      <c r="X11" s="767"/>
      <c r="Y11" s="3052"/>
      <c r="Z11" s="55" t="str">
        <f t="shared" si="7"/>
        <v>容积率</v>
      </c>
      <c r="AA11" s="768" t="e">
        <f t="shared" si="3"/>
        <v>#N/A</v>
      </c>
      <c r="AB11" s="768" t="e">
        <f t="shared" si="4"/>
        <v>#N/A</v>
      </c>
      <c r="AC11" s="768" t="e">
        <f t="shared" si="5"/>
        <v>#N/A</v>
      </c>
    </row>
    <row r="12" spans="1:29" s="117"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195"/>
      <c r="Q12" s="1792">
        <f t="shared" si="6"/>
        <v>111</v>
      </c>
      <c r="R12" s="765" t="s">
        <v>21</v>
      </c>
      <c r="S12" s="766">
        <f t="shared" si="0"/>
        <v>100</v>
      </c>
      <c r="T12" s="765" t="s">
        <v>21</v>
      </c>
      <c r="U12" s="766">
        <f t="shared" si="1"/>
        <v>100</v>
      </c>
      <c r="V12" s="765" t="s">
        <v>21</v>
      </c>
      <c r="W12" s="766">
        <f t="shared" si="2"/>
        <v>100</v>
      </c>
      <c r="X12" s="767"/>
      <c r="Y12" s="3052"/>
      <c r="Z12" s="55">
        <f t="shared" si="7"/>
        <v>111</v>
      </c>
      <c r="AA12" s="768">
        <f>D12/F12</f>
        <v>1</v>
      </c>
      <c r="AB12" s="768">
        <f>D12/H12</f>
        <v>1</v>
      </c>
      <c r="AC12" s="768">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195"/>
      <c r="Q13" s="1792">
        <f t="shared" si="6"/>
        <v>111</v>
      </c>
      <c r="R13" s="765" t="s">
        <v>21</v>
      </c>
      <c r="S13" s="766">
        <f t="shared" si="0"/>
        <v>100</v>
      </c>
      <c r="T13" s="765" t="s">
        <v>21</v>
      </c>
      <c r="U13" s="766">
        <f t="shared" si="1"/>
        <v>100</v>
      </c>
      <c r="V13" s="765" t="s">
        <v>21</v>
      </c>
      <c r="W13" s="766">
        <f t="shared" si="2"/>
        <v>100</v>
      </c>
      <c r="X13" s="767"/>
      <c r="Y13" s="3052"/>
      <c r="Z13" s="55">
        <f t="shared" si="7"/>
        <v>111</v>
      </c>
      <c r="AA13" s="768">
        <f t="shared" si="3"/>
        <v>1</v>
      </c>
      <c r="AB13" s="768">
        <f t="shared" si="4"/>
        <v>1</v>
      </c>
      <c r="AC13" s="768">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195"/>
      <c r="Q14" s="1792">
        <f t="shared" si="6"/>
        <v>111</v>
      </c>
      <c r="R14" s="765" t="s">
        <v>21</v>
      </c>
      <c r="S14" s="766">
        <f t="shared" si="0"/>
        <v>100</v>
      </c>
      <c r="T14" s="765" t="s">
        <v>21</v>
      </c>
      <c r="U14" s="766">
        <f t="shared" si="1"/>
        <v>100</v>
      </c>
      <c r="V14" s="765" t="s">
        <v>21</v>
      </c>
      <c r="W14" s="766">
        <f t="shared" si="2"/>
        <v>100</v>
      </c>
      <c r="X14" s="767"/>
      <c r="Y14" s="3052"/>
      <c r="Z14" s="55">
        <f t="shared" si="7"/>
        <v>111</v>
      </c>
      <c r="AA14" s="768">
        <f t="shared" si="3"/>
        <v>1</v>
      </c>
      <c r="AB14" s="768">
        <f t="shared" si="4"/>
        <v>1</v>
      </c>
      <c r="AC14" s="768">
        <f t="shared" si="5"/>
        <v>1</v>
      </c>
    </row>
    <row r="15" spans="1:29" ht="99.75">
      <c r="A15" s="439" t="s">
        <v>2558</v>
      </c>
      <c r="B15" s="69" t="s">
        <v>2086</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22" t="s">
        <v>2559</v>
      </c>
      <c r="Q15" s="1807" t="str">
        <f t="shared" si="6"/>
        <v>居住社区成熟度</v>
      </c>
      <c r="R15" s="769" t="s">
        <v>21</v>
      </c>
      <c r="S15" s="770">
        <f t="shared" si="0"/>
        <v>100</v>
      </c>
      <c r="T15" s="769" t="s">
        <v>21</v>
      </c>
      <c r="U15" s="770">
        <f t="shared" si="1"/>
        <v>100</v>
      </c>
      <c r="V15" s="769" t="s">
        <v>21</v>
      </c>
      <c r="W15" s="770">
        <f t="shared" si="2"/>
        <v>100</v>
      </c>
      <c r="X15" s="1810"/>
      <c r="Y15" s="3215" t="s">
        <v>2559</v>
      </c>
      <c r="Z15" s="1811" t="str">
        <f t="shared" si="7"/>
        <v>居住社区成熟度</v>
      </c>
      <c r="AA15" s="1808">
        <f t="shared" si="3"/>
        <v>1</v>
      </c>
      <c r="AB15" s="1808">
        <f t="shared" si="4"/>
        <v>1</v>
      </c>
      <c r="AC15" s="1808">
        <f t="shared" si="5"/>
        <v>1</v>
      </c>
    </row>
    <row r="16" spans="1:29" ht="15">
      <c r="A16" s="427"/>
      <c r="B16" s="445"/>
      <c r="C16" s="446"/>
      <c r="D16" s="447"/>
      <c r="E16" s="2601"/>
      <c r="F16" s="447"/>
      <c r="G16" s="2602"/>
      <c r="H16" s="449"/>
      <c r="I16" s="2602"/>
      <c r="J16" s="447"/>
      <c r="K16" s="2603"/>
      <c r="L16" s="1138"/>
      <c r="M16" s="1129"/>
      <c r="N16" s="1129"/>
      <c r="O16" s="1129"/>
      <c r="P16" s="3223"/>
      <c r="Q16" s="1807"/>
      <c r="R16" s="769"/>
      <c r="S16" s="770"/>
      <c r="T16" s="769"/>
      <c r="U16" s="770"/>
      <c r="V16" s="769"/>
      <c r="W16" s="770"/>
      <c r="X16" s="1810"/>
      <c r="Y16" s="3216"/>
      <c r="Z16" s="1811"/>
      <c r="AA16" s="1808">
        <v>1</v>
      </c>
      <c r="AB16" s="1808">
        <v>1</v>
      </c>
      <c r="AC16" s="1808">
        <v>1</v>
      </c>
    </row>
    <row r="17" spans="1:29" ht="85.5">
      <c r="A17" s="427"/>
      <c r="B17" s="450" t="s">
        <v>2098</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23"/>
      <c r="Q17" s="1807" t="str">
        <f>B17</f>
        <v>交通便捷度</v>
      </c>
      <c r="R17" s="769" t="s">
        <v>21</v>
      </c>
      <c r="S17" s="770">
        <f>F17</f>
        <v>100</v>
      </c>
      <c r="T17" s="769" t="s">
        <v>21</v>
      </c>
      <c r="U17" s="770">
        <f>H17</f>
        <v>100</v>
      </c>
      <c r="V17" s="769" t="s">
        <v>21</v>
      </c>
      <c r="W17" s="770">
        <f>J17</f>
        <v>100</v>
      </c>
      <c r="X17" s="1810"/>
      <c r="Y17" s="3216"/>
      <c r="Z17" s="1811" t="str">
        <f>Q17</f>
        <v>交通便捷度</v>
      </c>
      <c r="AA17" s="1808">
        <f t="shared" si="3"/>
        <v>1</v>
      </c>
      <c r="AB17" s="1808">
        <f t="shared" si="4"/>
        <v>1</v>
      </c>
      <c r="AC17" s="1808">
        <f t="shared" si="5"/>
        <v>1</v>
      </c>
    </row>
    <row r="18" spans="1:29" ht="15">
      <c r="A18" s="427"/>
      <c r="B18" s="455"/>
      <c r="C18" s="2605"/>
      <c r="D18" s="449"/>
      <c r="E18" s="2606"/>
      <c r="F18" s="449"/>
      <c r="G18" s="2607"/>
      <c r="H18" s="447"/>
      <c r="I18" s="2607"/>
      <c r="J18" s="447"/>
      <c r="K18" s="2603"/>
      <c r="L18" s="1138"/>
      <c r="M18" s="1129"/>
      <c r="N18" s="1129"/>
      <c r="O18" s="1129"/>
      <c r="P18" s="3223"/>
      <c r="Q18" s="1807"/>
      <c r="R18" s="769"/>
      <c r="S18" s="770"/>
      <c r="T18" s="769"/>
      <c r="U18" s="770"/>
      <c r="V18" s="769"/>
      <c r="W18" s="770"/>
      <c r="X18" s="1810"/>
      <c r="Y18" s="3216"/>
      <c r="Z18" s="1811"/>
      <c r="AA18" s="1808">
        <v>1</v>
      </c>
      <c r="AB18" s="1808">
        <v>1</v>
      </c>
      <c r="AC18" s="1808">
        <v>1</v>
      </c>
    </row>
    <row r="19" spans="1:29" ht="42.75">
      <c r="A19" s="427"/>
      <c r="B19" s="450" t="s">
        <v>2096</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23"/>
      <c r="Q19" s="1807" t="str">
        <f>B19</f>
        <v>公共配套设施</v>
      </c>
      <c r="R19" s="769" t="s">
        <v>21</v>
      </c>
      <c r="S19" s="770">
        <f>F19</f>
        <v>100</v>
      </c>
      <c r="T19" s="769" t="s">
        <v>21</v>
      </c>
      <c r="U19" s="770">
        <f>H19</f>
        <v>100</v>
      </c>
      <c r="V19" s="769" t="s">
        <v>21</v>
      </c>
      <c r="W19" s="770">
        <f>J19</f>
        <v>100</v>
      </c>
      <c r="X19" s="1810"/>
      <c r="Y19" s="3216"/>
      <c r="Z19" s="1811" t="str">
        <f>Q19</f>
        <v>公共配套设施</v>
      </c>
      <c r="AA19" s="1808">
        <f t="shared" si="3"/>
        <v>1</v>
      </c>
      <c r="AB19" s="1808">
        <f t="shared" si="4"/>
        <v>1</v>
      </c>
      <c r="AC19" s="1808">
        <f t="shared" si="5"/>
        <v>1</v>
      </c>
    </row>
    <row r="20" spans="1:29" ht="15">
      <c r="A20" s="427"/>
      <c r="B20" s="455"/>
      <c r="C20" s="446"/>
      <c r="D20" s="447"/>
      <c r="E20" s="2601"/>
      <c r="F20" s="447"/>
      <c r="G20" s="2602"/>
      <c r="H20" s="447"/>
      <c r="I20" s="2602"/>
      <c r="J20" s="447"/>
      <c r="K20" s="2603"/>
      <c r="L20" s="1138"/>
      <c r="M20" s="1129"/>
      <c r="N20" s="1129"/>
      <c r="O20" s="1129"/>
      <c r="P20" s="3223"/>
      <c r="Q20" s="1807"/>
      <c r="R20" s="769"/>
      <c r="S20" s="770"/>
      <c r="T20" s="769"/>
      <c r="U20" s="770"/>
      <c r="V20" s="769"/>
      <c r="W20" s="770"/>
      <c r="X20" s="1810"/>
      <c r="Y20" s="3216"/>
      <c r="Z20" s="1811"/>
      <c r="AA20" s="1808">
        <v>1</v>
      </c>
      <c r="AB20" s="1808">
        <v>1</v>
      </c>
      <c r="AC20" s="1808">
        <v>1</v>
      </c>
    </row>
    <row r="21" spans="1:29" ht="28.5">
      <c r="A21" s="427"/>
      <c r="B21" s="1381" t="s">
        <v>2099</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23"/>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1808">
        <f t="shared" ref="AC21" si="10">D21/J21</f>
        <v>1</v>
      </c>
    </row>
    <row r="22" spans="1:29" ht="15">
      <c r="A22" s="427"/>
      <c r="B22" s="1381"/>
      <c r="C22" s="2605"/>
      <c r="D22" s="447"/>
      <c r="E22" s="446"/>
      <c r="F22" s="447"/>
      <c r="G22" s="2608"/>
      <c r="H22" s="447"/>
      <c r="I22" s="446"/>
      <c r="J22" s="447"/>
      <c r="K22" s="2609"/>
      <c r="L22" s="1138"/>
      <c r="M22" s="1129"/>
      <c r="N22" s="1129"/>
      <c r="O22" s="1129"/>
      <c r="P22" s="3223"/>
      <c r="Q22" s="1807"/>
      <c r="R22" s="769"/>
      <c r="S22" s="770"/>
      <c r="T22" s="769"/>
      <c r="U22" s="770"/>
      <c r="V22" s="769"/>
      <c r="W22" s="770"/>
      <c r="X22" s="1810"/>
      <c r="Y22" s="3216"/>
      <c r="Z22" s="1811"/>
      <c r="AA22" s="1808">
        <v>1</v>
      </c>
      <c r="AB22" s="1808">
        <v>1</v>
      </c>
      <c r="AC22" s="1808">
        <v>1</v>
      </c>
    </row>
    <row r="23" spans="1:29" ht="57">
      <c r="A23" s="427"/>
      <c r="B23" s="450" t="s">
        <v>2103</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23"/>
      <c r="Q23" s="1807" t="str">
        <f>B23</f>
        <v>自然及人文环境</v>
      </c>
      <c r="R23" s="769" t="s">
        <v>21</v>
      </c>
      <c r="S23" s="770">
        <f>F23</f>
        <v>100</v>
      </c>
      <c r="T23" s="769" t="s">
        <v>21</v>
      </c>
      <c r="U23" s="770">
        <f>H23</f>
        <v>100</v>
      </c>
      <c r="V23" s="769" t="s">
        <v>21</v>
      </c>
      <c r="W23" s="770">
        <f>J23</f>
        <v>100</v>
      </c>
      <c r="X23" s="1810"/>
      <c r="Y23" s="3216"/>
      <c r="Z23" s="1811" t="str">
        <f>Q23</f>
        <v>自然及人文环境</v>
      </c>
      <c r="AA23" s="1808">
        <f>D23/F23</f>
        <v>1</v>
      </c>
      <c r="AB23" s="1808">
        <f>D23/H23</f>
        <v>1</v>
      </c>
      <c r="AC23" s="1808">
        <f>D23/J23</f>
        <v>1</v>
      </c>
    </row>
    <row r="24" spans="1:29" ht="15">
      <c r="A24" s="427"/>
      <c r="B24" s="455"/>
      <c r="C24" s="446"/>
      <c r="D24" s="447"/>
      <c r="E24" s="2601"/>
      <c r="F24" s="447"/>
      <c r="G24" s="2602"/>
      <c r="H24" s="447"/>
      <c r="I24" s="2602"/>
      <c r="J24" s="447"/>
      <c r="K24" s="2603"/>
      <c r="L24" s="1138"/>
      <c r="M24" s="1129"/>
      <c r="N24" s="1129"/>
      <c r="O24" s="1129"/>
      <c r="P24" s="3223"/>
      <c r="Q24" s="1807"/>
      <c r="R24" s="769"/>
      <c r="S24" s="770"/>
      <c r="T24" s="769"/>
      <c r="U24" s="770"/>
      <c r="V24" s="769"/>
      <c r="W24" s="770"/>
      <c r="X24" s="1810"/>
      <c r="Y24" s="3216"/>
      <c r="Z24" s="1811"/>
      <c r="AA24" s="1808">
        <v>1</v>
      </c>
      <c r="AB24" s="1808">
        <v>1</v>
      </c>
      <c r="AC24" s="1808">
        <v>1</v>
      </c>
    </row>
    <row r="25" spans="1:29" ht="15">
      <c r="A25" s="427"/>
      <c r="B25" s="421" t="s">
        <v>2560</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223"/>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c r="A26" s="427"/>
      <c r="B26" s="421" t="s">
        <v>2561</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223"/>
      <c r="Q26" s="1807" t="str">
        <f t="shared" si="11"/>
        <v>朝向</v>
      </c>
      <c r="R26" s="769" t="s">
        <v>21</v>
      </c>
      <c r="S26" s="770">
        <f t="shared" si="12"/>
        <v>100</v>
      </c>
      <c r="T26" s="769" t="s">
        <v>21</v>
      </c>
      <c r="U26" s="770">
        <f t="shared" si="13"/>
        <v>100</v>
      </c>
      <c r="V26" s="769" t="s">
        <v>21</v>
      </c>
      <c r="W26" s="770">
        <f t="shared" si="14"/>
        <v>100</v>
      </c>
      <c r="X26" s="1810"/>
      <c r="Y26" s="3216"/>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223"/>
      <c r="Q27" s="1792">
        <f t="shared" si="11"/>
        <v>111</v>
      </c>
      <c r="R27" s="765" t="s">
        <v>21</v>
      </c>
      <c r="S27" s="766">
        <f t="shared" si="12"/>
        <v>100</v>
      </c>
      <c r="T27" s="765" t="s">
        <v>21</v>
      </c>
      <c r="U27" s="766">
        <f t="shared" si="13"/>
        <v>100</v>
      </c>
      <c r="V27" s="765" t="s">
        <v>21</v>
      </c>
      <c r="W27" s="766">
        <f t="shared" si="14"/>
        <v>100</v>
      </c>
      <c r="X27" s="767"/>
      <c r="Y27" s="3216"/>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223"/>
      <c r="Q28" s="1807">
        <f t="shared" si="11"/>
        <v>111</v>
      </c>
      <c r="R28" s="769" t="s">
        <v>21</v>
      </c>
      <c r="S28" s="770">
        <f t="shared" si="12"/>
        <v>100</v>
      </c>
      <c r="T28" s="769" t="s">
        <v>21</v>
      </c>
      <c r="U28" s="770">
        <f t="shared" si="13"/>
        <v>100</v>
      </c>
      <c r="V28" s="769" t="s">
        <v>21</v>
      </c>
      <c r="W28" s="770">
        <f t="shared" si="14"/>
        <v>100</v>
      </c>
      <c r="X28" s="1810"/>
      <c r="Y28" s="3216"/>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223"/>
      <c r="Q29" s="1807">
        <f t="shared" si="11"/>
        <v>111</v>
      </c>
      <c r="R29" s="769" t="s">
        <v>21</v>
      </c>
      <c r="S29" s="770">
        <f t="shared" si="12"/>
        <v>100</v>
      </c>
      <c r="T29" s="769" t="s">
        <v>21</v>
      </c>
      <c r="U29" s="770">
        <f t="shared" si="13"/>
        <v>100</v>
      </c>
      <c r="V29" s="769" t="s">
        <v>21</v>
      </c>
      <c r="W29" s="770">
        <f t="shared" si="14"/>
        <v>100</v>
      </c>
      <c r="X29" s="1810"/>
      <c r="Y29" s="3216"/>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223"/>
      <c r="Q30" s="1807">
        <f t="shared" si="11"/>
        <v>111</v>
      </c>
      <c r="R30" s="769" t="s">
        <v>21</v>
      </c>
      <c r="S30" s="770">
        <f t="shared" si="12"/>
        <v>100</v>
      </c>
      <c r="T30" s="769" t="s">
        <v>21</v>
      </c>
      <c r="U30" s="770">
        <f t="shared" si="13"/>
        <v>100</v>
      </c>
      <c r="V30" s="769" t="s">
        <v>21</v>
      </c>
      <c r="W30" s="770">
        <f t="shared" si="14"/>
        <v>100</v>
      </c>
      <c r="X30" s="1810"/>
      <c r="Y30" s="3216"/>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223"/>
      <c r="Q31" s="1807">
        <f t="shared" si="11"/>
        <v>111</v>
      </c>
      <c r="R31" s="769" t="s">
        <v>21</v>
      </c>
      <c r="S31" s="770">
        <f t="shared" si="12"/>
        <v>100</v>
      </c>
      <c r="T31" s="769" t="s">
        <v>21</v>
      </c>
      <c r="U31" s="770">
        <f t="shared" si="13"/>
        <v>100</v>
      </c>
      <c r="V31" s="769" t="s">
        <v>21</v>
      </c>
      <c r="W31" s="770">
        <f t="shared" si="14"/>
        <v>100</v>
      </c>
      <c r="X31" s="1810"/>
      <c r="Y31" s="3216"/>
      <c r="Z31" s="1811">
        <f t="shared" si="18"/>
        <v>111</v>
      </c>
      <c r="AA31" s="1808">
        <f t="shared" si="15"/>
        <v>1</v>
      </c>
      <c r="AB31" s="1808">
        <f t="shared" si="16"/>
        <v>1</v>
      </c>
      <c r="AC31" s="1808">
        <f t="shared" si="17"/>
        <v>1</v>
      </c>
    </row>
    <row r="32" spans="1:29" ht="15">
      <c r="A32" s="439" t="s">
        <v>2562</v>
      </c>
      <c r="B32" s="71" t="s">
        <v>2563</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8"/>
      <c r="M32" s="1129"/>
      <c r="N32" s="1129"/>
      <c r="O32" s="1129"/>
      <c r="P32" s="3217" t="s">
        <v>2564</v>
      </c>
      <c r="Q32" s="1807" t="str">
        <f t="shared" si="11"/>
        <v>建筑类型</v>
      </c>
      <c r="R32" s="769" t="s">
        <v>21</v>
      </c>
      <c r="S32" s="770">
        <f t="shared" si="12"/>
        <v>100</v>
      </c>
      <c r="T32" s="769" t="s">
        <v>21</v>
      </c>
      <c r="U32" s="770">
        <f t="shared" si="13"/>
        <v>100</v>
      </c>
      <c r="V32" s="769" t="s">
        <v>21</v>
      </c>
      <c r="W32" s="770">
        <f t="shared" si="14"/>
        <v>100</v>
      </c>
      <c r="X32" s="1810"/>
      <c r="Y32" s="3220" t="s">
        <v>2564</v>
      </c>
      <c r="Z32" s="1811" t="str">
        <f t="shared" si="18"/>
        <v>建筑类型</v>
      </c>
      <c r="AA32" s="1808">
        <f t="shared" si="15"/>
        <v>1</v>
      </c>
      <c r="AB32" s="1808">
        <f t="shared" si="16"/>
        <v>1</v>
      </c>
      <c r="AC32" s="1808">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6"/>
      <c r="M33" s="1139"/>
      <c r="N33" s="1139"/>
      <c r="O33" s="1139"/>
      <c r="P33" s="3218"/>
      <c r="Q33" s="771" t="str">
        <f t="shared" si="11"/>
        <v>项目建筑规模</v>
      </c>
      <c r="R33" s="772" t="s">
        <v>21</v>
      </c>
      <c r="S33" s="773" t="e">
        <f t="shared" si="12"/>
        <v>#N/A</v>
      </c>
      <c r="T33" s="772" t="s">
        <v>21</v>
      </c>
      <c r="U33" s="773" t="e">
        <f t="shared" si="13"/>
        <v>#N/A</v>
      </c>
      <c r="V33" s="772" t="s">
        <v>21</v>
      </c>
      <c r="W33" s="773" t="e">
        <f t="shared" si="14"/>
        <v>#N/A</v>
      </c>
      <c r="X33" s="774"/>
      <c r="Y33" s="3220"/>
      <c r="Z33" s="775" t="str">
        <f t="shared" si="18"/>
        <v>项目建筑规模</v>
      </c>
      <c r="AA33" s="1808" t="e">
        <f t="shared" si="15"/>
        <v>#N/A</v>
      </c>
      <c r="AB33" s="1808" t="e">
        <f t="shared" si="16"/>
        <v>#N/A</v>
      </c>
      <c r="AC33" s="1808" t="e">
        <f t="shared" si="17"/>
        <v>#N/A</v>
      </c>
    </row>
    <row r="34" spans="1:29" ht="15">
      <c r="A34" s="471"/>
      <c r="B34" s="421" t="s">
        <v>2566</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8"/>
      <c r="M34" s="1129"/>
      <c r="N34" s="1129"/>
      <c r="O34" s="1129"/>
      <c r="P34" s="3218"/>
      <c r="Q34" s="1807" t="str">
        <f t="shared" si="11"/>
        <v>建筑结构</v>
      </c>
      <c r="R34" s="769" t="s">
        <v>21</v>
      </c>
      <c r="S34" s="770">
        <f t="shared" si="12"/>
        <v>100</v>
      </c>
      <c r="T34" s="769" t="s">
        <v>21</v>
      </c>
      <c r="U34" s="770">
        <f t="shared" si="13"/>
        <v>100</v>
      </c>
      <c r="V34" s="769" t="s">
        <v>21</v>
      </c>
      <c r="W34" s="770">
        <f t="shared" si="14"/>
        <v>100</v>
      </c>
      <c r="X34" s="1810"/>
      <c r="Y34" s="3220"/>
      <c r="Z34" s="1811" t="str">
        <f t="shared" si="18"/>
        <v>建筑结构</v>
      </c>
      <c r="AA34" s="1808">
        <f t="shared" si="15"/>
        <v>1</v>
      </c>
      <c r="AB34" s="1808">
        <f t="shared" si="16"/>
        <v>1</v>
      </c>
      <c r="AC34" s="1808">
        <f t="shared" si="17"/>
        <v>1</v>
      </c>
    </row>
    <row r="35" spans="1:29" ht="15">
      <c r="A35" s="471"/>
      <c r="B35" s="421" t="s">
        <v>2567</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8"/>
      <c r="M35" s="1129"/>
      <c r="N35" s="1129"/>
      <c r="O35" s="1129"/>
      <c r="P35" s="3218"/>
      <c r="Q35" s="1807" t="str">
        <f t="shared" si="11"/>
        <v>建筑品质</v>
      </c>
      <c r="R35" s="769" t="s">
        <v>21</v>
      </c>
      <c r="S35" s="770">
        <f t="shared" si="12"/>
        <v>100</v>
      </c>
      <c r="T35" s="769" t="s">
        <v>21</v>
      </c>
      <c r="U35" s="770">
        <f t="shared" si="13"/>
        <v>100</v>
      </c>
      <c r="V35" s="769" t="s">
        <v>21</v>
      </c>
      <c r="W35" s="770">
        <f t="shared" si="14"/>
        <v>100</v>
      </c>
      <c r="X35" s="1810"/>
      <c r="Y35" s="3220"/>
      <c r="Z35" s="1811" t="str">
        <f t="shared" si="18"/>
        <v>建筑品质</v>
      </c>
      <c r="AA35" s="1808">
        <f t="shared" si="15"/>
        <v>1</v>
      </c>
      <c r="AB35" s="1808">
        <f t="shared" si="16"/>
        <v>1</v>
      </c>
      <c r="AC35" s="1808">
        <f t="shared" si="17"/>
        <v>1</v>
      </c>
    </row>
    <row r="36" spans="1:29" ht="15">
      <c r="A36" s="471"/>
      <c r="B36" s="421" t="s">
        <v>2568</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8"/>
      <c r="M36" s="1129"/>
      <c r="N36" s="1129"/>
      <c r="O36" s="1129"/>
      <c r="P36" s="3218"/>
      <c r="Q36" s="1807" t="str">
        <f t="shared" si="11"/>
        <v>公共部分装修</v>
      </c>
      <c r="R36" s="769" t="s">
        <v>21</v>
      </c>
      <c r="S36" s="770">
        <f t="shared" si="12"/>
        <v>100</v>
      </c>
      <c r="T36" s="769" t="s">
        <v>21</v>
      </c>
      <c r="U36" s="770">
        <f t="shared" si="13"/>
        <v>100</v>
      </c>
      <c r="V36" s="769" t="s">
        <v>21</v>
      </c>
      <c r="W36" s="770">
        <f t="shared" si="14"/>
        <v>100</v>
      </c>
      <c r="X36" s="1810"/>
      <c r="Y36" s="3220"/>
      <c r="Z36" s="1811" t="str">
        <f t="shared" si="18"/>
        <v>公共部分装修</v>
      </c>
      <c r="AA36" s="1808">
        <f t="shared" si="15"/>
        <v>1</v>
      </c>
      <c r="AB36" s="1808">
        <f t="shared" si="16"/>
        <v>1</v>
      </c>
      <c r="AC36" s="1808">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18"/>
      <c r="Q37" s="1792" t="str">
        <f t="shared" si="11"/>
        <v>成新度</v>
      </c>
      <c r="R37" s="765" t="s">
        <v>21</v>
      </c>
      <c r="S37" s="766" t="e">
        <f t="shared" si="12"/>
        <v>#N/A</v>
      </c>
      <c r="T37" s="765" t="s">
        <v>21</v>
      </c>
      <c r="U37" s="766" t="e">
        <f t="shared" si="13"/>
        <v>#N/A</v>
      </c>
      <c r="V37" s="765" t="s">
        <v>21</v>
      </c>
      <c r="W37" s="766" t="e">
        <f t="shared" si="14"/>
        <v>#N/A</v>
      </c>
      <c r="X37" s="767"/>
      <c r="Y37" s="3220"/>
      <c r="Z37" s="55" t="str">
        <f t="shared" si="18"/>
        <v>成新度</v>
      </c>
      <c r="AA37" s="768" t="e">
        <f t="shared" si="15"/>
        <v>#N/A</v>
      </c>
      <c r="AB37" s="768" t="e">
        <f t="shared" si="16"/>
        <v>#N/A</v>
      </c>
      <c r="AC37" s="768" t="e">
        <f t="shared" si="17"/>
        <v>#N/A</v>
      </c>
    </row>
    <row r="38" spans="1:29" ht="15">
      <c r="A38" s="471"/>
      <c r="B38" s="421" t="s">
        <v>2570</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8"/>
      <c r="M38" s="1129"/>
      <c r="N38" s="1129"/>
      <c r="O38" s="1129"/>
      <c r="P38" s="3218" t="s">
        <v>2564</v>
      </c>
      <c r="Q38" s="1807" t="str">
        <f t="shared" si="11"/>
        <v>物业管理</v>
      </c>
      <c r="R38" s="769" t="s">
        <v>21</v>
      </c>
      <c r="S38" s="770">
        <f t="shared" si="12"/>
        <v>100</v>
      </c>
      <c r="T38" s="769" t="s">
        <v>21</v>
      </c>
      <c r="U38" s="770">
        <f t="shared" si="13"/>
        <v>100</v>
      </c>
      <c r="V38" s="769" t="s">
        <v>21</v>
      </c>
      <c r="W38" s="770">
        <f t="shared" si="14"/>
        <v>100</v>
      </c>
      <c r="X38" s="1810"/>
      <c r="Y38" s="3220" t="s">
        <v>2564</v>
      </c>
      <c r="Z38" s="1811" t="str">
        <f t="shared" si="18"/>
        <v>物业管理</v>
      </c>
      <c r="AA38" s="1808">
        <f t="shared" si="15"/>
        <v>1</v>
      </c>
      <c r="AB38" s="1808">
        <f t="shared" si="16"/>
        <v>1</v>
      </c>
      <c r="AC38" s="1808">
        <f t="shared" si="17"/>
        <v>1</v>
      </c>
    </row>
    <row r="39" spans="1:29" ht="15">
      <c r="A39" s="471"/>
      <c r="B39" s="421" t="s">
        <v>2571</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8"/>
      <c r="M39" s="1129"/>
      <c r="N39" s="1129"/>
      <c r="O39" s="1129"/>
      <c r="P39" s="3218"/>
      <c r="Q39" s="1807" t="str">
        <f t="shared" si="11"/>
        <v>市政基础设施</v>
      </c>
      <c r="R39" s="769" t="s">
        <v>21</v>
      </c>
      <c r="S39" s="770">
        <f t="shared" si="12"/>
        <v>100</v>
      </c>
      <c r="T39" s="769" t="s">
        <v>21</v>
      </c>
      <c r="U39" s="770">
        <f t="shared" si="13"/>
        <v>100</v>
      </c>
      <c r="V39" s="769" t="s">
        <v>21</v>
      </c>
      <c r="W39" s="770">
        <f t="shared" si="14"/>
        <v>100</v>
      </c>
      <c r="X39" s="1810"/>
      <c r="Y39" s="3220"/>
      <c r="Z39" s="1811" t="str">
        <f t="shared" si="18"/>
        <v>市政基础设施</v>
      </c>
      <c r="AA39" s="1808">
        <f t="shared" si="15"/>
        <v>1</v>
      </c>
      <c r="AB39" s="1808">
        <f t="shared" si="16"/>
        <v>1</v>
      </c>
      <c r="AC39" s="1808">
        <f t="shared" si="17"/>
        <v>1</v>
      </c>
    </row>
    <row r="40" spans="1:29" ht="15">
      <c r="A40" s="471"/>
      <c r="B40" s="421" t="s">
        <v>2572</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8"/>
      <c r="M40" s="1129"/>
      <c r="N40" s="1129"/>
      <c r="O40" s="1129"/>
      <c r="P40" s="3218"/>
      <c r="Q40" s="1807" t="str">
        <f t="shared" si="11"/>
        <v>房型</v>
      </c>
      <c r="R40" s="769" t="s">
        <v>21</v>
      </c>
      <c r="S40" s="770">
        <f t="shared" si="12"/>
        <v>100</v>
      </c>
      <c r="T40" s="769" t="s">
        <v>21</v>
      </c>
      <c r="U40" s="770">
        <f t="shared" si="13"/>
        <v>100</v>
      </c>
      <c r="V40" s="769" t="s">
        <v>21</v>
      </c>
      <c r="W40" s="770">
        <f t="shared" si="14"/>
        <v>100</v>
      </c>
      <c r="X40" s="1810"/>
      <c r="Y40" s="3220"/>
      <c r="Z40" s="1811" t="str">
        <f t="shared" si="18"/>
        <v>房型</v>
      </c>
      <c r="AA40" s="1808">
        <f t="shared" si="15"/>
        <v>1</v>
      </c>
      <c r="AB40" s="1808">
        <f t="shared" si="16"/>
        <v>1</v>
      </c>
      <c r="AC40" s="1808">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6"/>
      <c r="M41" s="1139"/>
      <c r="N41" s="1139"/>
      <c r="O41" s="1139"/>
      <c r="P41" s="3218"/>
      <c r="Q41" s="771" t="str">
        <f t="shared" si="11"/>
        <v>单套/主力户型建筑面积</v>
      </c>
      <c r="R41" s="772" t="s">
        <v>21</v>
      </c>
      <c r="S41" s="773">
        <f t="shared" si="12"/>
        <v>100</v>
      </c>
      <c r="T41" s="772" t="s">
        <v>21</v>
      </c>
      <c r="U41" s="773">
        <f t="shared" si="13"/>
        <v>100</v>
      </c>
      <c r="V41" s="772" t="s">
        <v>21</v>
      </c>
      <c r="W41" s="773">
        <f t="shared" si="14"/>
        <v>100</v>
      </c>
      <c r="X41" s="774"/>
      <c r="Y41" s="3220"/>
      <c r="Z41" s="775" t="str">
        <f t="shared" si="18"/>
        <v>单套/主力户型建筑面积</v>
      </c>
      <c r="AA41" s="1808">
        <f t="shared" si="15"/>
        <v>1</v>
      </c>
      <c r="AB41" s="1808">
        <f t="shared" si="16"/>
        <v>1</v>
      </c>
      <c r="AC41" s="1808">
        <f t="shared" si="17"/>
        <v>1</v>
      </c>
    </row>
    <row r="42" spans="1:29" ht="15">
      <c r="A42" s="471"/>
      <c r="B42" s="421" t="s">
        <v>2574</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8"/>
      <c r="M42" s="1129"/>
      <c r="N42" s="1129"/>
      <c r="O42" s="1129"/>
      <c r="P42" s="3218"/>
      <c r="Q42" s="1807" t="str">
        <f t="shared" si="11"/>
        <v>内部装修</v>
      </c>
      <c r="R42" s="769" t="s">
        <v>21</v>
      </c>
      <c r="S42" s="770">
        <f t="shared" si="12"/>
        <v>100</v>
      </c>
      <c r="T42" s="769" t="s">
        <v>21</v>
      </c>
      <c r="U42" s="770">
        <f t="shared" si="13"/>
        <v>100</v>
      </c>
      <c r="V42" s="769" t="s">
        <v>21</v>
      </c>
      <c r="W42" s="770">
        <f t="shared" si="14"/>
        <v>100</v>
      </c>
      <c r="X42" s="1810"/>
      <c r="Y42" s="3220"/>
      <c r="Z42" s="1811" t="str">
        <f t="shared" si="18"/>
        <v>内部装修</v>
      </c>
      <c r="AA42" s="1808">
        <f t="shared" si="15"/>
        <v>1</v>
      </c>
      <c r="AB42" s="1808">
        <f t="shared" si="16"/>
        <v>1</v>
      </c>
      <c r="AC42" s="1808">
        <f t="shared" si="17"/>
        <v>1</v>
      </c>
    </row>
    <row r="43" spans="1:29" ht="15">
      <c r="A43" s="471"/>
      <c r="B43" s="421" t="s">
        <v>2575</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8"/>
      <c r="M43" s="1129"/>
      <c r="N43" s="1129"/>
      <c r="O43" s="1129"/>
      <c r="P43" s="3218"/>
      <c r="Q43" s="1807" t="str">
        <f t="shared" si="11"/>
        <v>内部装修维护情况</v>
      </c>
      <c r="R43" s="769" t="s">
        <v>21</v>
      </c>
      <c r="S43" s="770">
        <f t="shared" si="12"/>
        <v>100</v>
      </c>
      <c r="T43" s="769" t="s">
        <v>21</v>
      </c>
      <c r="U43" s="770">
        <f t="shared" si="13"/>
        <v>100</v>
      </c>
      <c r="V43" s="769" t="s">
        <v>21</v>
      </c>
      <c r="W43" s="770">
        <f t="shared" si="14"/>
        <v>100</v>
      </c>
      <c r="X43" s="1810"/>
      <c r="Y43" s="3220"/>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218"/>
      <c r="Q44" s="1792">
        <f t="shared" si="11"/>
        <v>111</v>
      </c>
      <c r="R44" s="765" t="s">
        <v>21</v>
      </c>
      <c r="S44" s="766">
        <f t="shared" si="12"/>
        <v>100</v>
      </c>
      <c r="T44" s="765" t="s">
        <v>21</v>
      </c>
      <c r="U44" s="766">
        <f t="shared" si="13"/>
        <v>100</v>
      </c>
      <c r="V44" s="765" t="s">
        <v>21</v>
      </c>
      <c r="W44" s="766">
        <f t="shared" si="14"/>
        <v>100</v>
      </c>
      <c r="X44" s="767"/>
      <c r="Y44" s="3220"/>
      <c r="Z44" s="55">
        <f t="shared" si="18"/>
        <v>111</v>
      </c>
      <c r="AA44" s="768">
        <f t="shared" si="15"/>
        <v>1</v>
      </c>
      <c r="AB44" s="768">
        <f t="shared" si="16"/>
        <v>1</v>
      </c>
      <c r="AC44" s="768">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218"/>
      <c r="Q45" s="1807">
        <f t="shared" si="11"/>
        <v>111</v>
      </c>
      <c r="R45" s="769" t="s">
        <v>21</v>
      </c>
      <c r="S45" s="770">
        <f t="shared" si="12"/>
        <v>100</v>
      </c>
      <c r="T45" s="769" t="s">
        <v>21</v>
      </c>
      <c r="U45" s="770">
        <f t="shared" si="13"/>
        <v>100</v>
      </c>
      <c r="V45" s="769" t="s">
        <v>21</v>
      </c>
      <c r="W45" s="770">
        <f t="shared" si="14"/>
        <v>100</v>
      </c>
      <c r="X45" s="1810"/>
      <c r="Y45" s="3220"/>
      <c r="Z45" s="1811">
        <f t="shared" si="18"/>
        <v>111</v>
      </c>
      <c r="AA45" s="1808">
        <f t="shared" si="15"/>
        <v>1</v>
      </c>
      <c r="AB45" s="1808">
        <f t="shared" si="16"/>
        <v>1</v>
      </c>
      <c r="AC45" s="1808">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8"/>
      <c r="M46" s="1129"/>
      <c r="N46" s="1129"/>
      <c r="O46" s="1129"/>
      <c r="P46" s="3219"/>
      <c r="Q46" s="1807">
        <f t="shared" si="11"/>
        <v>111</v>
      </c>
      <c r="R46" s="769" t="s">
        <v>20</v>
      </c>
      <c r="S46" s="770">
        <f t="shared" si="12"/>
        <v>100</v>
      </c>
      <c r="T46" s="769" t="s">
        <v>20</v>
      </c>
      <c r="U46" s="770">
        <f t="shared" si="13"/>
        <v>100</v>
      </c>
      <c r="V46" s="769" t="s">
        <v>20</v>
      </c>
      <c r="W46" s="770">
        <f t="shared" si="14"/>
        <v>100</v>
      </c>
      <c r="X46" s="1810"/>
      <c r="Y46" s="3221"/>
      <c r="Z46" s="1811">
        <f t="shared" si="18"/>
        <v>111</v>
      </c>
      <c r="AA46" s="1808">
        <f t="shared" si="15"/>
        <v>1</v>
      </c>
      <c r="AB46" s="1808">
        <f t="shared" si="16"/>
        <v>1</v>
      </c>
      <c r="AC46" s="1808">
        <f t="shared" si="17"/>
        <v>1</v>
      </c>
    </row>
    <row r="47" spans="1:29" ht="15">
      <c r="A47" s="478" t="s">
        <v>2576</v>
      </c>
      <c r="B47" s="479"/>
      <c r="C47" s="1404" t="s">
        <v>19</v>
      </c>
      <c r="D47" s="1405"/>
      <c r="E47" s="1406"/>
      <c r="F47" s="1407"/>
      <c r="G47" s="1408"/>
      <c r="H47" s="1409"/>
      <c r="I47" s="1406"/>
      <c r="J47" s="1409"/>
      <c r="K47" s="2618"/>
      <c r="L47" s="1141"/>
      <c r="M47" s="1142"/>
      <c r="N47" s="1129"/>
      <c r="O47" s="1142"/>
      <c r="P47" s="3213" t="str">
        <f>A47</f>
        <v>成交单价（元/平方米）</v>
      </c>
      <c r="Q47" s="3213"/>
      <c r="R47" s="3214">
        <f>E47</f>
        <v>0</v>
      </c>
      <c r="S47" s="3214"/>
      <c r="T47" s="3214">
        <f>G47</f>
        <v>0</v>
      </c>
      <c r="U47" s="3214"/>
      <c r="V47" s="3214">
        <f>I47</f>
        <v>0</v>
      </c>
      <c r="W47" s="3214"/>
      <c r="X47" s="754"/>
      <c r="Y47" s="776"/>
      <c r="Z47" s="754"/>
      <c r="AA47" s="754"/>
      <c r="AB47" s="754"/>
      <c r="AC47" s="754"/>
    </row>
    <row r="48" spans="1:29" ht="15.75" thickBot="1">
      <c r="A48" s="485" t="s">
        <v>2577</v>
      </c>
      <c r="B48" s="486"/>
      <c r="C48" s="1410" t="e">
        <f>R49</f>
        <v>#DIV/0!</v>
      </c>
      <c r="D48" s="1411"/>
      <c r="E48" s="1412" t="e">
        <f>R48</f>
        <v>#DIV/0!</v>
      </c>
      <c r="F48" s="1412"/>
      <c r="G48" s="1410" t="e">
        <f>T48</f>
        <v>#DIV/0!</v>
      </c>
      <c r="H48" s="1411"/>
      <c r="I48" s="1412" t="e">
        <f>V48</f>
        <v>#DIV/0!</v>
      </c>
      <c r="J48" s="1411"/>
      <c r="K48" s="2619"/>
      <c r="L48" s="1141"/>
      <c r="M48" s="1142"/>
      <c r="N48" s="1142"/>
      <c r="O48" s="1142"/>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4"/>
      <c r="Y48" s="754"/>
      <c r="Z48" s="754"/>
      <c r="AA48" s="754"/>
      <c r="AB48" s="754"/>
      <c r="AC48" s="754"/>
    </row>
    <row r="49" spans="1:29" ht="15.75" thickBot="1">
      <c r="A49" s="491" t="s">
        <v>2578</v>
      </c>
      <c r="B49" s="492"/>
      <c r="C49" s="1413" t="e">
        <f>R49</f>
        <v>#DIV/0!</v>
      </c>
      <c r="D49" s="1414"/>
      <c r="E49" s="1414"/>
      <c r="F49" s="1414"/>
      <c r="G49" s="1414"/>
      <c r="H49" s="1414"/>
      <c r="I49" s="1414"/>
      <c r="J49" s="1414"/>
      <c r="K49" s="2620"/>
      <c r="L49" s="1141"/>
      <c r="M49" s="1142"/>
      <c r="N49" s="1142"/>
      <c r="O49" s="1142"/>
      <c r="P49" s="3210" t="str">
        <f>A49</f>
        <v>估价对象XX用房的比较价值（楼面单价，元/平方米）</v>
      </c>
      <c r="Q49" s="3211"/>
      <c r="R49" s="3212" t="e">
        <f>IF(F1="售价",ROUND(AVERAGE(R48:V48),0),ROUND(AVERAGE(R48:V48),1))</f>
        <v>#DIV/0!</v>
      </c>
      <c r="S49" s="3212"/>
      <c r="T49" s="3212"/>
      <c r="U49" s="3212"/>
      <c r="V49" s="3212"/>
      <c r="W49" s="3212"/>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2"/>
    </row>
    <row r="55" spans="1:29" s="501"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58" t="s">
        <v>2582</v>
      </c>
      <c r="B57" s="754"/>
      <c r="C57" s="759"/>
      <c r="D57" s="759"/>
      <c r="E57" s="759"/>
      <c r="F57" s="760"/>
      <c r="G57" s="760"/>
      <c r="H57" s="759"/>
      <c r="I57" s="759"/>
      <c r="J57" s="759"/>
      <c r="K57" s="1158"/>
      <c r="L57" s="1159"/>
      <c r="M57" s="1157"/>
      <c r="N57" s="1157"/>
      <c r="O57" s="1157"/>
      <c r="P57" s="2623"/>
      <c r="Q57" s="503"/>
    </row>
    <row r="58" spans="1:29" s="507" customFormat="1" ht="15">
      <c r="A58" s="504" t="s">
        <v>2583</v>
      </c>
      <c r="B58" s="505"/>
      <c r="C58" s="1573" t="str">
        <f>YEAR(C7)&amp;"-"&amp;MONTH(C7)</f>
        <v>2018-9</v>
      </c>
      <c r="D58" s="1572">
        <f>EDATE(C58,-1)</f>
        <v>43313</v>
      </c>
      <c r="E58" s="1572">
        <f>EDATE(D58,-1)</f>
        <v>43282</v>
      </c>
      <c r="F58" s="1572">
        <f t="shared" ref="F58:O58" si="19">EDATE(E58,-1)</f>
        <v>43252</v>
      </c>
      <c r="G58" s="1572">
        <f t="shared" si="19"/>
        <v>43221</v>
      </c>
      <c r="H58" s="1572">
        <f t="shared" si="19"/>
        <v>43191</v>
      </c>
      <c r="I58" s="1572">
        <f t="shared" si="19"/>
        <v>43160</v>
      </c>
      <c r="J58" s="1572">
        <f t="shared" si="19"/>
        <v>43132</v>
      </c>
      <c r="K58" s="1572">
        <f t="shared" si="19"/>
        <v>43101</v>
      </c>
      <c r="L58" s="1572">
        <f t="shared" si="19"/>
        <v>43070</v>
      </c>
      <c r="M58" s="1572">
        <f t="shared" si="19"/>
        <v>43040</v>
      </c>
      <c r="N58" s="1572">
        <f t="shared" si="19"/>
        <v>43009</v>
      </c>
      <c r="O58" s="1572">
        <f t="shared" si="19"/>
        <v>42979</v>
      </c>
      <c r="P58" s="1567"/>
    </row>
    <row r="59" spans="1:29" s="117" customFormat="1" ht="15">
      <c r="A59" s="508"/>
      <c r="B59" s="2624"/>
      <c r="C59" s="1570">
        <v>100</v>
      </c>
      <c r="D59" s="510"/>
      <c r="E59" s="511"/>
      <c r="F59" s="511"/>
      <c r="G59" s="511"/>
      <c r="H59" s="511"/>
      <c r="I59" s="511"/>
      <c r="J59" s="511"/>
      <c r="K59" s="511"/>
      <c r="L59" s="511"/>
      <c r="M59" s="512"/>
      <c r="N59" s="511"/>
      <c r="O59" s="512"/>
      <c r="P59" s="2625"/>
    </row>
    <row r="60" spans="1:29" s="117" customFormat="1" ht="15.75" thickBot="1">
      <c r="A60" s="514" t="s">
        <v>2584</v>
      </c>
      <c r="B60" s="515"/>
      <c r="C60" s="516"/>
      <c r="D60" s="517"/>
      <c r="E60" s="517"/>
      <c r="F60" s="517"/>
      <c r="G60" s="517"/>
      <c r="H60" s="517"/>
      <c r="I60" s="517"/>
      <c r="J60" s="517"/>
      <c r="K60" s="517"/>
      <c r="L60" s="517"/>
      <c r="M60" s="518"/>
      <c r="N60" s="517"/>
      <c r="O60" s="518"/>
      <c r="P60" s="2625"/>
      <c r="Q60" s="503"/>
    </row>
    <row r="61" spans="1:29" s="117" customFormat="1" ht="15">
      <c r="A61" s="520" t="s">
        <v>2585</v>
      </c>
      <c r="B61" s="509"/>
      <c r="C61" s="521" t="s">
        <v>2586</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2587</v>
      </c>
      <c r="B63" s="527" t="s">
        <v>2553</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7"/>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7"/>
      <c r="Q67" s="503"/>
    </row>
    <row r="68" spans="1:17" ht="15">
      <c r="A68" s="533"/>
      <c r="B68" s="547"/>
      <c r="C68" s="548"/>
      <c r="D68" s="548"/>
      <c r="E68" s="548"/>
      <c r="F68" s="548"/>
      <c r="G68" s="548"/>
      <c r="H68" s="548"/>
      <c r="I68" s="548"/>
      <c r="J68" s="548"/>
      <c r="K68" s="549"/>
      <c r="L68" s="550"/>
      <c r="M68" s="551"/>
      <c r="N68" s="1150"/>
      <c r="O68" s="1150"/>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59"/>
      <c r="E73" s="559"/>
      <c r="F73" s="559"/>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2099</v>
      </c>
      <c r="C82" s="538" t="s">
        <v>2603</v>
      </c>
      <c r="D82" s="538" t="s">
        <v>2604</v>
      </c>
      <c r="E82" s="538" t="s">
        <v>2605</v>
      </c>
      <c r="F82" s="538" t="s">
        <v>2606</v>
      </c>
      <c r="G82" s="538" t="s">
        <v>2607</v>
      </c>
      <c r="H82" s="538"/>
      <c r="I82" s="538"/>
      <c r="J82" s="538"/>
      <c r="K82" s="538"/>
      <c r="L82" s="538"/>
      <c r="M82" s="1379"/>
      <c r="N82" s="1151"/>
      <c r="O82" s="1151"/>
      <c r="P82" s="2627"/>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1"/>
      <c r="O83" s="1151"/>
      <c r="P83" s="2627"/>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7" customFormat="1" ht="15.75" thickTop="1">
      <c r="A86" s="578"/>
      <c r="B86" s="537" t="s">
        <v>2609</v>
      </c>
      <c r="C86" s="553"/>
      <c r="D86" s="553"/>
      <c r="E86" s="553"/>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7"/>
      <c r="Q87" s="503"/>
    </row>
    <row r="88" spans="1:17" s="117" customFormat="1" ht="15.75" thickTop="1">
      <c r="A88" s="578"/>
      <c r="B88" s="537" t="s">
        <v>2610</v>
      </c>
      <c r="C88" s="553"/>
      <c r="D88" s="553"/>
      <c r="E88" s="553"/>
      <c r="F88" s="2632"/>
      <c r="G88" s="553"/>
      <c r="H88" s="553"/>
      <c r="I88" s="553"/>
      <c r="J88" s="553"/>
      <c r="K88" s="553"/>
      <c r="L88" s="553"/>
      <c r="M88" s="580"/>
      <c r="N88" s="1149"/>
      <c r="O88" s="1149"/>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7"/>
      <c r="Q89" s="503"/>
    </row>
    <row r="90" spans="1:17" s="470" customFormat="1" ht="15.75" thickTop="1">
      <c r="A90" s="552"/>
      <c r="B90" s="537">
        <f>B27</f>
        <v>111</v>
      </c>
      <c r="C90" s="553"/>
      <c r="D90" s="553"/>
      <c r="E90" s="553"/>
      <c r="F90" s="553"/>
      <c r="G90" s="553"/>
      <c r="H90" s="554"/>
      <c r="I90" s="554"/>
      <c r="J90" s="554"/>
      <c r="K90" s="554"/>
      <c r="L90" s="555"/>
      <c r="M90" s="556"/>
      <c r="N90" s="1152"/>
      <c r="O90" s="1152"/>
      <c r="P90" s="2628"/>
      <c r="Q90" s="558"/>
    </row>
    <row r="91" spans="1:17" s="470" customFormat="1" ht="15.75" thickBot="1">
      <c r="A91" s="552"/>
      <c r="B91" s="542"/>
      <c r="C91" s="559"/>
      <c r="D91" s="559"/>
      <c r="E91" s="559"/>
      <c r="F91" s="559"/>
      <c r="G91" s="559"/>
      <c r="H91" s="561"/>
      <c r="I91" s="561"/>
      <c r="J91" s="561"/>
      <c r="K91" s="561"/>
      <c r="L91" s="561"/>
      <c r="M91" s="562"/>
      <c r="N91" s="1152"/>
      <c r="O91" s="1152"/>
      <c r="P91" s="2628"/>
      <c r="Q91" s="558"/>
    </row>
    <row r="92" spans="1:17" ht="15.75" thickTop="1">
      <c r="A92" s="533"/>
      <c r="B92" s="537">
        <f>B28</f>
        <v>111</v>
      </c>
      <c r="C92" s="553"/>
      <c r="D92" s="553"/>
      <c r="E92" s="553"/>
      <c r="F92" s="553"/>
      <c r="G92" s="582"/>
      <c r="H92" s="582"/>
      <c r="I92" s="582"/>
      <c r="J92" s="582"/>
      <c r="K92" s="583"/>
      <c r="L92" s="584"/>
      <c r="M92" s="585"/>
      <c r="N92" s="1150"/>
      <c r="O92" s="1150"/>
      <c r="P92" s="2627"/>
      <c r="Q92" s="503"/>
    </row>
    <row r="93" spans="1:17" ht="15.75" thickBot="1">
      <c r="A93" s="533"/>
      <c r="B93" s="542"/>
      <c r="C93" s="559"/>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59"/>
      <c r="E95" s="559"/>
      <c r="F95" s="559"/>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69"/>
      <c r="D97" s="569"/>
      <c r="E97" s="569"/>
      <c r="F97" s="569"/>
      <c r="G97" s="535"/>
      <c r="H97" s="535"/>
      <c r="I97" s="535"/>
      <c r="J97" s="535"/>
      <c r="K97" s="535"/>
      <c r="L97" s="535"/>
      <c r="M97" s="536"/>
      <c r="N97" s="1151"/>
      <c r="O97" s="1151"/>
      <c r="P97" s="2627"/>
      <c r="Q97" s="503"/>
    </row>
    <row r="98" spans="1:17" ht="15.75" thickTop="1">
      <c r="A98" s="533"/>
      <c r="B98" s="545">
        <f>B31</f>
        <v>111</v>
      </c>
      <c r="C98" s="586"/>
      <c r="D98" s="586"/>
      <c r="E98" s="586"/>
      <c r="F98" s="586"/>
      <c r="G98" s="586"/>
      <c r="H98" s="586"/>
      <c r="I98" s="586"/>
      <c r="J98" s="586"/>
      <c r="K98" s="587"/>
      <c r="L98" s="588"/>
      <c r="M98" s="589"/>
      <c r="N98" s="1150"/>
      <c r="O98" s="1150"/>
      <c r="P98" s="2627"/>
      <c r="Q98" s="503"/>
    </row>
    <row r="99" spans="1:17" ht="15.75" thickBot="1">
      <c r="A99" s="2633"/>
      <c r="B99" s="568"/>
      <c r="C99" s="590"/>
      <c r="D99" s="590"/>
      <c r="E99" s="590"/>
      <c r="F99" s="590"/>
      <c r="G99" s="590"/>
      <c r="H99" s="590"/>
      <c r="I99" s="590"/>
      <c r="J99" s="590"/>
      <c r="K99" s="590"/>
      <c r="L99" s="590"/>
      <c r="M99" s="591"/>
      <c r="N99" s="1151"/>
      <c r="O99" s="1151"/>
      <c r="P99" s="2627"/>
      <c r="Q99" s="503"/>
    </row>
    <row r="100" spans="1:17">
      <c r="A100" s="526" t="s">
        <v>2562</v>
      </c>
      <c r="B100" s="527" t="s">
        <v>2611</v>
      </c>
      <c r="C100" s="529"/>
      <c r="D100" s="529"/>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7"/>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7"/>
      <c r="Q102" s="503"/>
    </row>
    <row r="103" spans="1:17" s="470" customFormat="1">
      <c r="A103" s="592"/>
      <c r="B103" s="593"/>
      <c r="C103" s="594"/>
      <c r="D103" s="594"/>
      <c r="E103" s="594"/>
      <c r="F103" s="594"/>
      <c r="G103" s="594"/>
      <c r="H103" s="594"/>
      <c r="I103" s="594"/>
      <c r="J103" s="595"/>
      <c r="K103" s="595"/>
      <c r="L103" s="596"/>
      <c r="M103" s="597"/>
      <c r="N103" s="1152"/>
      <c r="O103" s="1152"/>
      <c r="P103" s="2628"/>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8"/>
      <c r="Q104" s="558"/>
    </row>
    <row r="105" spans="1:17" ht="15" thickTop="1">
      <c r="A105" s="598"/>
      <c r="B105" s="537" t="s">
        <v>2613</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7"/>
      <c r="Q106" s="503"/>
    </row>
    <row r="107" spans="1:17" ht="15" thickTop="1">
      <c r="A107" s="598"/>
      <c r="B107" s="537" t="s">
        <v>2614</v>
      </c>
      <c r="C107" s="582"/>
      <c r="D107" s="582"/>
      <c r="E107" s="582"/>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7"/>
      <c r="Q108" s="503"/>
    </row>
    <row r="109" spans="1:17" ht="15" thickTop="1">
      <c r="A109" s="598"/>
      <c r="B109" s="537" t="s">
        <v>2615</v>
      </c>
      <c r="C109" s="553"/>
      <c r="D109" s="553"/>
      <c r="E109" s="553"/>
      <c r="F109" s="582"/>
      <c r="G109" s="582"/>
      <c r="H109" s="582"/>
      <c r="I109" s="582"/>
      <c r="J109" s="582"/>
      <c r="K109" s="583"/>
      <c r="L109" s="584"/>
      <c r="M109" s="585"/>
      <c r="N109" s="1150"/>
      <c r="O109" s="1150"/>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7"/>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8"/>
      <c r="Q113" s="558"/>
    </row>
    <row r="114" spans="1:17" ht="15" thickTop="1">
      <c r="A114" s="598"/>
      <c r="B114" s="537" t="s">
        <v>2616</v>
      </c>
      <c r="C114" s="553"/>
      <c r="D114" s="553"/>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7"/>
      <c r="Q115" s="503"/>
    </row>
    <row r="116" spans="1:17" ht="15" thickTop="1">
      <c r="A116" s="598"/>
      <c r="B116" s="537" t="s">
        <v>2617</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2618</v>
      </c>
      <c r="C118" s="582"/>
      <c r="D118" s="582"/>
      <c r="E118" s="582"/>
      <c r="F118" s="582"/>
      <c r="G118" s="582"/>
      <c r="H118" s="582"/>
      <c r="I118" s="582"/>
      <c r="J118" s="582"/>
      <c r="K118" s="583"/>
      <c r="L118" s="584"/>
      <c r="M118" s="585"/>
      <c r="N118" s="1150"/>
      <c r="O118" s="1150"/>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7"/>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28"/>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8"/>
      <c r="Q121" s="558"/>
    </row>
    <row r="122" spans="1:17" ht="15" thickTop="1">
      <c r="A122" s="598"/>
      <c r="B122" s="537" t="s">
        <v>2619</v>
      </c>
      <c r="C122" s="553"/>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7"/>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59"/>
      <c r="E129" s="559"/>
      <c r="F129" s="559"/>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5" t="s">
        <v>2624</v>
      </c>
      <c r="D138" s="145" t="s">
        <v>2625</v>
      </c>
      <c r="E138" s="2642" t="s">
        <v>2626</v>
      </c>
      <c r="F138" s="2643" t="s">
        <v>2627</v>
      </c>
      <c r="G138" s="145" t="s">
        <v>2625</v>
      </c>
      <c r="H138" s="146" t="s">
        <v>2626</v>
      </c>
      <c r="I138" s="2644"/>
      <c r="J138" s="145" t="s">
        <v>2628</v>
      </c>
      <c r="K138" s="146" t="s">
        <v>2629</v>
      </c>
    </row>
    <row r="139" spans="1:17" ht="15">
      <c r="B139" s="1082">
        <v>6</v>
      </c>
      <c r="C139" s="1083">
        <v>96</v>
      </c>
      <c r="D139" s="2645" t="s">
        <v>2630</v>
      </c>
      <c r="E139" s="1084">
        <v>100</v>
      </c>
      <c r="F139" s="1085">
        <v>102.5</v>
      </c>
      <c r="G139" s="2645" t="s">
        <v>2630</v>
      </c>
      <c r="H139" s="1086">
        <v>105</v>
      </c>
      <c r="I139" s="2646" t="s">
        <v>2631</v>
      </c>
      <c r="J139" s="1083">
        <v>20</v>
      </c>
      <c r="K139" s="1087">
        <f>C145/(J139-2)</f>
        <v>4.0555555555555553E-3</v>
      </c>
    </row>
    <row r="140" spans="1:17" ht="15">
      <c r="B140" s="1088">
        <v>5</v>
      </c>
      <c r="C140" s="1089">
        <v>100</v>
      </c>
      <c r="D140" s="1089"/>
      <c r="E140" s="1090"/>
      <c r="F140" s="1091">
        <v>102</v>
      </c>
      <c r="G140" s="1089"/>
      <c r="H140" s="1092"/>
      <c r="I140" s="2647" t="s">
        <v>2632</v>
      </c>
      <c r="J140" s="314">
        <f>ROUNDUP((J139-1)/2,0)</f>
        <v>10</v>
      </c>
      <c r="K140" s="1093">
        <v>100</v>
      </c>
    </row>
    <row r="141" spans="1:17" ht="15">
      <c r="B141" s="1088">
        <v>4</v>
      </c>
      <c r="C141" s="1089">
        <v>102</v>
      </c>
      <c r="D141" s="1089"/>
      <c r="E141" s="1090"/>
      <c r="F141" s="1091">
        <v>101.5</v>
      </c>
      <c r="G141" s="1089"/>
      <c r="H141" s="1092"/>
      <c r="I141" s="2647" t="s">
        <v>2633</v>
      </c>
      <c r="J141" s="314">
        <v>1</v>
      </c>
      <c r="K141" s="1094">
        <f>ROUND(100+(J141-J140)*K139*100,1)</f>
        <v>96.4</v>
      </c>
    </row>
    <row r="142" spans="1:17" ht="15">
      <c r="B142" s="1088">
        <v>3</v>
      </c>
      <c r="C142" s="1089">
        <v>103</v>
      </c>
      <c r="D142" s="1089"/>
      <c r="E142" s="1090"/>
      <c r="F142" s="1091">
        <v>101</v>
      </c>
      <c r="G142" s="1089"/>
      <c r="H142" s="1092"/>
      <c r="I142" s="2647" t="s">
        <v>2634</v>
      </c>
      <c r="J142" s="314">
        <f>J139</f>
        <v>20</v>
      </c>
      <c r="K142" s="1095">
        <v>95</v>
      </c>
    </row>
    <row r="143" spans="1:17" ht="15">
      <c r="B143" s="1088">
        <v>2</v>
      </c>
      <c r="C143" s="1089">
        <v>100</v>
      </c>
      <c r="D143" s="1089"/>
      <c r="E143" s="1090"/>
      <c r="F143" s="1091">
        <v>100.5</v>
      </c>
      <c r="G143" s="1089"/>
      <c r="H143" s="1092"/>
      <c r="I143" s="2647" t="s">
        <v>2635</v>
      </c>
      <c r="J143" s="1089">
        <v>15</v>
      </c>
      <c r="K143" s="1094">
        <f>ROUND(100+(J143-J140)*K139*100,1)</f>
        <v>102</v>
      </c>
    </row>
    <row r="144" spans="1:17" ht="15">
      <c r="B144" s="1088">
        <v>1</v>
      </c>
      <c r="C144" s="1089">
        <v>98</v>
      </c>
      <c r="D144" s="2648" t="s">
        <v>2636</v>
      </c>
      <c r="E144" s="1090">
        <v>102</v>
      </c>
      <c r="F144" s="1096">
        <v>100</v>
      </c>
      <c r="G144" s="2648" t="s">
        <v>2636</v>
      </c>
      <c r="H144" s="1092">
        <v>105</v>
      </c>
      <c r="I144" s="2647" t="s">
        <v>2635</v>
      </c>
      <c r="J144" s="1089">
        <v>18</v>
      </c>
      <c r="K144" s="1094">
        <f>ROUND(100+(J144-J140)*K139*100,1)</f>
        <v>103.2</v>
      </c>
    </row>
    <row r="145" spans="2:11" ht="15.75" thickBot="1">
      <c r="B145" s="2649" t="s">
        <v>2637</v>
      </c>
      <c r="C145" s="1097">
        <f>ROUND(MAX(C139:C144)/MIN(C139:C144)-1,3)</f>
        <v>7.2999999999999995E-2</v>
      </c>
      <c r="D145" s="1098"/>
      <c r="E145" s="1098"/>
      <c r="F145" s="2650" t="s">
        <v>2638</v>
      </c>
      <c r="G145" s="2651"/>
      <c r="H145" s="2652"/>
      <c r="I145" s="2653" t="s">
        <v>2635</v>
      </c>
      <c r="J145" s="1099">
        <v>8</v>
      </c>
      <c r="K145" s="1100">
        <f>ROUND(100+(J145-J140)*K139*100,1)</f>
        <v>99.2</v>
      </c>
    </row>
    <row r="147" spans="2:11">
      <c r="B147" s="2634" t="s">
        <v>2639</v>
      </c>
    </row>
    <row r="148" spans="2:11">
      <c r="B148" s="2634"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zoomScale="90" zoomScaleNormal="90" workbookViewId="0">
      <selection activeCell="D3" sqref="D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2527</v>
      </c>
      <c r="B1" s="2579" t="s">
        <v>2641</v>
      </c>
      <c r="C1" s="1631" t="s">
        <v>2529</v>
      </c>
      <c r="D1" s="1618" t="s">
        <v>3122</v>
      </c>
      <c r="E1" s="2654"/>
      <c r="F1" s="2581" t="s">
        <v>3051</v>
      </c>
      <c r="G1" s="1628" t="s">
        <v>2642</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7" customFormat="1" ht="28.5" customHeight="1" thickTop="1">
      <c r="A2" s="1614" t="s">
        <v>2326</v>
      </c>
      <c r="B2" s="1415">
        <f>IF(C2="——",ROUND(C49*D3/10000,0),ROUND(C49*D3/10000,0)-D2)</f>
        <v>9354</v>
      </c>
      <c r="C2" s="2583" t="s">
        <v>70</v>
      </c>
      <c r="D2" s="1362">
        <f ca="1">SUMIF(INDIRECT("'"&amp;F2&amp;"'"&amp;"!A:A"),"承租人权益价值",INDIRECT("'"&amp;F2&amp;"'"&amp;"!c:c"))</f>
        <v>0</v>
      </c>
      <c r="E2" s="2584" t="s">
        <v>2327</v>
      </c>
      <c r="F2" s="2585" t="s">
        <v>3089</v>
      </c>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7" customFormat="1" ht="28.5" customHeight="1" thickBot="1">
      <c r="A3" s="246" t="s">
        <v>2328</v>
      </c>
      <c r="B3" s="608">
        <f>IF(C2="——",C49,ROUND(B2*10000/D3,0))</f>
        <v>11813</v>
      </c>
      <c r="C3" s="399" t="s">
        <v>2643</v>
      </c>
      <c r="D3" s="398">
        <f>IF(D1="",'数据-汇总表'!E3,SUMIF('数据-汇总表'!$C19:$C33,D1,'数据-汇总表'!$E19:$E33))</f>
        <v>7918.4</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208" t="s">
        <v>2647</v>
      </c>
      <c r="AC4" s="3178" t="s">
        <v>2648</v>
      </c>
    </row>
    <row r="5" spans="1:29" ht="15">
      <c r="A5" s="403"/>
      <c r="B5" s="404"/>
      <c r="C5" s="3189" t="s">
        <v>2541</v>
      </c>
      <c r="D5" s="3190"/>
      <c r="E5" s="3224" t="s">
        <v>3148</v>
      </c>
      <c r="F5" s="3188"/>
      <c r="G5" s="3225" t="s">
        <v>3155</v>
      </c>
      <c r="H5" s="3190"/>
      <c r="I5" s="3225" t="s">
        <v>3147</v>
      </c>
      <c r="J5" s="3190"/>
      <c r="K5" s="609"/>
      <c r="L5" s="1128"/>
      <c r="M5" s="1129"/>
      <c r="N5" s="1129"/>
      <c r="O5" s="1129"/>
      <c r="P5" s="3202"/>
      <c r="Q5" s="3203"/>
      <c r="R5" s="3185"/>
      <c r="S5" s="3186"/>
      <c r="T5" s="3185"/>
      <c r="U5" s="3186"/>
      <c r="V5" s="3208"/>
      <c r="W5" s="3208"/>
      <c r="X5" s="1810"/>
      <c r="Y5" s="3185"/>
      <c r="Z5" s="3186"/>
      <c r="AA5" s="3179"/>
      <c r="AB5" s="3208"/>
      <c r="AC5" s="3179"/>
    </row>
    <row r="6" spans="1:29" ht="15.75" customHeight="1" thickBot="1">
      <c r="A6" s="405"/>
      <c r="B6" s="406"/>
      <c r="C6" s="3191" t="s">
        <v>2545</v>
      </c>
      <c r="D6" s="3192"/>
      <c r="E6" s="3226" t="s">
        <v>3149</v>
      </c>
      <c r="F6" s="3194"/>
      <c r="G6" s="3226" t="s">
        <v>3153</v>
      </c>
      <c r="H6" s="3194"/>
      <c r="I6" s="3227" t="s">
        <v>3146</v>
      </c>
      <c r="J6" s="3192"/>
      <c r="K6" s="609" t="s">
        <v>2546</v>
      </c>
      <c r="L6" s="1128"/>
      <c r="M6" s="1129"/>
      <c r="N6" s="1129"/>
      <c r="O6" s="1129"/>
      <c r="P6" s="3204"/>
      <c r="Q6" s="3205"/>
      <c r="R6" s="3185"/>
      <c r="S6" s="3186"/>
      <c r="T6" s="3206"/>
      <c r="U6" s="3207"/>
      <c r="V6" s="3208"/>
      <c r="W6" s="3208"/>
      <c r="X6" s="1810"/>
      <c r="Y6" s="3206"/>
      <c r="Z6" s="3207"/>
      <c r="AA6" s="3180"/>
      <c r="AB6" s="3208"/>
      <c r="AC6" s="3180"/>
    </row>
    <row r="7" spans="1:29" s="117" customFormat="1" ht="15.75" thickBot="1">
      <c r="A7" s="407" t="s">
        <v>2547</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0"/>
      <c r="M7" s="1131"/>
      <c r="N7" s="1131"/>
      <c r="O7" s="1131"/>
      <c r="P7" s="3181" t="s">
        <v>2548</v>
      </c>
      <c r="Q7" s="3209"/>
      <c r="R7" s="765" t="s">
        <v>17</v>
      </c>
      <c r="S7" s="766">
        <f t="shared" ref="S7:S15" si="0">F7</f>
        <v>100</v>
      </c>
      <c r="T7" s="765" t="s">
        <v>17</v>
      </c>
      <c r="U7" s="766">
        <f t="shared" ref="U7:U15" si="1">H7</f>
        <v>100</v>
      </c>
      <c r="V7" s="765" t="s">
        <v>17</v>
      </c>
      <c r="W7" s="766">
        <f t="shared" ref="W7:W15" si="2">J7</f>
        <v>100</v>
      </c>
      <c r="X7" s="767"/>
      <c r="Y7" s="3181" t="s">
        <v>2548</v>
      </c>
      <c r="Z7" s="3182"/>
      <c r="AA7" s="768">
        <f>D7/F7</f>
        <v>1</v>
      </c>
      <c r="AB7" s="768">
        <f>D7/H7</f>
        <v>1</v>
      </c>
      <c r="AC7" s="768">
        <f>D7/J7</f>
        <v>1</v>
      </c>
    </row>
    <row r="8" spans="1:29" s="117" customFormat="1" ht="15.75" thickBot="1">
      <c r="A8" s="407" t="s">
        <v>2549</v>
      </c>
      <c r="B8" s="408"/>
      <c r="C8" s="413" t="s">
        <v>2651</v>
      </c>
      <c r="D8" s="410">
        <v>100</v>
      </c>
      <c r="E8" s="413" t="s">
        <v>3053</v>
      </c>
      <c r="F8" s="412">
        <f>SUMIF(61:61,E8,62:62)-SUMIF(61:61,C8,62:62)+100</f>
        <v>100</v>
      </c>
      <c r="G8" s="413" t="s">
        <v>3053</v>
      </c>
      <c r="H8" s="410">
        <f>SUMIF(61:61,G8,62:62)-SUMIF(61:61,C8,62:62)+100</f>
        <v>100</v>
      </c>
      <c r="I8" s="413" t="s">
        <v>3053</v>
      </c>
      <c r="J8" s="410">
        <f>SUMIF(61:61,I8,62:62)-SUMIF(61:61,C8,62:62)+100</f>
        <v>100</v>
      </c>
      <c r="K8" s="610"/>
      <c r="L8" s="1130"/>
      <c r="M8" s="1131"/>
      <c r="N8" s="1131"/>
      <c r="O8" s="1131"/>
      <c r="P8" s="3181" t="s">
        <v>2551</v>
      </c>
      <c r="Q8" s="3182"/>
      <c r="R8" s="765" t="s">
        <v>17</v>
      </c>
      <c r="S8" s="766">
        <f t="shared" si="0"/>
        <v>100</v>
      </c>
      <c r="T8" s="765" t="s">
        <v>17</v>
      </c>
      <c r="U8" s="766">
        <f t="shared" si="1"/>
        <v>100</v>
      </c>
      <c r="V8" s="765" t="s">
        <v>17</v>
      </c>
      <c r="W8" s="766">
        <f t="shared" si="2"/>
        <v>100</v>
      </c>
      <c r="X8" s="767"/>
      <c r="Y8" s="3181" t="s">
        <v>2551</v>
      </c>
      <c r="Z8" s="3182"/>
      <c r="AA8" s="768">
        <f t="shared" ref="AA8:AA46" si="3">D8/F8</f>
        <v>1</v>
      </c>
      <c r="AB8" s="768">
        <f t="shared" ref="AB8:AB46" si="4">D8/H8</f>
        <v>1</v>
      </c>
      <c r="AC8" s="768">
        <f t="shared" ref="AC8:AC46" si="5">D8/J8</f>
        <v>1</v>
      </c>
    </row>
    <row r="9" spans="1:29" s="117" customFormat="1">
      <c r="A9" s="414" t="s">
        <v>2552</v>
      </c>
      <c r="B9" s="71" t="s">
        <v>2553</v>
      </c>
      <c r="C9" s="2939" t="s">
        <v>3052</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195"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768">
        <f t="shared" si="5"/>
        <v>1</v>
      </c>
    </row>
    <row r="10" spans="1:29" s="426" customFormat="1" ht="27.75" thickBot="1">
      <c r="A10" s="420"/>
      <c r="B10" s="421" t="s">
        <v>2556</v>
      </c>
      <c r="C10" s="422" t="s">
        <v>3156</v>
      </c>
      <c r="D10" s="135">
        <v>100</v>
      </c>
      <c r="E10" s="422" t="s">
        <v>3084</v>
      </c>
      <c r="F10" s="424">
        <f>SUMIF(65:65,E10,66:66)-SUMIF(65:65,C10,66:66)+100</f>
        <v>101</v>
      </c>
      <c r="G10" s="422" t="s">
        <v>3084</v>
      </c>
      <c r="H10" s="135">
        <f>SUMIF(65:65,G10,66:66)-SUMIF(65:65,C10,66:66)+100</f>
        <v>101</v>
      </c>
      <c r="I10" s="422" t="s">
        <v>3084</v>
      </c>
      <c r="J10" s="135">
        <f>SUMIF(65:65,I10,66:66)-SUMIF(65:65,C10,66:66)+100</f>
        <v>101</v>
      </c>
      <c r="K10" s="611">
        <v>1</v>
      </c>
      <c r="L10" s="1133"/>
      <c r="M10" s="1134"/>
      <c r="N10" s="1134"/>
      <c r="O10" s="1134"/>
      <c r="P10" s="3195"/>
      <c r="Q10" s="1792" t="str">
        <f t="shared" si="6"/>
        <v>土地使用年限（年）</v>
      </c>
      <c r="R10" s="765" t="s">
        <v>17</v>
      </c>
      <c r="S10" s="766">
        <f t="shared" si="0"/>
        <v>101</v>
      </c>
      <c r="T10" s="765" t="s">
        <v>17</v>
      </c>
      <c r="U10" s="766">
        <f t="shared" si="1"/>
        <v>101</v>
      </c>
      <c r="V10" s="765" t="s">
        <v>17</v>
      </c>
      <c r="W10" s="766">
        <f t="shared" si="2"/>
        <v>101</v>
      </c>
      <c r="X10" s="767"/>
      <c r="Y10" s="3052"/>
      <c r="Z10" s="55" t="str">
        <f t="shared" si="7"/>
        <v>土地使用年限（年）</v>
      </c>
      <c r="AA10" s="768">
        <f t="shared" si="3"/>
        <v>0.99009900990099009</v>
      </c>
      <c r="AB10" s="768">
        <f t="shared" si="4"/>
        <v>0.99009900990099009</v>
      </c>
      <c r="AC10" s="768">
        <f t="shared" si="5"/>
        <v>0.99009900990099009</v>
      </c>
    </row>
    <row r="11" spans="1:29" ht="15" hidden="1">
      <c r="A11" s="427"/>
      <c r="B11" s="421" t="s">
        <v>2557</v>
      </c>
      <c r="C11" s="428">
        <v>5</v>
      </c>
      <c r="D11" s="135">
        <v>100</v>
      </c>
      <c r="E11" s="429">
        <v>5</v>
      </c>
      <c r="F11" s="424">
        <f>LOOKUP(E11,68:68,69:69)-LOOKUP(C11,68:68,69:69)+100</f>
        <v>100</v>
      </c>
      <c r="G11" s="428">
        <v>5</v>
      </c>
      <c r="H11" s="135">
        <f>LOOKUP(G11,68:68,69:69)-LOOKUP(C11,68:68,69:69)+100</f>
        <v>100</v>
      </c>
      <c r="I11" s="428">
        <v>5</v>
      </c>
      <c r="J11" s="135">
        <f>LOOKUP(I11,68:68,69:69)-LOOKUP(C11,68:68,69:69)+100</f>
        <v>100</v>
      </c>
      <c r="K11" s="611">
        <v>1</v>
      </c>
      <c r="L11" s="1136"/>
      <c r="M11" s="1129"/>
      <c r="N11" s="1129"/>
      <c r="O11" s="1129"/>
      <c r="P11" s="3195"/>
      <c r="Q11" s="1792" t="str">
        <f t="shared" si="6"/>
        <v>容积率</v>
      </c>
      <c r="R11" s="765" t="s">
        <v>17</v>
      </c>
      <c r="S11" s="766">
        <f t="shared" si="0"/>
        <v>100</v>
      </c>
      <c r="T11" s="765" t="s">
        <v>17</v>
      </c>
      <c r="U11" s="766">
        <f t="shared" si="1"/>
        <v>100</v>
      </c>
      <c r="V11" s="765" t="s">
        <v>17</v>
      </c>
      <c r="W11" s="766">
        <f t="shared" si="2"/>
        <v>100</v>
      </c>
      <c r="X11" s="767"/>
      <c r="Y11" s="3052"/>
      <c r="Z11" s="55" t="str">
        <f t="shared" si="7"/>
        <v>容积率</v>
      </c>
      <c r="AA11" s="768">
        <f t="shared" si="3"/>
        <v>1</v>
      </c>
      <c r="AB11" s="768">
        <f t="shared" si="4"/>
        <v>1</v>
      </c>
      <c r="AC11" s="768">
        <f t="shared" si="5"/>
        <v>1</v>
      </c>
    </row>
    <row r="12" spans="1:29" s="117" customFormat="1" ht="15" hidden="1">
      <c r="A12" s="430"/>
      <c r="B12" s="2597"/>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5"/>
      <c r="Q12" s="1792">
        <f t="shared" si="6"/>
        <v>0</v>
      </c>
      <c r="R12" s="765" t="s">
        <v>17</v>
      </c>
      <c r="S12" s="766">
        <f t="shared" si="0"/>
        <v>100</v>
      </c>
      <c r="T12" s="765" t="s">
        <v>17</v>
      </c>
      <c r="U12" s="766">
        <f t="shared" si="1"/>
        <v>100</v>
      </c>
      <c r="V12" s="765" t="s">
        <v>17</v>
      </c>
      <c r="W12" s="766">
        <f t="shared" si="2"/>
        <v>100</v>
      </c>
      <c r="X12" s="767"/>
      <c r="Y12" s="3052"/>
      <c r="Z12" s="55">
        <f t="shared" si="7"/>
        <v>0</v>
      </c>
      <c r="AA12" s="768">
        <f>D12/F12</f>
        <v>1</v>
      </c>
      <c r="AB12" s="768">
        <f>D12/H12</f>
        <v>1</v>
      </c>
      <c r="AC12" s="768">
        <f>D12/J12</f>
        <v>1</v>
      </c>
    </row>
    <row r="13" spans="1:29" ht="15" hidden="1">
      <c r="A13" s="427"/>
      <c r="B13" s="2597"/>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5"/>
      <c r="Q13" s="1792">
        <f t="shared" si="6"/>
        <v>0</v>
      </c>
      <c r="R13" s="765" t="s">
        <v>17</v>
      </c>
      <c r="S13" s="766">
        <f t="shared" si="0"/>
        <v>100</v>
      </c>
      <c r="T13" s="765" t="s">
        <v>17</v>
      </c>
      <c r="U13" s="766">
        <f t="shared" si="1"/>
        <v>100</v>
      </c>
      <c r="V13" s="765" t="s">
        <v>17</v>
      </c>
      <c r="W13" s="766">
        <f t="shared" si="2"/>
        <v>100</v>
      </c>
      <c r="X13" s="767"/>
      <c r="Y13" s="3052"/>
      <c r="Z13" s="55">
        <f t="shared" si="7"/>
        <v>0</v>
      </c>
      <c r="AA13" s="768">
        <f t="shared" si="3"/>
        <v>1</v>
      </c>
      <c r="AB13" s="768">
        <f t="shared" si="4"/>
        <v>1</v>
      </c>
      <c r="AC13" s="768">
        <f t="shared" si="5"/>
        <v>1</v>
      </c>
    </row>
    <row r="14" spans="1:29" ht="15.75" hidden="1" thickBot="1">
      <c r="A14" s="435"/>
      <c r="B14" s="2599"/>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5"/>
      <c r="Q14" s="1792">
        <f t="shared" si="6"/>
        <v>0</v>
      </c>
      <c r="R14" s="765" t="s">
        <v>17</v>
      </c>
      <c r="S14" s="766">
        <f t="shared" si="0"/>
        <v>100</v>
      </c>
      <c r="T14" s="765" t="s">
        <v>17</v>
      </c>
      <c r="U14" s="766">
        <f t="shared" si="1"/>
        <v>100</v>
      </c>
      <c r="V14" s="765" t="s">
        <v>17</v>
      </c>
      <c r="W14" s="766">
        <f t="shared" si="2"/>
        <v>100</v>
      </c>
      <c r="X14" s="767"/>
      <c r="Y14" s="3052"/>
      <c r="Z14" s="55">
        <f t="shared" si="7"/>
        <v>0</v>
      </c>
      <c r="AA14" s="768">
        <f t="shared" si="3"/>
        <v>1</v>
      </c>
      <c r="AB14" s="768">
        <f t="shared" si="4"/>
        <v>1</v>
      </c>
      <c r="AC14" s="768">
        <f t="shared" si="5"/>
        <v>1</v>
      </c>
    </row>
    <row r="15" spans="1:29" ht="71.25">
      <c r="A15" s="439" t="s">
        <v>2558</v>
      </c>
      <c r="B15" s="69" t="s">
        <v>2652</v>
      </c>
      <c r="C15" s="2600" t="str">
        <f>估价对象房地状况!C4</f>
        <v>估价对象位于XX商圈，周边商业氛围成熟，人流量大，商业繁华度好</v>
      </c>
      <c r="D15" s="440">
        <v>100</v>
      </c>
      <c r="E15" s="441"/>
      <c r="F15" s="442">
        <f>SUMIF(76:76,E16,77:77)-SUMIF(76:76,C16,77:77)+100</f>
        <v>100</v>
      </c>
      <c r="G15" s="441"/>
      <c r="H15" s="440">
        <f>SUMIF(76:76,G16,77:77)-SUMIF(76:76,C16,77:77)+100</f>
        <v>100</v>
      </c>
      <c r="I15" s="441"/>
      <c r="J15" s="440">
        <f>SUMIF(76:76,I16,77:77)-SUMIF(76:76,C16,77:77)+100</f>
        <v>100</v>
      </c>
      <c r="K15" s="613">
        <v>3</v>
      </c>
      <c r="L15" s="1138"/>
      <c r="M15" s="1129"/>
      <c r="N15" s="1129"/>
      <c r="O15" s="1129"/>
      <c r="P15" s="3222" t="s">
        <v>2559</v>
      </c>
      <c r="Q15" s="1807" t="str">
        <f t="shared" si="6"/>
        <v>商业繁华度</v>
      </c>
      <c r="R15" s="769" t="s">
        <v>17</v>
      </c>
      <c r="S15" s="770">
        <f t="shared" si="0"/>
        <v>100</v>
      </c>
      <c r="T15" s="769" t="s">
        <v>17</v>
      </c>
      <c r="U15" s="770">
        <f t="shared" si="1"/>
        <v>100</v>
      </c>
      <c r="V15" s="769" t="s">
        <v>17</v>
      </c>
      <c r="W15" s="770">
        <f t="shared" si="2"/>
        <v>100</v>
      </c>
      <c r="X15" s="1810"/>
      <c r="Y15" s="3215" t="s">
        <v>2559</v>
      </c>
      <c r="Z15" s="1811" t="str">
        <f t="shared" si="7"/>
        <v>商业繁华度</v>
      </c>
      <c r="AA15" s="1808">
        <f t="shared" si="3"/>
        <v>1</v>
      </c>
      <c r="AB15" s="1808">
        <f t="shared" si="4"/>
        <v>1</v>
      </c>
      <c r="AC15" s="1808">
        <f t="shared" si="5"/>
        <v>1</v>
      </c>
    </row>
    <row r="16" spans="1:29" ht="15">
      <c r="A16" s="427"/>
      <c r="B16" s="445"/>
      <c r="C16" s="446" t="s">
        <v>3092</v>
      </c>
      <c r="D16" s="447"/>
      <c r="E16" s="446" t="s">
        <v>3092</v>
      </c>
      <c r="F16" s="448"/>
      <c r="G16" s="446" t="s">
        <v>3092</v>
      </c>
      <c r="H16" s="449"/>
      <c r="I16" s="446" t="s">
        <v>3092</v>
      </c>
      <c r="J16" s="447"/>
      <c r="K16" s="614"/>
      <c r="L16" s="1138"/>
      <c r="M16" s="1129"/>
      <c r="N16" s="1129"/>
      <c r="O16" s="1129"/>
      <c r="P16" s="3223"/>
      <c r="Q16" s="1807"/>
      <c r="R16" s="769"/>
      <c r="S16" s="770"/>
      <c r="T16" s="769"/>
      <c r="U16" s="770"/>
      <c r="V16" s="769"/>
      <c r="W16" s="770"/>
      <c r="X16" s="1810"/>
      <c r="Y16" s="3216"/>
      <c r="Z16" s="1811"/>
      <c r="AA16" s="1808">
        <v>1</v>
      </c>
      <c r="AB16" s="1808">
        <v>1</v>
      </c>
      <c r="AC16" s="1808">
        <v>1</v>
      </c>
    </row>
    <row r="17" spans="1:29" ht="85.5">
      <c r="A17" s="427"/>
      <c r="B17" s="450" t="s">
        <v>2098</v>
      </c>
      <c r="C17" s="2604" t="str">
        <f>估价对象房地状况!C6</f>
        <v>估价对象周边道路状况、公共交通通达情况、停车便捷程度，综合评价交通便捷度较好</v>
      </c>
      <c r="D17" s="449">
        <v>100</v>
      </c>
      <c r="E17" s="451"/>
      <c r="F17" s="452">
        <f>SUMIF(78:78,E18,79:79)-SUMIF(78:78,C18,79:79)+100</f>
        <v>100</v>
      </c>
      <c r="G17" s="451"/>
      <c r="H17" s="454">
        <f>SUMIF(78:78,G18,79:79)-SUMIF(78:78,C18,79:79)+100</f>
        <v>100</v>
      </c>
      <c r="I17" s="451"/>
      <c r="J17" s="454">
        <f>SUMIF(78:78,I18,79:79)-SUMIF(78:78,C18,79:79)+100</f>
        <v>103</v>
      </c>
      <c r="K17" s="613">
        <v>3</v>
      </c>
      <c r="L17" s="1138"/>
      <c r="M17" s="1129"/>
      <c r="N17" s="1129"/>
      <c r="O17" s="1129"/>
      <c r="P17" s="3223"/>
      <c r="Q17" s="1807" t="str">
        <f>B17</f>
        <v>交通便捷度</v>
      </c>
      <c r="R17" s="769" t="s">
        <v>17</v>
      </c>
      <c r="S17" s="770">
        <f>F17</f>
        <v>100</v>
      </c>
      <c r="T17" s="769" t="s">
        <v>17</v>
      </c>
      <c r="U17" s="770">
        <f>H17</f>
        <v>100</v>
      </c>
      <c r="V17" s="769" t="s">
        <v>17</v>
      </c>
      <c r="W17" s="770">
        <f>J17</f>
        <v>103</v>
      </c>
      <c r="X17" s="1810"/>
      <c r="Y17" s="3216"/>
      <c r="Z17" s="1811" t="str">
        <f>Q17</f>
        <v>交通便捷度</v>
      </c>
      <c r="AA17" s="1808">
        <f t="shared" si="3"/>
        <v>1</v>
      </c>
      <c r="AB17" s="1808">
        <f t="shared" si="4"/>
        <v>1</v>
      </c>
      <c r="AC17" s="1808">
        <f t="shared" si="5"/>
        <v>0.970873786407767</v>
      </c>
    </row>
    <row r="18" spans="1:29" ht="15">
      <c r="A18" s="427"/>
      <c r="B18" s="455"/>
      <c r="C18" s="2605" t="s">
        <v>3092</v>
      </c>
      <c r="D18" s="449"/>
      <c r="E18" s="2607" t="s">
        <v>3092</v>
      </c>
      <c r="F18" s="452"/>
      <c r="G18" s="2607" t="s">
        <v>3092</v>
      </c>
      <c r="H18" s="447"/>
      <c r="I18" s="2607" t="s">
        <v>3091</v>
      </c>
      <c r="J18" s="447"/>
      <c r="K18" s="614"/>
      <c r="L18" s="1138"/>
      <c r="M18" s="1129"/>
      <c r="N18" s="1129"/>
      <c r="O18" s="1129"/>
      <c r="P18" s="3223"/>
      <c r="Q18" s="1807"/>
      <c r="R18" s="769"/>
      <c r="S18" s="770"/>
      <c r="T18" s="769"/>
      <c r="U18" s="770"/>
      <c r="V18" s="769"/>
      <c r="W18" s="770"/>
      <c r="X18" s="1810"/>
      <c r="Y18" s="3216"/>
      <c r="Z18" s="1811"/>
      <c r="AA18" s="1808">
        <v>1</v>
      </c>
      <c r="AB18" s="1808">
        <v>1</v>
      </c>
      <c r="AC18" s="1808">
        <v>1</v>
      </c>
    </row>
    <row r="19" spans="1:29" ht="42.75">
      <c r="A19" s="427"/>
      <c r="B19" s="450" t="s">
        <v>2653</v>
      </c>
      <c r="C19" s="2604" t="str">
        <f>估价对象房地状况!C7</f>
        <v>估价对象所在区域公共配套设施齐备情况</v>
      </c>
      <c r="D19" s="454">
        <v>100</v>
      </c>
      <c r="E19" s="456"/>
      <c r="F19" s="457">
        <f>SUMIF(80:80,E20,81:81)-SUMIF(80:80,C20,81:81)+100</f>
        <v>100</v>
      </c>
      <c r="G19" s="456"/>
      <c r="H19" s="449">
        <f>SUMIF(80:80,G20,81:81)-SUMIF(80:80,C20,81:81)+100</f>
        <v>100</v>
      </c>
      <c r="I19" s="456"/>
      <c r="J19" s="449">
        <f>SUMIF(80:80,I20,81:81)-SUMIF(80:80,C20,81:81)+100</f>
        <v>103</v>
      </c>
      <c r="K19" s="613">
        <v>3</v>
      </c>
      <c r="L19" s="1138"/>
      <c r="M19" s="1129"/>
      <c r="N19" s="1129"/>
      <c r="O19" s="1129"/>
      <c r="P19" s="3223"/>
      <c r="Q19" s="1807" t="str">
        <f>B19</f>
        <v>公共配套设施</v>
      </c>
      <c r="R19" s="769" t="s">
        <v>17</v>
      </c>
      <c r="S19" s="770">
        <f>F19</f>
        <v>100</v>
      </c>
      <c r="T19" s="769" t="s">
        <v>17</v>
      </c>
      <c r="U19" s="770">
        <f>H19</f>
        <v>100</v>
      </c>
      <c r="V19" s="769" t="s">
        <v>17</v>
      </c>
      <c r="W19" s="770">
        <f>J19</f>
        <v>103</v>
      </c>
      <c r="X19" s="1810"/>
      <c r="Y19" s="3216"/>
      <c r="Z19" s="1811" t="str">
        <f>Q19</f>
        <v>公共配套设施</v>
      </c>
      <c r="AA19" s="1808">
        <f t="shared" si="3"/>
        <v>1</v>
      </c>
      <c r="AB19" s="1808">
        <f t="shared" si="4"/>
        <v>1</v>
      </c>
      <c r="AC19" s="1808">
        <f t="shared" si="5"/>
        <v>0.970873786407767</v>
      </c>
    </row>
    <row r="20" spans="1:29" ht="15">
      <c r="A20" s="427"/>
      <c r="B20" s="455"/>
      <c r="C20" s="446" t="s">
        <v>3092</v>
      </c>
      <c r="D20" s="447"/>
      <c r="E20" s="2602" t="s">
        <v>3092</v>
      </c>
      <c r="F20" s="448"/>
      <c r="G20" s="2602" t="s">
        <v>3092</v>
      </c>
      <c r="H20" s="447"/>
      <c r="I20" s="2602" t="s">
        <v>3091</v>
      </c>
      <c r="J20" s="447"/>
      <c r="K20" s="614"/>
      <c r="L20" s="1138"/>
      <c r="M20" s="1129"/>
      <c r="N20" s="1129"/>
      <c r="O20" s="1129"/>
      <c r="P20" s="3223"/>
      <c r="Q20" s="1807"/>
      <c r="R20" s="769"/>
      <c r="S20" s="770"/>
      <c r="T20" s="769"/>
      <c r="U20" s="770"/>
      <c r="V20" s="769"/>
      <c r="W20" s="770"/>
      <c r="X20" s="1810"/>
      <c r="Y20" s="3216"/>
      <c r="Z20" s="1811"/>
      <c r="AA20" s="1808">
        <v>1</v>
      </c>
      <c r="AB20" s="1808">
        <v>1</v>
      </c>
      <c r="AC20" s="1808">
        <v>1</v>
      </c>
    </row>
    <row r="21" spans="1:29" ht="28.5">
      <c r="A21" s="427"/>
      <c r="B21" s="1381" t="s">
        <v>2654</v>
      </c>
      <c r="C21" s="2604"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38"/>
      <c r="M21" s="1129"/>
      <c r="N21" s="1129"/>
      <c r="O21" s="1129"/>
      <c r="P21" s="3223"/>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1808">
        <f t="shared" ref="AC21" si="10">D21/J21</f>
        <v>1</v>
      </c>
    </row>
    <row r="22" spans="1:29" ht="15">
      <c r="A22" s="427"/>
      <c r="B22" s="1381"/>
      <c r="C22" s="2605" t="s">
        <v>3090</v>
      </c>
      <c r="D22" s="447"/>
      <c r="E22" s="446" t="s">
        <v>3090</v>
      </c>
      <c r="F22" s="448"/>
      <c r="G22" s="446" t="s">
        <v>3090</v>
      </c>
      <c r="H22" s="447"/>
      <c r="I22" s="446" t="s">
        <v>3090</v>
      </c>
      <c r="J22" s="447"/>
      <c r="K22" s="1380"/>
      <c r="L22" s="1138"/>
      <c r="M22" s="1129"/>
      <c r="N22" s="1129"/>
      <c r="O22" s="1129"/>
      <c r="P22" s="3223"/>
      <c r="Q22" s="1807"/>
      <c r="R22" s="769"/>
      <c r="S22" s="770"/>
      <c r="T22" s="769"/>
      <c r="U22" s="770"/>
      <c r="V22" s="769"/>
      <c r="W22" s="770"/>
      <c r="X22" s="1810"/>
      <c r="Y22" s="3216"/>
      <c r="Z22" s="1811"/>
      <c r="AA22" s="1808">
        <v>1</v>
      </c>
      <c r="AB22" s="1808">
        <v>1</v>
      </c>
      <c r="AC22" s="1808">
        <v>1</v>
      </c>
    </row>
    <row r="23" spans="1:29" ht="57">
      <c r="A23" s="427"/>
      <c r="B23" s="450" t="s">
        <v>2103</v>
      </c>
      <c r="C23" s="2661" t="str">
        <f>估价对象房地状况!C9</f>
        <v>区域自然环境：；人文环境；综合评价环境状况一般</v>
      </c>
      <c r="D23" s="449">
        <v>100</v>
      </c>
      <c r="E23" s="451"/>
      <c r="F23" s="452">
        <f>SUMIF(84:84,E24,85:85)-SUMIF(84:84,C24,85:85)+100</f>
        <v>100</v>
      </c>
      <c r="G23" s="451"/>
      <c r="H23" s="449">
        <f>SUMIF(84:84,G24,85:85)-SUMIF(84:84,C24,85:85)+100</f>
        <v>103</v>
      </c>
      <c r="I23" s="451"/>
      <c r="J23" s="449">
        <f>SUMIF(84:84,I24,85:85)-SUMIF(84:84,C24,85:85)+100</f>
        <v>103</v>
      </c>
      <c r="K23" s="613">
        <v>3</v>
      </c>
      <c r="L23" s="1138"/>
      <c r="M23" s="1129"/>
      <c r="N23" s="1129"/>
      <c r="O23" s="1129"/>
      <c r="P23" s="3223"/>
      <c r="Q23" s="1807" t="str">
        <f>B23</f>
        <v>自然及人文环境</v>
      </c>
      <c r="R23" s="769" t="s">
        <v>17</v>
      </c>
      <c r="S23" s="770">
        <f>F23</f>
        <v>100</v>
      </c>
      <c r="T23" s="769" t="s">
        <v>17</v>
      </c>
      <c r="U23" s="770">
        <f>H23</f>
        <v>103</v>
      </c>
      <c r="V23" s="769" t="s">
        <v>17</v>
      </c>
      <c r="W23" s="770">
        <f>J23</f>
        <v>103</v>
      </c>
      <c r="X23" s="1810"/>
      <c r="Y23" s="3216"/>
      <c r="Z23" s="1811" t="str">
        <f>Q23</f>
        <v>自然及人文环境</v>
      </c>
      <c r="AA23" s="1808">
        <f t="shared" si="3"/>
        <v>1</v>
      </c>
      <c r="AB23" s="1808">
        <f t="shared" si="4"/>
        <v>0.970873786407767</v>
      </c>
      <c r="AC23" s="1808">
        <f t="shared" si="5"/>
        <v>0.970873786407767</v>
      </c>
    </row>
    <row r="24" spans="1:29" ht="15">
      <c r="A24" s="427"/>
      <c r="B24" s="455"/>
      <c r="C24" s="446" t="s">
        <v>3092</v>
      </c>
      <c r="D24" s="447"/>
      <c r="E24" s="2602" t="s">
        <v>3092</v>
      </c>
      <c r="F24" s="448"/>
      <c r="G24" s="2602" t="s">
        <v>3091</v>
      </c>
      <c r="H24" s="447"/>
      <c r="I24" s="2602" t="s">
        <v>3091</v>
      </c>
      <c r="J24" s="447"/>
      <c r="K24" s="614"/>
      <c r="L24" s="1138"/>
      <c r="M24" s="1129"/>
      <c r="N24" s="1129"/>
      <c r="O24" s="1129"/>
      <c r="P24" s="3223"/>
      <c r="Q24" s="1807"/>
      <c r="R24" s="769"/>
      <c r="S24" s="770"/>
      <c r="T24" s="769"/>
      <c r="U24" s="770"/>
      <c r="V24" s="769"/>
      <c r="W24" s="770"/>
      <c r="X24" s="1810"/>
      <c r="Y24" s="3216"/>
      <c r="Z24" s="1811"/>
      <c r="AA24" s="1808">
        <v>1</v>
      </c>
      <c r="AB24" s="1808">
        <v>1</v>
      </c>
      <c r="AC24" s="1808">
        <v>1</v>
      </c>
    </row>
    <row r="25" spans="1:29" ht="15" hidden="1">
      <c r="A25" s="427"/>
      <c r="B25" s="421" t="s">
        <v>2655</v>
      </c>
      <c r="C25" s="615" t="s">
        <v>3093</v>
      </c>
      <c r="D25" s="434">
        <v>100</v>
      </c>
      <c r="E25" s="615" t="s">
        <v>3093</v>
      </c>
      <c r="F25" s="460">
        <f>SUMIF(86:86,E25,87:87)-SUMIF(86:86,C25,87:87)+100</f>
        <v>100</v>
      </c>
      <c r="G25" s="615" t="s">
        <v>3093</v>
      </c>
      <c r="H25" s="434">
        <f>SUMIF(86:86,G25,87:87)-SUMIF(86:86,C25,87:87)+100</f>
        <v>100</v>
      </c>
      <c r="I25" s="615" t="s">
        <v>3093</v>
      </c>
      <c r="J25" s="434">
        <f>SUMIF(86:86,I25,87:87)-SUMIF(86:86,C25,87:87)+100</f>
        <v>100</v>
      </c>
      <c r="K25" s="611">
        <v>0</v>
      </c>
      <c r="L25" s="1138"/>
      <c r="M25" s="1129"/>
      <c r="N25" s="1129"/>
      <c r="O25" s="1129"/>
      <c r="P25" s="3223"/>
      <c r="Q25" s="1807" t="str">
        <f t="shared" ref="Q25:Q46" si="11">B25</f>
        <v>临街状况</v>
      </c>
      <c r="R25" s="769" t="s">
        <v>17</v>
      </c>
      <c r="S25" s="770">
        <f>F25</f>
        <v>100</v>
      </c>
      <c r="T25" s="769" t="s">
        <v>17</v>
      </c>
      <c r="U25" s="770">
        <f>H25</f>
        <v>100</v>
      </c>
      <c r="V25" s="769" t="s">
        <v>17</v>
      </c>
      <c r="W25" s="770">
        <f>J25</f>
        <v>100</v>
      </c>
      <c r="X25" s="1810"/>
      <c r="Y25" s="3216"/>
      <c r="Z25" s="1811" t="str">
        <f>Q25</f>
        <v>临街状况</v>
      </c>
      <c r="AA25" s="1808">
        <f t="shared" si="3"/>
        <v>1</v>
      </c>
      <c r="AB25" s="1808">
        <f t="shared" si="4"/>
        <v>1</v>
      </c>
      <c r="AC25" s="1808">
        <f t="shared" si="5"/>
        <v>1</v>
      </c>
    </row>
    <row r="26" spans="1:29" ht="15">
      <c r="A26" s="427"/>
      <c r="B26" s="1383" t="s">
        <v>2656</v>
      </c>
      <c r="C26" s="2951" t="s">
        <v>3136</v>
      </c>
      <c r="D26" s="434">
        <v>100</v>
      </c>
      <c r="E26" s="2951" t="s">
        <v>3096</v>
      </c>
      <c r="F26" s="460">
        <f>SUMIF(88:88,E26,89:89)-SUMIF(88:88,C26,89:89)+100</f>
        <v>100</v>
      </c>
      <c r="G26" s="2951" t="s">
        <v>3136</v>
      </c>
      <c r="H26" s="434">
        <f>SUMIF(88:88,G26,89:89)-SUMIF(88:88,C26,89:89)+100</f>
        <v>100</v>
      </c>
      <c r="I26" s="2951" t="s">
        <v>3136</v>
      </c>
      <c r="J26" s="434">
        <f>SUMIF(88:88,I26,89:89)-SUMIF(88:88,C26,89:89)+100</f>
        <v>100</v>
      </c>
      <c r="K26" s="612"/>
      <c r="L26" s="1138"/>
      <c r="M26" s="1129"/>
      <c r="N26" s="1129"/>
      <c r="O26" s="1129"/>
      <c r="P26" s="3223"/>
      <c r="Q26" s="1807" t="str">
        <f t="shared" si="11"/>
        <v>平面位置/可视性</v>
      </c>
      <c r="R26" s="769" t="s">
        <v>17</v>
      </c>
      <c r="S26" s="770">
        <f>F26</f>
        <v>100</v>
      </c>
      <c r="T26" s="769" t="s">
        <v>17</v>
      </c>
      <c r="U26" s="770">
        <f>H26</f>
        <v>100</v>
      </c>
      <c r="V26" s="769" t="s">
        <v>17</v>
      </c>
      <c r="W26" s="770">
        <f>J26</f>
        <v>100</v>
      </c>
      <c r="X26" s="1810"/>
      <c r="Y26" s="3216"/>
      <c r="Z26" s="1811" t="str">
        <f>Q26</f>
        <v>平面位置/可视性</v>
      </c>
      <c r="AA26" s="1808">
        <f t="shared" si="3"/>
        <v>1</v>
      </c>
      <c r="AB26" s="1808">
        <f t="shared" si="4"/>
        <v>1</v>
      </c>
      <c r="AC26" s="1808">
        <f t="shared" si="5"/>
        <v>1</v>
      </c>
    </row>
    <row r="27" spans="1:29" s="117" customFormat="1" ht="15">
      <c r="A27" s="430"/>
      <c r="B27" s="450" t="s">
        <v>2657</v>
      </c>
      <c r="C27" s="2662" t="s">
        <v>3143</v>
      </c>
      <c r="D27" s="461">
        <v>100</v>
      </c>
      <c r="E27" s="2662" t="s">
        <v>3143</v>
      </c>
      <c r="F27" s="463">
        <f>SUMIF(90:90,E27,91:91)-SUMIF(90:90,C27,91:91)+100</f>
        <v>100</v>
      </c>
      <c r="G27" s="2662" t="s">
        <v>3143</v>
      </c>
      <c r="H27" s="461">
        <f>SUMIF(90:90,G27,91:91)-SUMIF(90:90,C27,91:91)+100</f>
        <v>100</v>
      </c>
      <c r="I27" s="2662" t="s">
        <v>3143</v>
      </c>
      <c r="J27" s="461">
        <f>SUMIF(90:90,I27,91:91)-SUMIF(90:90,C27,91:91)+100</f>
        <v>100</v>
      </c>
      <c r="K27" s="611">
        <v>5</v>
      </c>
      <c r="L27" s="1130"/>
      <c r="M27" s="1131"/>
      <c r="N27" s="1131"/>
      <c r="O27" s="1131"/>
      <c r="P27" s="3223"/>
      <c r="Q27" s="1792" t="str">
        <f t="shared" si="11"/>
        <v>人流量</v>
      </c>
      <c r="R27" s="765" t="s">
        <v>17</v>
      </c>
      <c r="S27" s="766">
        <f>F27</f>
        <v>100</v>
      </c>
      <c r="T27" s="765" t="s">
        <v>17</v>
      </c>
      <c r="U27" s="766">
        <f>H27</f>
        <v>100</v>
      </c>
      <c r="V27" s="765" t="s">
        <v>17</v>
      </c>
      <c r="W27" s="766">
        <f>J27</f>
        <v>100</v>
      </c>
      <c r="X27" s="767"/>
      <c r="Y27" s="3216"/>
      <c r="Z27" s="55" t="str">
        <f>Q27</f>
        <v>人流量</v>
      </c>
      <c r="AA27" s="1808">
        <f>D27/F27</f>
        <v>1</v>
      </c>
      <c r="AB27" s="1808">
        <f>D27/H27</f>
        <v>1</v>
      </c>
      <c r="AC27" s="1808">
        <f>D27/J27</f>
        <v>1</v>
      </c>
    </row>
    <row r="28" spans="1:29" ht="15.75" thickBot="1">
      <c r="A28" s="427"/>
      <c r="B28" s="421" t="s">
        <v>2658</v>
      </c>
      <c r="C28" s="615" t="s">
        <v>3139</v>
      </c>
      <c r="D28" s="434">
        <v>100</v>
      </c>
      <c r="E28" s="615" t="s">
        <v>3139</v>
      </c>
      <c r="F28" s="460">
        <f>SUMIF(92:92,E28,93:93)-SUMIF(92:92,C28,93:93)+100</f>
        <v>100</v>
      </c>
      <c r="G28" s="615" t="s">
        <v>3139</v>
      </c>
      <c r="H28" s="434">
        <f>SUMIF(92:92,G28,93:93)-SUMIF(92:92,C28,93:93)+100</f>
        <v>100</v>
      </c>
      <c r="I28" s="615" t="s">
        <v>3139</v>
      </c>
      <c r="J28" s="434">
        <f>SUMIF(92:92,I28,93:93)-SUMIF(92:92,C28,93:93)+100</f>
        <v>100</v>
      </c>
      <c r="K28" s="612"/>
      <c r="L28" s="1138"/>
      <c r="M28" s="1129"/>
      <c r="N28" s="1129"/>
      <c r="O28" s="1129"/>
      <c r="P28" s="3223"/>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216"/>
      <c r="Z28" s="1811" t="str">
        <f t="shared" ref="Z28:Z46" si="15">Q28</f>
        <v>楼层</v>
      </c>
      <c r="AA28" s="1808">
        <f t="shared" si="3"/>
        <v>1</v>
      </c>
      <c r="AB28" s="1808">
        <f t="shared" si="4"/>
        <v>1</v>
      </c>
      <c r="AC28" s="1808">
        <f t="shared" si="5"/>
        <v>1</v>
      </c>
    </row>
    <row r="29" spans="1:29" ht="15" hidden="1">
      <c r="A29" s="427"/>
      <c r="B29" s="1383"/>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3"/>
      <c r="Q29" s="1807">
        <f t="shared" si="11"/>
        <v>0</v>
      </c>
      <c r="R29" s="769" t="s">
        <v>17</v>
      </c>
      <c r="S29" s="770">
        <f t="shared" si="12"/>
        <v>100</v>
      </c>
      <c r="T29" s="769" t="s">
        <v>17</v>
      </c>
      <c r="U29" s="770">
        <f t="shared" si="13"/>
        <v>100</v>
      </c>
      <c r="V29" s="769" t="s">
        <v>17</v>
      </c>
      <c r="W29" s="770">
        <f t="shared" si="14"/>
        <v>100</v>
      </c>
      <c r="X29" s="1810"/>
      <c r="Y29" s="3216"/>
      <c r="Z29" s="1811">
        <f t="shared" si="15"/>
        <v>0</v>
      </c>
      <c r="AA29" s="1808">
        <f t="shared" si="3"/>
        <v>1</v>
      </c>
      <c r="AB29" s="1808">
        <f t="shared" si="4"/>
        <v>1</v>
      </c>
      <c r="AC29" s="1808">
        <f t="shared" si="5"/>
        <v>1</v>
      </c>
    </row>
    <row r="30" spans="1:29" ht="15" hidden="1">
      <c r="A30" s="427"/>
      <c r="B30" s="1383"/>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3"/>
      <c r="Q30" s="1807">
        <f t="shared" si="11"/>
        <v>0</v>
      </c>
      <c r="R30" s="769" t="s">
        <v>17</v>
      </c>
      <c r="S30" s="770">
        <f t="shared" si="12"/>
        <v>100</v>
      </c>
      <c r="T30" s="769" t="s">
        <v>17</v>
      </c>
      <c r="U30" s="770">
        <f t="shared" si="13"/>
        <v>100</v>
      </c>
      <c r="V30" s="769" t="s">
        <v>17</v>
      </c>
      <c r="W30" s="770">
        <f t="shared" si="14"/>
        <v>100</v>
      </c>
      <c r="X30" s="1810"/>
      <c r="Y30" s="3216"/>
      <c r="Z30" s="1811">
        <f t="shared" si="15"/>
        <v>0</v>
      </c>
      <c r="AA30" s="1808">
        <f t="shared" si="3"/>
        <v>1</v>
      </c>
      <c r="AB30" s="1808">
        <f t="shared" si="4"/>
        <v>1</v>
      </c>
      <c r="AC30" s="1808">
        <f t="shared" si="5"/>
        <v>1</v>
      </c>
    </row>
    <row r="31" spans="1:29" ht="15.75" hidden="1" thickBot="1">
      <c r="A31" s="435"/>
      <c r="B31" s="1383"/>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3"/>
      <c r="Q31" s="1807">
        <f t="shared" si="11"/>
        <v>0</v>
      </c>
      <c r="R31" s="769" t="s">
        <v>17</v>
      </c>
      <c r="S31" s="770">
        <f t="shared" si="12"/>
        <v>100</v>
      </c>
      <c r="T31" s="769" t="s">
        <v>17</v>
      </c>
      <c r="U31" s="770">
        <f t="shared" si="13"/>
        <v>100</v>
      </c>
      <c r="V31" s="769" t="s">
        <v>17</v>
      </c>
      <c r="W31" s="770">
        <f t="shared" si="14"/>
        <v>100</v>
      </c>
      <c r="X31" s="1810"/>
      <c r="Y31" s="3216"/>
      <c r="Z31" s="1811">
        <f t="shared" si="15"/>
        <v>0</v>
      </c>
      <c r="AA31" s="1808">
        <f t="shared" si="3"/>
        <v>1</v>
      </c>
      <c r="AB31" s="1808">
        <f t="shared" si="4"/>
        <v>1</v>
      </c>
      <c r="AC31" s="1808">
        <f t="shared" si="5"/>
        <v>1</v>
      </c>
    </row>
    <row r="32" spans="1:29" ht="15">
      <c r="A32" s="439" t="s">
        <v>2562</v>
      </c>
      <c r="B32" s="71" t="s">
        <v>2659</v>
      </c>
      <c r="C32" s="2614" t="s">
        <v>3140</v>
      </c>
      <c r="D32" s="466">
        <v>100</v>
      </c>
      <c r="E32" s="2614" t="s">
        <v>3140</v>
      </c>
      <c r="F32" s="460">
        <f>SUMIF(100:100,E32,101:101)-SUMIF(100:100,C32,101:101)+100</f>
        <v>100</v>
      </c>
      <c r="G32" s="2614" t="s">
        <v>3140</v>
      </c>
      <c r="H32" s="434">
        <f>SUMIF(100:100,G32,101:101)-SUMIF(100:100,C32,101:101)+100</f>
        <v>100</v>
      </c>
      <c r="I32" s="2614" t="s">
        <v>3140</v>
      </c>
      <c r="J32" s="466">
        <f>SUMIF(100:100,I32,101:101)-SUMIF(100:100,C32,101:101)+100</f>
        <v>100</v>
      </c>
      <c r="K32" s="611">
        <v>5</v>
      </c>
      <c r="L32" s="1138"/>
      <c r="M32" s="1129"/>
      <c r="N32" s="1129"/>
      <c r="O32" s="1129"/>
      <c r="P32" s="3217" t="s">
        <v>2564</v>
      </c>
      <c r="Q32" s="1807" t="str">
        <f t="shared" si="11"/>
        <v>商业类型</v>
      </c>
      <c r="R32" s="769" t="s">
        <v>17</v>
      </c>
      <c r="S32" s="770">
        <f t="shared" si="12"/>
        <v>100</v>
      </c>
      <c r="T32" s="769" t="s">
        <v>17</v>
      </c>
      <c r="U32" s="770">
        <f t="shared" si="13"/>
        <v>100</v>
      </c>
      <c r="V32" s="769" t="s">
        <v>17</v>
      </c>
      <c r="W32" s="770">
        <f t="shared" si="14"/>
        <v>100</v>
      </c>
      <c r="X32" s="1810"/>
      <c r="Y32" s="3220" t="s">
        <v>2564</v>
      </c>
      <c r="Z32" s="1811" t="str">
        <f t="shared" si="15"/>
        <v>商业类型</v>
      </c>
      <c r="AA32" s="1808">
        <f t="shared" si="3"/>
        <v>1</v>
      </c>
      <c r="AB32" s="1808">
        <f t="shared" si="4"/>
        <v>1</v>
      </c>
      <c r="AC32" s="1808">
        <f t="shared" si="5"/>
        <v>1</v>
      </c>
    </row>
    <row r="33" spans="1:29" s="470" customFormat="1" ht="15">
      <c r="A33" s="467"/>
      <c r="B33" s="421" t="s">
        <v>2565</v>
      </c>
      <c r="C33" s="2953">
        <f>D3</f>
        <v>7918.4</v>
      </c>
      <c r="D33" s="135">
        <v>100</v>
      </c>
      <c r="E33" s="428">
        <v>100</v>
      </c>
      <c r="F33" s="424">
        <f>LOOKUP(E33,103:103,104:104)-LOOKUP(C33,103:103,104:104)+100</f>
        <v>106</v>
      </c>
      <c r="G33" s="428">
        <v>400</v>
      </c>
      <c r="H33" s="135">
        <f>LOOKUP(G33,103:103,104:104)-LOOKUP(C33,103:103,104:104)+100</f>
        <v>106</v>
      </c>
      <c r="I33" s="428">
        <v>181</v>
      </c>
      <c r="J33" s="135">
        <f>LOOKUP(I33,103:103,104:104)-LOOKUP(C33,103:103,104:104)+100</f>
        <v>106</v>
      </c>
      <c r="K33" s="612"/>
      <c r="L33" s="1136"/>
      <c r="M33" s="1139"/>
      <c r="N33" s="1139"/>
      <c r="O33" s="1139"/>
      <c r="P33" s="3218"/>
      <c r="Q33" s="771" t="str">
        <f t="shared" si="11"/>
        <v>项目建筑规模</v>
      </c>
      <c r="R33" s="772" t="s">
        <v>17</v>
      </c>
      <c r="S33" s="773">
        <f t="shared" si="12"/>
        <v>106</v>
      </c>
      <c r="T33" s="772" t="s">
        <v>17</v>
      </c>
      <c r="U33" s="773">
        <f t="shared" si="13"/>
        <v>106</v>
      </c>
      <c r="V33" s="772" t="s">
        <v>17</v>
      </c>
      <c r="W33" s="773">
        <f t="shared" si="14"/>
        <v>106</v>
      </c>
      <c r="X33" s="774"/>
      <c r="Y33" s="3220"/>
      <c r="Z33" s="775" t="str">
        <f t="shared" si="15"/>
        <v>项目建筑规模</v>
      </c>
      <c r="AA33" s="1808">
        <f t="shared" si="3"/>
        <v>0.94339622641509435</v>
      </c>
      <c r="AB33" s="1808">
        <f t="shared" si="4"/>
        <v>0.94339622641509435</v>
      </c>
      <c r="AC33" s="1808">
        <f t="shared" si="5"/>
        <v>0.94339622641509435</v>
      </c>
    </row>
    <row r="34" spans="1:29" ht="15">
      <c r="A34" s="471"/>
      <c r="B34" s="421" t="s">
        <v>2566</v>
      </c>
      <c r="C34" s="2616" t="s">
        <v>3055</v>
      </c>
      <c r="D34" s="434">
        <v>100</v>
      </c>
      <c r="E34" s="2616" t="s">
        <v>3055</v>
      </c>
      <c r="F34" s="460">
        <f>SUMIF(105:105,E34,106:106)-SUMIF(105:105,C34,106:106)+100</f>
        <v>100</v>
      </c>
      <c r="G34" s="2616" t="s">
        <v>3055</v>
      </c>
      <c r="H34" s="434">
        <f>SUMIF(105:105,G34,106:106)-SUMIF(105:105,C34,106:106)+100</f>
        <v>100</v>
      </c>
      <c r="I34" s="2616" t="s">
        <v>3055</v>
      </c>
      <c r="J34" s="434">
        <f>SUMIF(105:105,I34,106:106)-SUMIF(105:105,C34,106:106)+100</f>
        <v>100</v>
      </c>
      <c r="K34" s="611">
        <v>5</v>
      </c>
      <c r="L34" s="1138"/>
      <c r="M34" s="1129"/>
      <c r="N34" s="1129"/>
      <c r="O34" s="1129"/>
      <c r="P34" s="3218"/>
      <c r="Q34" s="1807" t="str">
        <f t="shared" si="11"/>
        <v>建筑结构</v>
      </c>
      <c r="R34" s="769" t="s">
        <v>17</v>
      </c>
      <c r="S34" s="770">
        <f t="shared" si="12"/>
        <v>100</v>
      </c>
      <c r="T34" s="769" t="s">
        <v>17</v>
      </c>
      <c r="U34" s="770">
        <f t="shared" si="13"/>
        <v>100</v>
      </c>
      <c r="V34" s="769" t="s">
        <v>17</v>
      </c>
      <c r="W34" s="770">
        <f t="shared" si="14"/>
        <v>100</v>
      </c>
      <c r="X34" s="1810"/>
      <c r="Y34" s="3220"/>
      <c r="Z34" s="1811" t="str">
        <f t="shared" si="15"/>
        <v>建筑结构</v>
      </c>
      <c r="AA34" s="1808">
        <f t="shared" si="3"/>
        <v>1</v>
      </c>
      <c r="AB34" s="1808">
        <f t="shared" si="4"/>
        <v>1</v>
      </c>
      <c r="AC34" s="1808">
        <f t="shared" si="5"/>
        <v>1</v>
      </c>
    </row>
    <row r="35" spans="1:29" ht="15">
      <c r="A35" s="471"/>
      <c r="B35" s="421" t="s">
        <v>2660</v>
      </c>
      <c r="C35" s="2610" t="s">
        <v>3099</v>
      </c>
      <c r="D35" s="434">
        <v>100</v>
      </c>
      <c r="E35" s="2610" t="s">
        <v>3099</v>
      </c>
      <c r="F35" s="460">
        <f>SUMIF(107:107,E35,108:108)-SUMIF(107:107,C35,108:108)+100</f>
        <v>100</v>
      </c>
      <c r="G35" s="2610" t="s">
        <v>3099</v>
      </c>
      <c r="H35" s="434">
        <f>SUMIF(107:107,G35,108:108)-SUMIF(107:107,C35,108:108)+100</f>
        <v>100</v>
      </c>
      <c r="I35" s="2610" t="s">
        <v>3099</v>
      </c>
      <c r="J35" s="434">
        <f>SUMIF(107:107,I35,108:108)-SUMIF(107:107,C35,108:108)+100</f>
        <v>100</v>
      </c>
      <c r="K35" s="611">
        <v>2</v>
      </c>
      <c r="L35" s="1138"/>
      <c r="M35" s="1129"/>
      <c r="N35" s="1129"/>
      <c r="O35" s="1129"/>
      <c r="P35" s="3218"/>
      <c r="Q35" s="1807" t="str">
        <f t="shared" si="11"/>
        <v>公共部分装修</v>
      </c>
      <c r="R35" s="769" t="s">
        <v>17</v>
      </c>
      <c r="S35" s="770">
        <f t="shared" si="12"/>
        <v>100</v>
      </c>
      <c r="T35" s="769" t="s">
        <v>17</v>
      </c>
      <c r="U35" s="770">
        <f t="shared" si="13"/>
        <v>100</v>
      </c>
      <c r="V35" s="769" t="s">
        <v>17</v>
      </c>
      <c r="W35" s="770">
        <f t="shared" si="14"/>
        <v>100</v>
      </c>
      <c r="X35" s="1810"/>
      <c r="Y35" s="3220"/>
      <c r="Z35" s="1811" t="str">
        <f t="shared" si="15"/>
        <v>公共部分装修</v>
      </c>
      <c r="AA35" s="1808">
        <f t="shared" si="3"/>
        <v>1</v>
      </c>
      <c r="AB35" s="1808">
        <f t="shared" si="4"/>
        <v>1</v>
      </c>
      <c r="AC35" s="1808">
        <f t="shared" si="5"/>
        <v>1</v>
      </c>
    </row>
    <row r="36" spans="1:29" ht="15">
      <c r="A36" s="471"/>
      <c r="B36" s="421" t="s">
        <v>2661</v>
      </c>
      <c r="C36" s="473">
        <v>0.9</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38"/>
      <c r="M36" s="1129"/>
      <c r="N36" s="1129"/>
      <c r="O36" s="1129"/>
      <c r="P36" s="3218"/>
      <c r="Q36" s="1807" t="str">
        <f t="shared" si="11"/>
        <v>成新度</v>
      </c>
      <c r="R36" s="769" t="s">
        <v>17</v>
      </c>
      <c r="S36" s="770">
        <f t="shared" si="12"/>
        <v>100</v>
      </c>
      <c r="T36" s="769" t="s">
        <v>17</v>
      </c>
      <c r="U36" s="770">
        <f t="shared" si="13"/>
        <v>100</v>
      </c>
      <c r="V36" s="769" t="s">
        <v>17</v>
      </c>
      <c r="W36" s="770">
        <f t="shared" si="14"/>
        <v>100</v>
      </c>
      <c r="X36" s="1810"/>
      <c r="Y36" s="3220"/>
      <c r="Z36" s="1811" t="str">
        <f t="shared" si="15"/>
        <v>成新度</v>
      </c>
      <c r="AA36" s="1808">
        <f t="shared" si="3"/>
        <v>1</v>
      </c>
      <c r="AB36" s="1808">
        <f t="shared" si="4"/>
        <v>1</v>
      </c>
      <c r="AC36" s="1808">
        <f t="shared" si="5"/>
        <v>1</v>
      </c>
    </row>
    <row r="37" spans="1:29" s="117" customFormat="1" ht="15">
      <c r="A37" s="472"/>
      <c r="B37" s="421" t="s">
        <v>2662</v>
      </c>
      <c r="C37" s="2610" t="s">
        <v>3090</v>
      </c>
      <c r="D37" s="135">
        <v>100</v>
      </c>
      <c r="E37" s="2610" t="s">
        <v>3090</v>
      </c>
      <c r="F37" s="460">
        <f>SUMIF(112:112,E37,113:113)-SUMIF(112:112,C37,113:113)+100</f>
        <v>100</v>
      </c>
      <c r="G37" s="2610" t="s">
        <v>3090</v>
      </c>
      <c r="H37" s="434">
        <f>SUMIF(112:112,G37,113:113)-SUMIF(112:112,C37,113:113)+100</f>
        <v>100</v>
      </c>
      <c r="I37" s="2610" t="s">
        <v>3090</v>
      </c>
      <c r="J37" s="434">
        <f>SUMIF(112:112,I37,113:113)-SUMIF(112:112,C37,113:113)+100</f>
        <v>100</v>
      </c>
      <c r="K37" s="611">
        <v>1</v>
      </c>
      <c r="L37" s="1130"/>
      <c r="M37" s="1131"/>
      <c r="N37" s="1131"/>
      <c r="O37" s="1131"/>
      <c r="P37" s="3218"/>
      <c r="Q37" s="1792" t="str">
        <f t="shared" si="11"/>
        <v>市政基础设施</v>
      </c>
      <c r="R37" s="765" t="s">
        <v>17</v>
      </c>
      <c r="S37" s="766">
        <f t="shared" si="12"/>
        <v>100</v>
      </c>
      <c r="T37" s="765" t="s">
        <v>17</v>
      </c>
      <c r="U37" s="766">
        <f t="shared" si="13"/>
        <v>100</v>
      </c>
      <c r="V37" s="765" t="s">
        <v>17</v>
      </c>
      <c r="W37" s="766">
        <f t="shared" si="14"/>
        <v>100</v>
      </c>
      <c r="X37" s="767"/>
      <c r="Y37" s="3220"/>
      <c r="Z37" s="55" t="str">
        <f t="shared" si="15"/>
        <v>市政基础设施</v>
      </c>
      <c r="AA37" s="768">
        <f t="shared" si="3"/>
        <v>1</v>
      </c>
      <c r="AB37" s="768">
        <f t="shared" si="4"/>
        <v>1</v>
      </c>
      <c r="AC37" s="768">
        <f t="shared" si="5"/>
        <v>1</v>
      </c>
    </row>
    <row r="38" spans="1:29" ht="15">
      <c r="A38" s="471"/>
      <c r="B38" s="421" t="s">
        <v>2663</v>
      </c>
      <c r="C38" s="2610" t="s">
        <v>3105</v>
      </c>
      <c r="D38" s="434">
        <v>100</v>
      </c>
      <c r="E38" s="2610" t="s">
        <v>3105</v>
      </c>
      <c r="F38" s="460">
        <f>SUMIF(114:114,E38,115:115)-SUMIF(114:114,C38,115:115)+100</f>
        <v>100</v>
      </c>
      <c r="G38" s="2610" t="s">
        <v>3105</v>
      </c>
      <c r="H38" s="434">
        <f>SUMIF(114:114,G38,115:115)-SUMIF(114:114,C38,115:115)+100</f>
        <v>100</v>
      </c>
      <c r="I38" s="2610" t="s">
        <v>3105</v>
      </c>
      <c r="J38" s="434">
        <f>SUMIF(114:114,I38,115:115)-SUMIF(114:114,C38,115:115)+100</f>
        <v>100</v>
      </c>
      <c r="K38" s="611">
        <v>5</v>
      </c>
      <c r="L38" s="1138"/>
      <c r="M38" s="1129"/>
      <c r="N38" s="1129"/>
      <c r="O38" s="1129"/>
      <c r="P38" s="3218" t="s">
        <v>2564</v>
      </c>
      <c r="Q38" s="1807" t="str">
        <f t="shared" si="11"/>
        <v>业态</v>
      </c>
      <c r="R38" s="769" t="s">
        <v>17</v>
      </c>
      <c r="S38" s="770">
        <f t="shared" si="12"/>
        <v>100</v>
      </c>
      <c r="T38" s="769" t="s">
        <v>17</v>
      </c>
      <c r="U38" s="770">
        <f t="shared" si="13"/>
        <v>100</v>
      </c>
      <c r="V38" s="769" t="s">
        <v>17</v>
      </c>
      <c r="W38" s="770">
        <f t="shared" si="14"/>
        <v>100</v>
      </c>
      <c r="X38" s="1810"/>
      <c r="Y38" s="3220" t="s">
        <v>2564</v>
      </c>
      <c r="Z38" s="1811" t="str">
        <f t="shared" si="15"/>
        <v>业态</v>
      </c>
      <c r="AA38" s="1808">
        <f t="shared" si="3"/>
        <v>1</v>
      </c>
      <c r="AB38" s="1808">
        <f t="shared" si="4"/>
        <v>1</v>
      </c>
      <c r="AC38" s="1808">
        <f t="shared" si="5"/>
        <v>1</v>
      </c>
    </row>
    <row r="39" spans="1:29" ht="15">
      <c r="A39" s="471"/>
      <c r="B39" s="421" t="s">
        <v>2664</v>
      </c>
      <c r="C39" s="2610" t="s">
        <v>3107</v>
      </c>
      <c r="D39" s="434">
        <v>100</v>
      </c>
      <c r="E39" s="2610" t="s">
        <v>3107</v>
      </c>
      <c r="F39" s="460">
        <f>SUMIF(116:116,E39,117:117)-SUMIF(116:116,C39,117:117)+100</f>
        <v>100</v>
      </c>
      <c r="G39" s="2610" t="s">
        <v>3107</v>
      </c>
      <c r="H39" s="434">
        <f>SUMIF(116:116,G39,117:117)-SUMIF(116:116,C39,117:117)+100</f>
        <v>100</v>
      </c>
      <c r="I39" s="2610" t="s">
        <v>3107</v>
      </c>
      <c r="J39" s="434">
        <f>SUMIF(116:116,I39,117:117)-SUMIF(116:116,C39,117:117)+100</f>
        <v>100</v>
      </c>
      <c r="K39" s="611">
        <v>15</v>
      </c>
      <c r="L39" s="1138"/>
      <c r="M39" s="1129"/>
      <c r="N39" s="1129"/>
      <c r="O39" s="1129"/>
      <c r="P39" s="3218"/>
      <c r="Q39" s="1807" t="str">
        <f t="shared" si="11"/>
        <v>层高</v>
      </c>
      <c r="R39" s="769" t="s">
        <v>17</v>
      </c>
      <c r="S39" s="770">
        <f t="shared" si="12"/>
        <v>100</v>
      </c>
      <c r="T39" s="769" t="s">
        <v>17</v>
      </c>
      <c r="U39" s="770">
        <f t="shared" si="13"/>
        <v>100</v>
      </c>
      <c r="V39" s="769" t="s">
        <v>17</v>
      </c>
      <c r="W39" s="770">
        <f t="shared" si="14"/>
        <v>100</v>
      </c>
      <c r="X39" s="1810"/>
      <c r="Y39" s="3220"/>
      <c r="Z39" s="1811" t="str">
        <f t="shared" si="15"/>
        <v>层高</v>
      </c>
      <c r="AA39" s="1808">
        <f t="shared" si="3"/>
        <v>1</v>
      </c>
      <c r="AB39" s="1808">
        <f t="shared" si="4"/>
        <v>1</v>
      </c>
      <c r="AC39" s="1808">
        <f t="shared" si="5"/>
        <v>1</v>
      </c>
    </row>
    <row r="40" spans="1:29" ht="15">
      <c r="A40" s="471"/>
      <c r="B40" s="421" t="s">
        <v>2665</v>
      </c>
      <c r="C40" s="2952"/>
      <c r="D40" s="434">
        <v>100</v>
      </c>
      <c r="E40" s="2952"/>
      <c r="F40" s="460">
        <f>SUMIF(118:118,E40,119:119)-SUMIF(118:118,C40,119:119)+100</f>
        <v>100</v>
      </c>
      <c r="G40" s="2952"/>
      <c r="H40" s="434">
        <f>SUMIF(118:118,G40,119:119)-SUMIF(118:118,C40,119:119)+100</f>
        <v>100</v>
      </c>
      <c r="I40" s="2952"/>
      <c r="J40" s="434">
        <f>SUMIF(118:118,I40,119:119)-SUMIF(118:118,C40,119:119)+100</f>
        <v>100</v>
      </c>
      <c r="K40" s="612"/>
      <c r="L40" s="1138"/>
      <c r="M40" s="1129"/>
      <c r="N40" s="1129"/>
      <c r="O40" s="1129"/>
      <c r="P40" s="3218"/>
      <c r="Q40" s="1807" t="str">
        <f t="shared" si="11"/>
        <v>单套建筑面积</v>
      </c>
      <c r="R40" s="769" t="s">
        <v>17</v>
      </c>
      <c r="S40" s="770">
        <f t="shared" si="12"/>
        <v>100</v>
      </c>
      <c r="T40" s="769" t="s">
        <v>17</v>
      </c>
      <c r="U40" s="770">
        <f t="shared" si="13"/>
        <v>100</v>
      </c>
      <c r="V40" s="769" t="s">
        <v>17</v>
      </c>
      <c r="W40" s="770">
        <f t="shared" si="14"/>
        <v>100</v>
      </c>
      <c r="X40" s="1810"/>
      <c r="Y40" s="3220"/>
      <c r="Z40" s="1811" t="str">
        <f t="shared" si="15"/>
        <v>单套建筑面积</v>
      </c>
      <c r="AA40" s="1808">
        <f t="shared" si="3"/>
        <v>1</v>
      </c>
      <c r="AB40" s="1808">
        <f t="shared" si="4"/>
        <v>1</v>
      </c>
      <c r="AC40" s="1808">
        <f t="shared" si="5"/>
        <v>1</v>
      </c>
    </row>
    <row r="41" spans="1:29" s="470" customFormat="1" ht="15">
      <c r="A41" s="467"/>
      <c r="B41" s="1809" t="s">
        <v>2666</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3</v>
      </c>
      <c r="L41" s="1136"/>
      <c r="M41" s="1139"/>
      <c r="N41" s="1139"/>
      <c r="O41" s="1139"/>
      <c r="P41" s="3218"/>
      <c r="Q41" s="771" t="str">
        <f t="shared" si="11"/>
        <v>进深比</v>
      </c>
      <c r="R41" s="772" t="s">
        <v>17</v>
      </c>
      <c r="S41" s="773">
        <f t="shared" si="12"/>
        <v>100</v>
      </c>
      <c r="T41" s="772" t="s">
        <v>17</v>
      </c>
      <c r="U41" s="773">
        <f t="shared" si="13"/>
        <v>100</v>
      </c>
      <c r="V41" s="772" t="s">
        <v>17</v>
      </c>
      <c r="W41" s="773">
        <f t="shared" si="14"/>
        <v>100</v>
      </c>
      <c r="X41" s="774"/>
      <c r="Y41" s="3220"/>
      <c r="Z41" s="775" t="str">
        <f t="shared" si="15"/>
        <v>进深比</v>
      </c>
      <c r="AA41" s="1808">
        <f t="shared" si="3"/>
        <v>1</v>
      </c>
      <c r="AB41" s="1808">
        <f t="shared" si="4"/>
        <v>1</v>
      </c>
      <c r="AC41" s="1808">
        <f t="shared" si="5"/>
        <v>1</v>
      </c>
    </row>
    <row r="42" spans="1:29" ht="15">
      <c r="A42" s="471"/>
      <c r="B42" s="421" t="s">
        <v>2667</v>
      </c>
      <c r="C42" s="2610" t="s">
        <v>3102</v>
      </c>
      <c r="D42" s="434">
        <v>100</v>
      </c>
      <c r="E42" s="2610" t="s">
        <v>3102</v>
      </c>
      <c r="F42" s="460">
        <f>SUMIF(122:122,E42,123:123)-SUMIF(122:122,C42,123:123)+100</f>
        <v>100</v>
      </c>
      <c r="G42" s="2610" t="s">
        <v>3102</v>
      </c>
      <c r="H42" s="434">
        <f>SUMIF(122:122,G42,123:123)-SUMIF(122:122,C42,123:123)+100</f>
        <v>100</v>
      </c>
      <c r="I42" s="2610" t="s">
        <v>3102</v>
      </c>
      <c r="J42" s="434">
        <f>SUMIF(122:122,I42,123:123)-SUMIF(122:122,C42,123:123)+100</f>
        <v>100</v>
      </c>
      <c r="K42" s="611">
        <v>2</v>
      </c>
      <c r="L42" s="1138"/>
      <c r="M42" s="1129"/>
      <c r="N42" s="1129"/>
      <c r="O42" s="1129"/>
      <c r="P42" s="3218"/>
      <c r="Q42" s="1807" t="str">
        <f t="shared" si="11"/>
        <v>内部装修</v>
      </c>
      <c r="R42" s="769" t="s">
        <v>17</v>
      </c>
      <c r="S42" s="770">
        <f t="shared" si="12"/>
        <v>100</v>
      </c>
      <c r="T42" s="769" t="s">
        <v>17</v>
      </c>
      <c r="U42" s="770">
        <f t="shared" si="13"/>
        <v>100</v>
      </c>
      <c r="V42" s="769" t="s">
        <v>17</v>
      </c>
      <c r="W42" s="770">
        <f t="shared" si="14"/>
        <v>100</v>
      </c>
      <c r="X42" s="1810"/>
      <c r="Y42" s="3220"/>
      <c r="Z42" s="1811" t="str">
        <f t="shared" si="15"/>
        <v>内部装修</v>
      </c>
      <c r="AA42" s="1808">
        <f t="shared" si="3"/>
        <v>1</v>
      </c>
      <c r="AB42" s="1808">
        <f t="shared" si="4"/>
        <v>1</v>
      </c>
      <c r="AC42" s="1808">
        <f t="shared" si="5"/>
        <v>1</v>
      </c>
    </row>
    <row r="43" spans="1:29" ht="15.75" thickBot="1">
      <c r="A43" s="471"/>
      <c r="B43" s="421" t="s">
        <v>2575</v>
      </c>
      <c r="C43" s="2610" t="s">
        <v>3091</v>
      </c>
      <c r="D43" s="434">
        <v>100</v>
      </c>
      <c r="E43" s="2610" t="s">
        <v>3091</v>
      </c>
      <c r="F43" s="460">
        <f>SUMIF(124:124,E43,125:125)-SUMIF(124:124,C43,125:125)+100</f>
        <v>100</v>
      </c>
      <c r="G43" s="2610" t="s">
        <v>3091</v>
      </c>
      <c r="H43" s="434">
        <f>SUMIF(124:124,G43,125:125)-SUMIF(124:124,C43,125:125)+100</f>
        <v>100</v>
      </c>
      <c r="I43" s="2610" t="s">
        <v>3091</v>
      </c>
      <c r="J43" s="434">
        <f>SUMIF(124:124,I43,125:125)-SUMIF(124:124,C43,125:125)+100</f>
        <v>100</v>
      </c>
      <c r="K43" s="611">
        <v>2</v>
      </c>
      <c r="L43" s="1138"/>
      <c r="M43" s="1129"/>
      <c r="N43" s="1129"/>
      <c r="O43" s="1129"/>
      <c r="P43" s="3218"/>
      <c r="Q43" s="1807" t="str">
        <f t="shared" si="11"/>
        <v>内部装修维护情况</v>
      </c>
      <c r="R43" s="769" t="s">
        <v>17</v>
      </c>
      <c r="S43" s="770">
        <f t="shared" si="12"/>
        <v>100</v>
      </c>
      <c r="T43" s="769" t="s">
        <v>17</v>
      </c>
      <c r="U43" s="770">
        <f t="shared" si="13"/>
        <v>100</v>
      </c>
      <c r="V43" s="769" t="s">
        <v>17</v>
      </c>
      <c r="W43" s="770">
        <f t="shared" si="14"/>
        <v>100</v>
      </c>
      <c r="X43" s="1810"/>
      <c r="Y43" s="3220"/>
      <c r="Z43" s="1811" t="str">
        <f t="shared" si="15"/>
        <v>内部装修维护情况</v>
      </c>
      <c r="AA43" s="1808">
        <f t="shared" si="3"/>
        <v>1</v>
      </c>
      <c r="AB43" s="1808">
        <f t="shared" si="4"/>
        <v>1</v>
      </c>
      <c r="AC43" s="1808">
        <f t="shared" si="5"/>
        <v>1</v>
      </c>
    </row>
    <row r="44" spans="1:29" s="117" customFormat="1" ht="15" hidden="1">
      <c r="A44" s="472"/>
      <c r="B44" s="1383"/>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18"/>
      <c r="Q44" s="1792">
        <f t="shared" si="11"/>
        <v>0</v>
      </c>
      <c r="R44" s="765" t="s">
        <v>17</v>
      </c>
      <c r="S44" s="766">
        <f t="shared" si="12"/>
        <v>100</v>
      </c>
      <c r="T44" s="765" t="s">
        <v>17</v>
      </c>
      <c r="U44" s="766">
        <f t="shared" si="13"/>
        <v>100</v>
      </c>
      <c r="V44" s="765" t="s">
        <v>17</v>
      </c>
      <c r="W44" s="766">
        <f t="shared" si="14"/>
        <v>100</v>
      </c>
      <c r="X44" s="767"/>
      <c r="Y44" s="3220"/>
      <c r="Z44" s="55">
        <f t="shared" si="15"/>
        <v>0</v>
      </c>
      <c r="AA44" s="768">
        <f t="shared" si="3"/>
        <v>1</v>
      </c>
      <c r="AB44" s="768">
        <f t="shared" si="4"/>
        <v>1</v>
      </c>
      <c r="AC44" s="768">
        <f t="shared" si="5"/>
        <v>1</v>
      </c>
    </row>
    <row r="45" spans="1:29" ht="15" hidden="1">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8"/>
      <c r="Q45" s="1807">
        <f t="shared" si="11"/>
        <v>0</v>
      </c>
      <c r="R45" s="769" t="s">
        <v>17</v>
      </c>
      <c r="S45" s="770">
        <f t="shared" si="12"/>
        <v>100</v>
      </c>
      <c r="T45" s="769" t="s">
        <v>17</v>
      </c>
      <c r="U45" s="770">
        <f t="shared" si="13"/>
        <v>100</v>
      </c>
      <c r="V45" s="769" t="s">
        <v>17</v>
      </c>
      <c r="W45" s="770">
        <f t="shared" si="14"/>
        <v>100</v>
      </c>
      <c r="X45" s="1810"/>
      <c r="Y45" s="3220"/>
      <c r="Z45" s="1811">
        <f t="shared" si="15"/>
        <v>0</v>
      </c>
      <c r="AA45" s="1808">
        <f t="shared" si="3"/>
        <v>1</v>
      </c>
      <c r="AB45" s="1808">
        <f t="shared" si="4"/>
        <v>1</v>
      </c>
      <c r="AC45" s="1808">
        <f t="shared" si="5"/>
        <v>1</v>
      </c>
    </row>
    <row r="46" spans="1:29" ht="15.75" hidden="1" thickBot="1">
      <c r="A46" s="477"/>
      <c r="B46" s="2599"/>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19"/>
      <c r="Q46" s="1807">
        <f t="shared" si="11"/>
        <v>0</v>
      </c>
      <c r="R46" s="769" t="s">
        <v>17</v>
      </c>
      <c r="S46" s="770">
        <f t="shared" si="12"/>
        <v>100</v>
      </c>
      <c r="T46" s="769" t="s">
        <v>17</v>
      </c>
      <c r="U46" s="770">
        <f t="shared" si="13"/>
        <v>100</v>
      </c>
      <c r="V46" s="769" t="s">
        <v>17</v>
      </c>
      <c r="W46" s="770">
        <f t="shared" si="14"/>
        <v>100</v>
      </c>
      <c r="X46" s="1810"/>
      <c r="Y46" s="3221"/>
      <c r="Z46" s="1811">
        <f t="shared" si="15"/>
        <v>0</v>
      </c>
      <c r="AA46" s="1808">
        <f t="shared" si="3"/>
        <v>1</v>
      </c>
      <c r="AB46" s="1808">
        <f t="shared" si="4"/>
        <v>1</v>
      </c>
      <c r="AC46" s="1808">
        <f t="shared" si="5"/>
        <v>1</v>
      </c>
    </row>
    <row r="47" spans="1:29" ht="15">
      <c r="A47" s="478" t="s">
        <v>2576</v>
      </c>
      <c r="B47" s="479"/>
      <c r="C47" s="1404" t="s">
        <v>1</v>
      </c>
      <c r="D47" s="1405"/>
      <c r="E47" s="1406">
        <f>ROUND(15000/1.3,0)</f>
        <v>11538</v>
      </c>
      <c r="F47" s="1407"/>
      <c r="G47" s="1408">
        <v>14000</v>
      </c>
      <c r="H47" s="1409"/>
      <c r="I47" s="1406">
        <v>14000</v>
      </c>
      <c r="J47" s="1409"/>
      <c r="K47" s="778"/>
      <c r="L47" s="1141"/>
      <c r="M47" s="1142"/>
      <c r="N47" s="1129"/>
      <c r="O47" s="1142"/>
      <c r="P47" s="3213" t="str">
        <f>A47</f>
        <v>成交单价（元/平方米）</v>
      </c>
      <c r="Q47" s="3213"/>
      <c r="R47" s="3208">
        <f>E47</f>
        <v>11538</v>
      </c>
      <c r="S47" s="3208"/>
      <c r="T47" s="3208">
        <f>G47</f>
        <v>14000</v>
      </c>
      <c r="U47" s="3208"/>
      <c r="V47" s="3208">
        <f>I47</f>
        <v>14000</v>
      </c>
      <c r="W47" s="3208"/>
      <c r="X47" s="754"/>
      <c r="Y47" s="776"/>
      <c r="Z47" s="754"/>
      <c r="AA47" s="754"/>
      <c r="AB47" s="754"/>
      <c r="AC47" s="754"/>
    </row>
    <row r="48" spans="1:29" ht="15.75" thickBot="1">
      <c r="A48" s="485" t="s">
        <v>2668</v>
      </c>
      <c r="B48" s="486"/>
      <c r="C48" s="1410">
        <f>R49</f>
        <v>11813</v>
      </c>
      <c r="D48" s="1411"/>
      <c r="E48" s="1412">
        <f>R48</f>
        <v>10777</v>
      </c>
      <c r="F48" s="1412"/>
      <c r="G48" s="1410">
        <f>T48</f>
        <v>12696</v>
      </c>
      <c r="H48" s="1411"/>
      <c r="I48" s="1412">
        <f>V48</f>
        <v>11967</v>
      </c>
      <c r="J48" s="1411"/>
      <c r="K48" s="779"/>
      <c r="L48" s="1141"/>
      <c r="M48" s="1142"/>
      <c r="N48" s="1129"/>
      <c r="O48" s="1142"/>
      <c r="P48" s="3213" t="str">
        <f>A48</f>
        <v>比较价值（元/平方米）</v>
      </c>
      <c r="Q48" s="3213"/>
      <c r="R48" s="3214">
        <f>IF(F1="售价",ROUND(PRODUCT(R47,AA7:AA46),0),ROUND(PRODUCT(R47,AA7:AA46),1))</f>
        <v>10777</v>
      </c>
      <c r="S48" s="3214"/>
      <c r="T48" s="3214">
        <f>IF(F1="售价",ROUND(PRODUCT(T47,AB7:AB46),0),ROUND(PRODUCT(T47,AB7:AB46),1))</f>
        <v>12696</v>
      </c>
      <c r="U48" s="3214"/>
      <c r="V48" s="3214">
        <f>IF(F1="售价",ROUND(PRODUCT(V47,AC7:AC46),0),ROUND(PRODUCT(V47,AC7:AC46),1))</f>
        <v>11967</v>
      </c>
      <c r="W48" s="3214"/>
      <c r="X48" s="754"/>
      <c r="Y48" s="754"/>
      <c r="Z48" s="754"/>
      <c r="AA48" s="754"/>
      <c r="AB48" s="754"/>
      <c r="AC48" s="754"/>
    </row>
    <row r="49" spans="1:29" ht="15.75" thickBot="1">
      <c r="A49" s="491" t="s">
        <v>2669</v>
      </c>
      <c r="B49" s="492"/>
      <c r="C49" s="1414">
        <f>R49</f>
        <v>11813</v>
      </c>
      <c r="D49" s="1414"/>
      <c r="E49" s="1414"/>
      <c r="F49" s="1414"/>
      <c r="G49" s="1414"/>
      <c r="H49" s="1414"/>
      <c r="I49" s="1414"/>
      <c r="J49" s="1414"/>
      <c r="K49" s="780"/>
      <c r="L49" s="1141"/>
      <c r="M49" s="1142"/>
      <c r="N49" s="1129"/>
      <c r="O49" s="1142"/>
      <c r="P49" s="3210" t="str">
        <f>A49</f>
        <v>估价对象XX用房的比较价值（楼面单价，元/平方米）</v>
      </c>
      <c r="Q49" s="3211"/>
      <c r="R49" s="3212">
        <f>IF(F1="售价",ROUND(AVERAGE(R48:V48),0),ROUND(AVERAGE(R48:V48),1))</f>
        <v>11813</v>
      </c>
      <c r="S49" s="3212"/>
      <c r="T49" s="3212"/>
      <c r="U49" s="3212"/>
      <c r="V49" s="3212"/>
      <c r="W49" s="3212"/>
      <c r="X49" s="754"/>
      <c r="Y49" s="754"/>
      <c r="Z49" s="754"/>
      <c r="AA49" s="754"/>
      <c r="AB49" s="754"/>
      <c r="AC49" s="754"/>
    </row>
    <row r="50" spans="1:29">
      <c r="A50" s="1142"/>
      <c r="B50" s="1142"/>
      <c r="C50" s="1142"/>
      <c r="D50" s="1142"/>
      <c r="E50" s="1142" t="s">
        <v>3151</v>
      </c>
      <c r="F50" s="1142"/>
      <c r="G50" s="1145" t="s">
        <v>3152</v>
      </c>
      <c r="H50" s="1142"/>
      <c r="I50" s="1145" t="s">
        <v>3154</v>
      </c>
      <c r="J50" s="1142"/>
      <c r="K50" s="1103"/>
      <c r="L50" s="1104"/>
      <c r="M50" s="1142"/>
      <c r="N50" s="1142"/>
      <c r="O50" s="1142"/>
      <c r="P50" s="672"/>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2"/>
      <c r="Q51" s="754"/>
      <c r="R51" s="754"/>
      <c r="S51" s="754"/>
      <c r="T51" s="754"/>
      <c r="U51" s="754"/>
      <c r="V51" s="754"/>
      <c r="W51" s="754"/>
      <c r="X51" s="754"/>
      <c r="Y51" s="754"/>
      <c r="Z51" s="754"/>
      <c r="AA51" s="754"/>
      <c r="AB51" s="754"/>
      <c r="AC51" s="754"/>
    </row>
    <row r="52" spans="1:29" ht="13.5" customHeight="1">
      <c r="A52" s="1142"/>
      <c r="B52" s="1142"/>
      <c r="C52" s="496" t="s">
        <v>2670</v>
      </c>
      <c r="D52" s="497"/>
      <c r="E52" s="498">
        <f>IF(E47&lt;E48,E48/E47-1,E47/E48-1)</f>
        <v>7.0613343230954806E-2</v>
      </c>
      <c r="F52" s="499" t="str">
        <f>IF(OR(E52&gt;=0.3,E52&lt;=-0.3),"超过30%","")</f>
        <v/>
      </c>
      <c r="G52" s="498">
        <f>IF(G47&lt;G48,G48/G47-1,G47/G48-1)</f>
        <v>0.10270951480781343</v>
      </c>
      <c r="H52" s="499" t="str">
        <f>IF(OR(G52&gt;=0.3,G52&lt;=-0.3),"超过30%","")</f>
        <v/>
      </c>
      <c r="I52" s="498">
        <f>IF(I47&lt;I48,I48/I47-1,I47/I48-1)</f>
        <v>0.16988384724659489</v>
      </c>
      <c r="J52" s="499" t="str">
        <f>IF(OR(I52&gt;=0.3,I52&lt;=-0.3),"超过30%","")</f>
        <v/>
      </c>
      <c r="K52" s="1103"/>
      <c r="L52" s="1104"/>
      <c r="M52" s="1142"/>
      <c r="N52" s="1142"/>
      <c r="O52" s="1142"/>
      <c r="P52" s="672"/>
      <c r="Q52" s="754"/>
      <c r="R52" s="754"/>
      <c r="S52" s="754"/>
      <c r="T52" s="754"/>
      <c r="U52" s="754"/>
      <c r="V52" s="754"/>
      <c r="W52" s="754"/>
      <c r="X52" s="754"/>
      <c r="Y52" s="754"/>
      <c r="Z52" s="754"/>
      <c r="AA52" s="754"/>
      <c r="AB52" s="754"/>
      <c r="AC52" s="754"/>
    </row>
    <row r="53" spans="1:29" ht="13.5" customHeight="1">
      <c r="A53" s="1142"/>
      <c r="B53" s="1142"/>
      <c r="C53" s="496" t="s">
        <v>2671</v>
      </c>
      <c r="D53" s="500"/>
      <c r="E53" s="498">
        <f>IF(E48&lt;G48,G48/E48-1,E48/G48-1)</f>
        <v>0.17806439639974014</v>
      </c>
      <c r="F53" s="499" t="str">
        <f>IF(OR(E53&gt;=0.2,E53&lt;=-0.2),"超过20%","")</f>
        <v/>
      </c>
      <c r="G53" s="498">
        <f>IF(G48&lt;I48,I48/G48-1,G48/I48-1)</f>
        <v>6.0917523188769085E-2</v>
      </c>
      <c r="H53" s="499" t="str">
        <f>IF(OR(G53&gt;=0.2,G53&lt;=-0.2),"超过20%","")</f>
        <v/>
      </c>
      <c r="I53" s="498">
        <f>IF(I48&lt;E48,E48/I48-1,I48/E48-1)</f>
        <v>0.11042033961213704</v>
      </c>
      <c r="J53" s="499" t="str">
        <f>IF(OR(I53&gt;=0.2,I53&lt;=-0.2),"超过20%","")</f>
        <v/>
      </c>
      <c r="K53" s="1103"/>
      <c r="L53" s="1104"/>
      <c r="M53" s="1142"/>
      <c r="N53" s="1142"/>
      <c r="O53" s="1142"/>
      <c r="P53" s="672"/>
      <c r="Q53" s="754"/>
      <c r="R53" s="754"/>
      <c r="S53" s="754"/>
      <c r="T53" s="754"/>
      <c r="U53" s="754"/>
      <c r="V53" s="754"/>
      <c r="W53" s="754"/>
      <c r="X53" s="754"/>
      <c r="Y53" s="754"/>
      <c r="Z53" s="754"/>
      <c r="AA53" s="754"/>
      <c r="AB53" s="754"/>
      <c r="AC53" s="754"/>
    </row>
    <row r="54" spans="1:29" s="501" customFormat="1" ht="13.5" customHeight="1">
      <c r="A54" s="1143"/>
      <c r="B54" s="1143"/>
      <c r="C54" s="496" t="s">
        <v>2672</v>
      </c>
      <c r="D54" s="500"/>
      <c r="E54" s="498">
        <f>IF(E47&lt;G47,G47/E47-1,E47/G47-1)</f>
        <v>0.21338186860807773</v>
      </c>
      <c r="F54" s="499" t="str">
        <f>IF(OR(E54&gt;=0.3,E54&lt;=-0.3),"超过30%","")</f>
        <v/>
      </c>
      <c r="G54" s="498">
        <f>IF(G47&lt;I47,I47/G47-1,G47/I47-1)</f>
        <v>0</v>
      </c>
      <c r="H54" s="499" t="str">
        <f>IF(OR(G54&gt;=0.3,G54&lt;=-0.3),"超过30%","")</f>
        <v/>
      </c>
      <c r="I54" s="498">
        <f>IF(I47&lt;E47,E47/I47-1,I47/E47-1)</f>
        <v>0.21338186860807773</v>
      </c>
      <c r="J54" s="499" t="str">
        <f>IF(OR(I54&gt;=0.3,I54&lt;=-0.3),"超过30%","")</f>
        <v/>
      </c>
      <c r="K54" s="1146"/>
      <c r="L54" s="1147"/>
      <c r="M54" s="1143"/>
      <c r="N54" s="1143"/>
      <c r="O54" s="1143"/>
      <c r="P54" s="2663"/>
      <c r="Q54" s="755"/>
      <c r="R54" s="755"/>
      <c r="S54" s="755"/>
      <c r="T54" s="755"/>
      <c r="U54" s="755"/>
      <c r="V54" s="755"/>
      <c r="W54" s="755"/>
      <c r="X54" s="755"/>
      <c r="Y54" s="755"/>
      <c r="Z54" s="755"/>
      <c r="AA54" s="755"/>
      <c r="AB54" s="755"/>
      <c r="AC54" s="755"/>
    </row>
    <row r="55" spans="1:29" s="501" customFormat="1">
      <c r="A55" s="1143"/>
      <c r="B55" s="1144"/>
      <c r="C55" s="1148"/>
      <c r="D55" s="1143"/>
      <c r="E55" s="1143"/>
      <c r="F55" s="1143"/>
      <c r="G55" s="1143"/>
      <c r="H55" s="1143"/>
      <c r="I55" s="1143"/>
      <c r="J55" s="1143"/>
      <c r="K55" s="1146"/>
      <c r="L55" s="1147"/>
      <c r="M55" s="1143"/>
      <c r="N55" s="1143"/>
      <c r="O55" s="1143"/>
      <c r="P55" s="2663"/>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2"/>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9"/>
      <c r="M57" s="1157"/>
      <c r="N57" s="1157"/>
      <c r="O57" s="1157"/>
      <c r="P57" s="2664"/>
      <c r="Q57" s="2665"/>
      <c r="R57" s="754"/>
      <c r="S57" s="754"/>
      <c r="T57" s="754"/>
      <c r="U57" s="754"/>
      <c r="V57" s="754"/>
      <c r="W57" s="754"/>
      <c r="X57" s="754"/>
      <c r="Y57" s="754"/>
      <c r="Z57" s="754"/>
      <c r="AA57" s="754"/>
      <c r="AB57" s="754"/>
      <c r="AC57" s="754"/>
    </row>
    <row r="58" spans="1:29" s="507" customFormat="1" ht="15">
      <c r="A58" s="504" t="s">
        <v>2547</v>
      </c>
      <c r="B58" s="505"/>
      <c r="C58" s="1571" t="str">
        <f>YEAR(C7)&amp;"-"&amp;MONTH(C7)</f>
        <v>2018-9</v>
      </c>
      <c r="D58" s="1572">
        <f>EDATE(C58,-1)</f>
        <v>43313</v>
      </c>
      <c r="E58" s="1572">
        <f t="shared" ref="E58:N58" si="16">EDATE(D58,-1)</f>
        <v>43282</v>
      </c>
      <c r="F58" s="1572">
        <f t="shared" si="16"/>
        <v>43252</v>
      </c>
      <c r="G58" s="1572">
        <f t="shared" si="16"/>
        <v>43221</v>
      </c>
      <c r="H58" s="1572">
        <f t="shared" si="16"/>
        <v>43191</v>
      </c>
      <c r="I58" s="1572">
        <f t="shared" si="16"/>
        <v>43160</v>
      </c>
      <c r="J58" s="1572">
        <f t="shared" si="16"/>
        <v>43132</v>
      </c>
      <c r="K58" s="1572">
        <f t="shared" si="16"/>
        <v>43101</v>
      </c>
      <c r="L58" s="1572">
        <f t="shared" si="16"/>
        <v>43070</v>
      </c>
      <c r="M58" s="1572">
        <f t="shared" si="16"/>
        <v>43040</v>
      </c>
      <c r="N58" s="1572">
        <f t="shared" si="16"/>
        <v>43009</v>
      </c>
      <c r="O58" s="1572">
        <f>EDATE(N58,-1)</f>
        <v>42979</v>
      </c>
      <c r="P58" s="1567"/>
    </row>
    <row r="59" spans="1:29" s="117" customFormat="1" ht="15">
      <c r="A59" s="508"/>
      <c r="B59" s="509"/>
      <c r="C59" s="1570">
        <v>100</v>
      </c>
      <c r="D59" s="511"/>
      <c r="E59" s="511"/>
      <c r="F59" s="511"/>
      <c r="G59" s="511"/>
      <c r="H59" s="511"/>
      <c r="I59" s="511"/>
      <c r="J59" s="511"/>
      <c r="K59" s="511"/>
      <c r="L59" s="511"/>
      <c r="M59" s="512"/>
      <c r="N59" s="511"/>
      <c r="O59" s="512"/>
      <c r="P59" s="2625"/>
    </row>
    <row r="60" spans="1:29" s="117" customFormat="1" ht="15.75" thickBot="1">
      <c r="A60" s="514" t="s">
        <v>2584</v>
      </c>
      <c r="B60" s="515"/>
      <c r="C60" s="516"/>
      <c r="D60" s="517"/>
      <c r="E60" s="517"/>
      <c r="F60" s="517"/>
      <c r="G60" s="517"/>
      <c r="H60" s="517"/>
      <c r="I60" s="517"/>
      <c r="J60" s="517"/>
      <c r="K60" s="517"/>
      <c r="L60" s="517"/>
      <c r="M60" s="518"/>
      <c r="N60" s="517"/>
      <c r="O60" s="518"/>
      <c r="P60" s="2625"/>
      <c r="Q60" s="503"/>
    </row>
    <row r="61" spans="1:29" s="117" customFormat="1" ht="15">
      <c r="A61" s="520" t="s">
        <v>2549</v>
      </c>
      <c r="B61" s="509"/>
      <c r="C61" s="521" t="s">
        <v>2651</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2587</v>
      </c>
      <c r="B63" s="527" t="s">
        <v>2553</v>
      </c>
      <c r="C63" s="528" t="str">
        <f>C9</f>
        <v>商业</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7"/>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27"/>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1"/>
      <c r="O67" s="1151"/>
      <c r="P67" s="2627"/>
      <c r="Q67" s="503"/>
    </row>
    <row r="68" spans="1:17" ht="15">
      <c r="A68" s="533"/>
      <c r="B68" s="547"/>
      <c r="C68" s="548">
        <v>0</v>
      </c>
      <c r="D68" s="548">
        <v>1</v>
      </c>
      <c r="E68" s="548">
        <v>2</v>
      </c>
      <c r="F68" s="548">
        <v>3</v>
      </c>
      <c r="G68" s="548">
        <v>4</v>
      </c>
      <c r="H68" s="548">
        <v>5</v>
      </c>
      <c r="I68" s="548">
        <v>6</v>
      </c>
      <c r="J68" s="548">
        <v>7</v>
      </c>
      <c r="K68" s="549"/>
      <c r="L68" s="550"/>
      <c r="M68" s="551"/>
      <c r="N68" s="1150"/>
      <c r="O68" s="1150"/>
      <c r="P68" s="2627"/>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1"/>
      <c r="O69" s="1151"/>
      <c r="P69" s="2627"/>
      <c r="Q69" s="503"/>
    </row>
    <row r="70" spans="1:17" s="470" customFormat="1" ht="15.75" hidden="1" thickTop="1">
      <c r="A70" s="552"/>
      <c r="B70" s="537">
        <f>B12</f>
        <v>0</v>
      </c>
      <c r="C70" s="553"/>
      <c r="D70" s="553"/>
      <c r="E70" s="553"/>
      <c r="F70" s="553"/>
      <c r="G70" s="553"/>
      <c r="H70" s="554"/>
      <c r="I70" s="554"/>
      <c r="J70" s="554"/>
      <c r="K70" s="554"/>
      <c r="L70" s="555"/>
      <c r="M70" s="556"/>
      <c r="N70" s="1152"/>
      <c r="O70" s="1152"/>
      <c r="P70" s="2628"/>
      <c r="Q70" s="558"/>
    </row>
    <row r="71" spans="1:17" s="470" customFormat="1" ht="15.75" hidden="1" thickBot="1">
      <c r="A71" s="552"/>
      <c r="B71" s="542"/>
      <c r="C71" s="559"/>
      <c r="D71" s="535"/>
      <c r="E71" s="535"/>
      <c r="F71" s="535"/>
      <c r="G71" s="535"/>
      <c r="H71" s="535"/>
      <c r="I71" s="535"/>
      <c r="J71" s="535"/>
      <c r="K71" s="535"/>
      <c r="L71" s="535"/>
      <c r="M71" s="536"/>
      <c r="N71" s="1151"/>
      <c r="O71" s="1151"/>
      <c r="P71" s="2628"/>
      <c r="Q71" s="558"/>
    </row>
    <row r="72" spans="1:17" s="470" customFormat="1" ht="15.75" hidden="1" thickTop="1">
      <c r="A72" s="552"/>
      <c r="B72" s="537">
        <f>B13</f>
        <v>0</v>
      </c>
      <c r="C72" s="553"/>
      <c r="D72" s="553"/>
      <c r="E72" s="553"/>
      <c r="F72" s="553"/>
      <c r="G72" s="553"/>
      <c r="H72" s="554"/>
      <c r="I72" s="554"/>
      <c r="J72" s="554"/>
      <c r="K72" s="554"/>
      <c r="L72" s="555"/>
      <c r="M72" s="556"/>
      <c r="N72" s="1152"/>
      <c r="O72" s="1152"/>
      <c r="P72" s="2629"/>
      <c r="Q72" s="560"/>
    </row>
    <row r="73" spans="1:17" s="470" customFormat="1" ht="15.75" hidden="1" thickBot="1">
      <c r="A73" s="552"/>
      <c r="B73" s="542"/>
      <c r="C73" s="559"/>
      <c r="D73" s="535"/>
      <c r="E73" s="535"/>
      <c r="F73" s="535"/>
      <c r="G73" s="559"/>
      <c r="H73" s="561"/>
      <c r="I73" s="561"/>
      <c r="J73" s="561"/>
      <c r="K73" s="561"/>
      <c r="L73" s="561"/>
      <c r="M73" s="562"/>
      <c r="N73" s="1152"/>
      <c r="O73" s="1152"/>
      <c r="P73" s="2628"/>
      <c r="Q73" s="558"/>
    </row>
    <row r="74" spans="1:17" s="470" customFormat="1" ht="15.75" hidden="1" thickTop="1">
      <c r="A74" s="552"/>
      <c r="B74" s="545">
        <f>B14</f>
        <v>0</v>
      </c>
      <c r="C74" s="553"/>
      <c r="D74" s="553"/>
      <c r="E74" s="553"/>
      <c r="F74" s="553"/>
      <c r="G74" s="522"/>
      <c r="H74" s="563"/>
      <c r="I74" s="563"/>
      <c r="J74" s="563"/>
      <c r="K74" s="563"/>
      <c r="L74" s="564"/>
      <c r="M74" s="565"/>
      <c r="N74" s="1152"/>
      <c r="O74" s="1152"/>
      <c r="P74" s="2630"/>
      <c r="Q74" s="558"/>
    </row>
    <row r="75" spans="1:17" s="470" customFormat="1" ht="15.75" hidden="1" thickBot="1">
      <c r="A75" s="567"/>
      <c r="B75" s="568"/>
      <c r="C75" s="569"/>
      <c r="D75" s="569"/>
      <c r="E75" s="569"/>
      <c r="F75" s="569"/>
      <c r="G75" s="569"/>
      <c r="H75" s="570"/>
      <c r="I75" s="570"/>
      <c r="J75" s="570"/>
      <c r="K75" s="570"/>
      <c r="L75" s="570"/>
      <c r="M75" s="571"/>
      <c r="N75" s="1152"/>
      <c r="O75" s="1152"/>
      <c r="P75" s="2628"/>
      <c r="Q75" s="558"/>
    </row>
    <row r="76" spans="1:17" ht="15" thickTop="1">
      <c r="A76" s="526" t="s">
        <v>2558</v>
      </c>
      <c r="B76" s="527" t="s">
        <v>2595</v>
      </c>
      <c r="C76" s="572" t="s">
        <v>2596</v>
      </c>
      <c r="D76" s="572" t="s">
        <v>2597</v>
      </c>
      <c r="E76" s="572" t="s">
        <v>2598</v>
      </c>
      <c r="F76" s="572" t="s">
        <v>2599</v>
      </c>
      <c r="G76" s="572" t="s">
        <v>2600</v>
      </c>
      <c r="H76" s="528"/>
      <c r="I76" s="528"/>
      <c r="J76" s="528"/>
      <c r="K76" s="573"/>
      <c r="L76" s="574"/>
      <c r="M76" s="575"/>
      <c r="N76" s="1150"/>
      <c r="O76" s="1150"/>
      <c r="P76" s="2631"/>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1"/>
      <c r="O77" s="1151"/>
      <c r="P77" s="2627"/>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7"/>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7"/>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7"/>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27"/>
      <c r="Q81" s="503"/>
    </row>
    <row r="82" spans="1:17" ht="15.75" thickTop="1">
      <c r="A82" s="533"/>
      <c r="B82" s="545" t="s">
        <v>2654</v>
      </c>
      <c r="C82" s="657" t="s">
        <v>2674</v>
      </c>
      <c r="D82" s="657" t="s">
        <v>2675</v>
      </c>
      <c r="E82" s="657" t="s">
        <v>2676</v>
      </c>
      <c r="F82" s="657" t="s">
        <v>2677</v>
      </c>
      <c r="G82" s="657" t="s">
        <v>2678</v>
      </c>
      <c r="H82" s="538"/>
      <c r="I82" s="538"/>
      <c r="J82" s="538"/>
      <c r="K82" s="538"/>
      <c r="L82" s="538"/>
      <c r="M82" s="1379"/>
      <c r="N82" s="1151"/>
      <c r="O82" s="1151"/>
      <c r="P82" s="2627"/>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1"/>
      <c r="O83" s="1151"/>
      <c r="P83" s="2627"/>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7"/>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27"/>
      <c r="Q85" s="503"/>
    </row>
    <row r="86" spans="1:17" s="117" customFormat="1" ht="15.75" thickTop="1">
      <c r="A86" s="578"/>
      <c r="B86" s="537" t="s">
        <v>2679</v>
      </c>
      <c r="C86" s="2948" t="s">
        <v>3094</v>
      </c>
      <c r="D86" s="553"/>
      <c r="E86" s="553"/>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7"/>
      <c r="Q87" s="503"/>
    </row>
    <row r="88" spans="1:17" s="117" customFormat="1" ht="15.75" thickTop="1">
      <c r="A88" s="578"/>
      <c r="B88" s="537" t="str">
        <f>B26</f>
        <v>平面位置/可视性</v>
      </c>
      <c r="C88" s="2948" t="s">
        <v>3095</v>
      </c>
      <c r="D88" s="2948" t="s">
        <v>3096</v>
      </c>
      <c r="E88" s="2948" t="s">
        <v>3150</v>
      </c>
      <c r="F88" s="2632"/>
      <c r="G88" s="553"/>
      <c r="H88" s="553"/>
      <c r="I88" s="553"/>
      <c r="J88" s="553"/>
      <c r="K88" s="553"/>
      <c r="L88" s="553"/>
      <c r="M88" s="580"/>
      <c r="N88" s="1149"/>
      <c r="O88" s="1149"/>
      <c r="P88" s="2627"/>
      <c r="Q88" s="503"/>
    </row>
    <row r="89" spans="1:17" s="117" customFormat="1" ht="15.75" thickBot="1">
      <c r="A89" s="578"/>
      <c r="B89" s="542"/>
      <c r="C89" s="559">
        <v>100</v>
      </c>
      <c r="D89" s="535">
        <v>95</v>
      </c>
      <c r="E89" s="535">
        <v>90</v>
      </c>
      <c r="F89" s="535"/>
      <c r="G89" s="535"/>
      <c r="H89" s="535"/>
      <c r="I89" s="535"/>
      <c r="J89" s="535"/>
      <c r="K89" s="535"/>
      <c r="L89" s="535"/>
      <c r="M89" s="535"/>
      <c r="N89" s="1151"/>
      <c r="O89" s="1151"/>
      <c r="P89" s="2627"/>
      <c r="Q89" s="503"/>
    </row>
    <row r="90" spans="1:17" s="470" customFormat="1" ht="15.75" thickTop="1">
      <c r="A90" s="552"/>
      <c r="B90" s="537" t="str">
        <f>B27</f>
        <v>人流量</v>
      </c>
      <c r="C90" s="2948" t="s">
        <v>3110</v>
      </c>
      <c r="D90" s="2948" t="s">
        <v>3097</v>
      </c>
      <c r="E90" s="2948" t="s">
        <v>3096</v>
      </c>
      <c r="F90" s="2948" t="s">
        <v>3144</v>
      </c>
      <c r="G90" s="553"/>
      <c r="H90" s="554"/>
      <c r="I90" s="554"/>
      <c r="J90" s="554"/>
      <c r="K90" s="554"/>
      <c r="L90" s="555"/>
      <c r="M90" s="556"/>
      <c r="N90" s="1152"/>
      <c r="O90" s="1152"/>
      <c r="P90" s="2628"/>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2"/>
      <c r="O91" s="1152"/>
      <c r="P91" s="2628"/>
      <c r="Q91" s="558"/>
    </row>
    <row r="92" spans="1:17" ht="15.75" thickTop="1">
      <c r="A92" s="533"/>
      <c r="B92" s="537" t="str">
        <f>B28</f>
        <v>楼层</v>
      </c>
      <c r="C92" s="553" t="s">
        <v>3137</v>
      </c>
      <c r="D92" s="553" t="s">
        <v>3138</v>
      </c>
      <c r="E92" s="553"/>
      <c r="F92" s="553"/>
      <c r="G92" s="553"/>
      <c r="H92" s="553"/>
      <c r="I92" s="553"/>
      <c r="J92" s="553"/>
      <c r="K92" s="553"/>
      <c r="L92" s="579"/>
      <c r="M92" s="580"/>
      <c r="N92" s="1150"/>
      <c r="O92" s="1150"/>
      <c r="P92" s="2627"/>
      <c r="Q92" s="503"/>
    </row>
    <row r="93" spans="1:17" ht="15.75" thickBot="1">
      <c r="A93" s="533"/>
      <c r="B93" s="542"/>
      <c r="C93" s="535">
        <v>100</v>
      </c>
      <c r="D93" s="535">
        <v>130</v>
      </c>
      <c r="E93" s="535"/>
      <c r="F93" s="535"/>
      <c r="G93" s="535"/>
      <c r="H93" s="535"/>
      <c r="I93" s="535"/>
      <c r="J93" s="535"/>
      <c r="K93" s="535"/>
      <c r="L93" s="535"/>
      <c r="M93" s="536"/>
      <c r="N93" s="1151"/>
      <c r="O93" s="1151"/>
      <c r="P93" s="2627"/>
      <c r="Q93" s="503"/>
    </row>
    <row r="94" spans="1:17" ht="15.75" hidden="1" thickTop="1">
      <c r="A94" s="533"/>
      <c r="B94" s="537">
        <f>B29</f>
        <v>0</v>
      </c>
      <c r="C94" s="553"/>
      <c r="D94" s="553"/>
      <c r="E94" s="553"/>
      <c r="F94" s="553"/>
      <c r="G94" s="582"/>
      <c r="H94" s="582"/>
      <c r="I94" s="582"/>
      <c r="J94" s="582"/>
      <c r="K94" s="583"/>
      <c r="L94" s="584"/>
      <c r="M94" s="585"/>
      <c r="N94" s="1150"/>
      <c r="O94" s="1150"/>
      <c r="P94" s="2627"/>
      <c r="Q94" s="503"/>
    </row>
    <row r="95" spans="1:17" ht="15.75" hidden="1" thickBot="1">
      <c r="A95" s="533"/>
      <c r="B95" s="542"/>
      <c r="C95" s="559"/>
      <c r="D95" s="535"/>
      <c r="E95" s="535"/>
      <c r="F95" s="535"/>
      <c r="G95" s="535"/>
      <c r="H95" s="535"/>
      <c r="I95" s="535"/>
      <c r="J95" s="535"/>
      <c r="K95" s="535"/>
      <c r="L95" s="535"/>
      <c r="M95" s="536"/>
      <c r="N95" s="1151"/>
      <c r="O95" s="1151"/>
      <c r="P95" s="2627"/>
      <c r="Q95" s="503"/>
    </row>
    <row r="96" spans="1:17" ht="15.75" hidden="1" thickTop="1">
      <c r="A96" s="533"/>
      <c r="B96" s="537">
        <f>B30</f>
        <v>0</v>
      </c>
      <c r="C96" s="553"/>
      <c r="D96" s="553"/>
      <c r="E96" s="553"/>
      <c r="F96" s="553"/>
      <c r="G96" s="582"/>
      <c r="H96" s="582"/>
      <c r="I96" s="582"/>
      <c r="J96" s="582"/>
      <c r="K96" s="583"/>
      <c r="L96" s="584"/>
      <c r="M96" s="585"/>
      <c r="N96" s="1150"/>
      <c r="O96" s="1150"/>
      <c r="P96" s="2627"/>
      <c r="Q96" s="503"/>
    </row>
    <row r="97" spans="1:17" ht="15.75" hidden="1" thickBot="1">
      <c r="A97" s="533"/>
      <c r="B97" s="542"/>
      <c r="C97" s="559"/>
      <c r="D97" s="535"/>
      <c r="E97" s="535"/>
      <c r="F97" s="535"/>
      <c r="G97" s="535"/>
      <c r="H97" s="535"/>
      <c r="I97" s="535"/>
      <c r="J97" s="535"/>
      <c r="K97" s="535"/>
      <c r="L97" s="535"/>
      <c r="M97" s="536"/>
      <c r="N97" s="1151"/>
      <c r="O97" s="1151"/>
      <c r="P97" s="2627"/>
      <c r="Q97" s="503"/>
    </row>
    <row r="98" spans="1:17" ht="15.75" hidden="1" thickTop="1">
      <c r="A98" s="533"/>
      <c r="B98" s="545">
        <f>B31</f>
        <v>0</v>
      </c>
      <c r="C98" s="553"/>
      <c r="D98" s="553"/>
      <c r="E98" s="553"/>
      <c r="F98" s="553"/>
      <c r="G98" s="586"/>
      <c r="H98" s="586"/>
      <c r="I98" s="586"/>
      <c r="J98" s="586"/>
      <c r="K98" s="587"/>
      <c r="L98" s="588"/>
      <c r="M98" s="589"/>
      <c r="N98" s="1150"/>
      <c r="O98" s="1150"/>
      <c r="P98" s="2627"/>
      <c r="Q98" s="503"/>
    </row>
    <row r="99" spans="1:17" ht="15.75" hidden="1" thickBot="1">
      <c r="A99" s="2633"/>
      <c r="B99" s="568"/>
      <c r="C99" s="569"/>
      <c r="D99" s="569"/>
      <c r="E99" s="569"/>
      <c r="F99" s="569"/>
      <c r="G99" s="590"/>
      <c r="H99" s="590"/>
      <c r="I99" s="590"/>
      <c r="J99" s="590"/>
      <c r="K99" s="590"/>
      <c r="L99" s="590"/>
      <c r="M99" s="591"/>
      <c r="N99" s="1151"/>
      <c r="O99" s="1151"/>
      <c r="P99" s="2627"/>
      <c r="Q99" s="503"/>
    </row>
    <row r="100" spans="1:17" ht="15" thickTop="1">
      <c r="A100" s="526" t="s">
        <v>2562</v>
      </c>
      <c r="B100" s="527" t="s">
        <v>2680</v>
      </c>
      <c r="C100" s="2949" t="s">
        <v>3098</v>
      </c>
      <c r="D100" s="2949" t="s">
        <v>3141</v>
      </c>
      <c r="E100" s="2949" t="s">
        <v>3142</v>
      </c>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27"/>
      <c r="Q101" s="503"/>
    </row>
    <row r="102" spans="1:17" ht="16.5" thickTop="1" thickBot="1">
      <c r="A102" s="533"/>
      <c r="B102" s="537" t="s">
        <v>2612</v>
      </c>
      <c r="C102" s="577" t="str">
        <f>C103&amp;"(含)"&amp;"-"&amp;D103</f>
        <v>0(含)-100</v>
      </c>
      <c r="D102" s="577" t="str">
        <f t="shared" ref="D102:L102" si="23">D103&amp;"(含)"&amp;"-"&amp;E103</f>
        <v>100(含)-500</v>
      </c>
      <c r="E102" s="577" t="str">
        <f t="shared" si="23"/>
        <v>500(含)-1000</v>
      </c>
      <c r="F102" s="577" t="str">
        <f t="shared" si="23"/>
        <v>1000(含)-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49"/>
      <c r="O102" s="1149"/>
      <c r="P102" s="2627"/>
      <c r="Q102" s="503"/>
    </row>
    <row r="103" spans="1:17" s="470" customFormat="1" ht="15" thickTop="1">
      <c r="A103" s="592"/>
      <c r="B103" s="593"/>
      <c r="C103" s="624">
        <v>0</v>
      </c>
      <c r="D103" s="624">
        <v>100</v>
      </c>
      <c r="E103" s="624">
        <v>500</v>
      </c>
      <c r="F103" s="624">
        <v>1000</v>
      </c>
      <c r="G103" s="624"/>
      <c r="H103" s="594"/>
      <c r="I103" s="594"/>
      <c r="J103" s="594"/>
      <c r="K103" s="594"/>
      <c r="L103" s="596"/>
      <c r="M103" s="597"/>
      <c r="N103" s="1152"/>
      <c r="O103" s="1152"/>
      <c r="P103" s="2628"/>
      <c r="Q103" s="558"/>
    </row>
    <row r="104" spans="1:17" s="470" customFormat="1" ht="15.75" thickBot="1">
      <c r="A104" s="552"/>
      <c r="B104" s="542"/>
      <c r="C104" s="559">
        <v>100</v>
      </c>
      <c r="D104" s="535">
        <v>97</v>
      </c>
      <c r="E104" s="559">
        <v>94</v>
      </c>
      <c r="F104" s="535">
        <v>91</v>
      </c>
      <c r="G104" s="559"/>
      <c r="H104" s="535"/>
      <c r="I104" s="559"/>
      <c r="J104" s="535"/>
      <c r="K104" s="559"/>
      <c r="L104" s="535"/>
      <c r="M104" s="536"/>
      <c r="N104" s="1151"/>
      <c r="O104" s="1151"/>
      <c r="P104" s="2628"/>
      <c r="Q104" s="558"/>
    </row>
    <row r="105" spans="1:17" ht="15" thickTop="1">
      <c r="A105" s="598"/>
      <c r="B105" s="537" t="s">
        <v>2613</v>
      </c>
      <c r="C105" s="2948" t="s">
        <v>3088</v>
      </c>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1"/>
      <c r="O106" s="1151"/>
      <c r="P106" s="2627"/>
      <c r="Q106" s="503"/>
    </row>
    <row r="107" spans="1:17" ht="15" thickTop="1">
      <c r="A107" s="598"/>
      <c r="B107" s="537" t="s">
        <v>2615</v>
      </c>
      <c r="C107" s="2948" t="s">
        <v>3100</v>
      </c>
      <c r="D107" s="553"/>
      <c r="E107" s="553"/>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1"/>
      <c r="O108" s="1151"/>
      <c r="P108" s="2627"/>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7"/>
      <c r="Q109" s="503"/>
    </row>
    <row r="110" spans="1:17">
      <c r="A110" s="598"/>
      <c r="B110" s="545"/>
      <c r="C110" s="602">
        <v>0.5</v>
      </c>
      <c r="D110" s="602">
        <v>0.6</v>
      </c>
      <c r="E110" s="602">
        <v>0.7</v>
      </c>
      <c r="F110" s="602">
        <v>0.8</v>
      </c>
      <c r="G110" s="602">
        <v>0.9</v>
      </c>
      <c r="H110" s="602">
        <v>1.0001</v>
      </c>
      <c r="I110" s="620"/>
      <c r="J110" s="620"/>
      <c r="K110" s="621"/>
      <c r="L110" s="622"/>
      <c r="M110" s="623"/>
      <c r="N110" s="1150"/>
      <c r="O110" s="1150"/>
      <c r="P110" s="2627"/>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1"/>
      <c r="O111" s="1151"/>
      <c r="P111" s="2627"/>
      <c r="Q111" s="503"/>
    </row>
    <row r="112" spans="1:17" s="470" customFormat="1" ht="15" thickTop="1">
      <c r="A112" s="592"/>
      <c r="B112" s="537" t="s">
        <v>2617</v>
      </c>
      <c r="C112" s="2948" t="s">
        <v>3101</v>
      </c>
      <c r="D112" s="553"/>
      <c r="E112" s="553"/>
      <c r="F112" s="553"/>
      <c r="G112" s="553"/>
      <c r="H112" s="582"/>
      <c r="I112" s="582"/>
      <c r="J112" s="582"/>
      <c r="K112" s="583"/>
      <c r="L112" s="584"/>
      <c r="M112" s="585"/>
      <c r="N112" s="1152"/>
      <c r="O112" s="1152"/>
      <c r="P112" s="2628"/>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28"/>
      <c r="Q113" s="558"/>
    </row>
    <row r="114" spans="1:17" ht="15" thickTop="1">
      <c r="A114" s="598"/>
      <c r="B114" s="537" t="s">
        <v>2681</v>
      </c>
      <c r="C114" s="2948" t="s">
        <v>3104</v>
      </c>
      <c r="D114" s="2948" t="s">
        <v>3106</v>
      </c>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27"/>
      <c r="Q115" s="503"/>
    </row>
    <row r="116" spans="1:17" ht="15" thickTop="1">
      <c r="A116" s="598"/>
      <c r="B116" s="537" t="s">
        <v>2682</v>
      </c>
      <c r="C116" s="2948" t="s">
        <v>3109</v>
      </c>
      <c r="D116" s="2948" t="s">
        <v>3108</v>
      </c>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1"/>
      <c r="O117" s="1151"/>
      <c r="P117" s="2627"/>
      <c r="Q117" s="503"/>
    </row>
    <row r="118" spans="1:17" ht="15" thickTop="1">
      <c r="A118" s="598"/>
      <c r="B118" s="537" t="s">
        <v>2683</v>
      </c>
      <c r="C118" s="624">
        <v>0</v>
      </c>
      <c r="D118" s="624">
        <v>100</v>
      </c>
      <c r="E118" s="624">
        <v>300</v>
      </c>
      <c r="F118" s="624">
        <v>500</v>
      </c>
      <c r="G118" s="624">
        <v>1000</v>
      </c>
      <c r="H118" s="554"/>
      <c r="I118" s="554"/>
      <c r="J118" s="554"/>
      <c r="K118" s="554"/>
      <c r="L118" s="555"/>
      <c r="M118" s="556"/>
      <c r="N118" s="1150"/>
      <c r="O118" s="1150"/>
      <c r="P118" s="2627"/>
      <c r="Q118" s="503"/>
    </row>
    <row r="119" spans="1:17" ht="15.75" thickBot="1">
      <c r="A119" s="533"/>
      <c r="B119" s="542"/>
      <c r="C119" s="559">
        <v>100</v>
      </c>
      <c r="D119" s="535">
        <v>97</v>
      </c>
      <c r="E119" s="559">
        <v>94</v>
      </c>
      <c r="F119" s="535">
        <v>91</v>
      </c>
      <c r="G119" s="559">
        <v>88</v>
      </c>
      <c r="H119" s="535"/>
      <c r="I119" s="535"/>
      <c r="J119" s="535"/>
      <c r="K119" s="535"/>
      <c r="L119" s="535"/>
      <c r="M119" s="536"/>
      <c r="N119" s="1151"/>
      <c r="O119" s="1151"/>
      <c r="P119" s="2627"/>
      <c r="Q119" s="503"/>
    </row>
    <row r="120" spans="1:17" s="470" customFormat="1" ht="15" thickTop="1">
      <c r="A120" s="592"/>
      <c r="B120" s="537" t="s">
        <v>2684</v>
      </c>
      <c r="C120" s="2950" t="s">
        <v>3095</v>
      </c>
      <c r="D120" s="582"/>
      <c r="E120" s="582"/>
      <c r="F120" s="582"/>
      <c r="G120" s="554"/>
      <c r="H120" s="554"/>
      <c r="I120" s="554"/>
      <c r="J120" s="554"/>
      <c r="K120" s="554"/>
      <c r="L120" s="555"/>
      <c r="M120" s="556"/>
      <c r="N120" s="1152"/>
      <c r="O120" s="1152"/>
      <c r="P120" s="2628"/>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2"/>
      <c r="O121" s="1152"/>
      <c r="P121" s="2628"/>
      <c r="Q121" s="558"/>
    </row>
    <row r="122" spans="1:17" ht="15" thickTop="1">
      <c r="A122" s="598"/>
      <c r="B122" s="537" t="s">
        <v>2619</v>
      </c>
      <c r="C122" s="2948" t="s">
        <v>3103</v>
      </c>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7"/>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7"/>
      <c r="Q125" s="503"/>
    </row>
    <row r="126" spans="1:17" s="470" customFormat="1" ht="15" hidden="1" thickTop="1">
      <c r="A126" s="592"/>
      <c r="B126" s="537">
        <f>B44</f>
        <v>0</v>
      </c>
      <c r="C126" s="553"/>
      <c r="D126" s="553"/>
      <c r="E126" s="553"/>
      <c r="F126" s="553"/>
      <c r="G126" s="553"/>
      <c r="H126" s="554"/>
      <c r="I126" s="554"/>
      <c r="J126" s="554"/>
      <c r="K126" s="554"/>
      <c r="L126" s="555"/>
      <c r="M126" s="556"/>
      <c r="N126" s="1152"/>
      <c r="O126" s="1152"/>
      <c r="P126" s="2628"/>
      <c r="Q126" s="558"/>
    </row>
    <row r="127" spans="1:17" s="470" customFormat="1" ht="15.75" hidden="1" thickBot="1">
      <c r="A127" s="552"/>
      <c r="B127" s="542"/>
      <c r="C127" s="559"/>
      <c r="D127" s="535"/>
      <c r="E127" s="535"/>
      <c r="F127" s="535"/>
      <c r="G127" s="559"/>
      <c r="H127" s="561"/>
      <c r="I127" s="561"/>
      <c r="J127" s="561"/>
      <c r="K127" s="561"/>
      <c r="L127" s="561"/>
      <c r="M127" s="562"/>
      <c r="N127" s="1152"/>
      <c r="O127" s="1152"/>
      <c r="P127" s="2628"/>
      <c r="Q127" s="558"/>
    </row>
    <row r="128" spans="1:17" ht="15" hidden="1" thickTop="1">
      <c r="A128" s="598"/>
      <c r="B128" s="537">
        <f>B45</f>
        <v>0</v>
      </c>
      <c r="C128" s="553"/>
      <c r="D128" s="553"/>
      <c r="E128" s="553"/>
      <c r="F128" s="553"/>
      <c r="G128" s="582"/>
      <c r="H128" s="582"/>
      <c r="I128" s="582"/>
      <c r="J128" s="582"/>
      <c r="K128" s="583"/>
      <c r="L128" s="584"/>
      <c r="M128" s="585"/>
      <c r="N128" s="1150"/>
      <c r="O128" s="1150"/>
      <c r="P128" s="2627"/>
      <c r="Q128" s="503"/>
    </row>
    <row r="129" spans="1:17" ht="15.75" hidden="1" thickBot="1">
      <c r="A129" s="533"/>
      <c r="B129" s="542"/>
      <c r="C129" s="559"/>
      <c r="D129" s="535"/>
      <c r="E129" s="535"/>
      <c r="F129" s="535"/>
      <c r="G129" s="535"/>
      <c r="H129" s="535"/>
      <c r="I129" s="535"/>
      <c r="J129" s="535"/>
      <c r="K129" s="535"/>
      <c r="L129" s="535"/>
      <c r="M129" s="536"/>
      <c r="N129" s="1151"/>
      <c r="O129" s="1151"/>
      <c r="P129" s="2627"/>
      <c r="Q129" s="503"/>
    </row>
    <row r="130" spans="1:17" ht="15" hidden="1" thickTop="1">
      <c r="A130" s="598"/>
      <c r="B130" s="545">
        <f>B46</f>
        <v>0</v>
      </c>
      <c r="C130" s="553"/>
      <c r="D130" s="553"/>
      <c r="E130" s="553"/>
      <c r="F130" s="553"/>
      <c r="G130" s="586"/>
      <c r="H130" s="586"/>
      <c r="I130" s="586"/>
      <c r="J130" s="586"/>
      <c r="K130" s="522"/>
      <c r="L130" s="523"/>
      <c r="M130" s="589"/>
      <c r="N130" s="1150"/>
      <c r="O130" s="1150"/>
      <c r="P130" s="2627"/>
      <c r="Q130" s="503"/>
    </row>
    <row r="131" spans="1:17" ht="15.75" hidden="1" thickBot="1">
      <c r="A131" s="2633"/>
      <c r="B131" s="568"/>
      <c r="C131" s="569"/>
      <c r="D131" s="569"/>
      <c r="E131" s="569"/>
      <c r="F131" s="569"/>
      <c r="G131" s="590"/>
      <c r="H131" s="590"/>
      <c r="I131" s="590"/>
      <c r="J131" s="590"/>
      <c r="K131" s="590"/>
      <c r="L131" s="590"/>
      <c r="M131" s="591"/>
      <c r="N131" s="1151"/>
      <c r="O131" s="1151"/>
      <c r="P131" s="2627"/>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2527</v>
      </c>
      <c r="B1" s="2666" t="s">
        <v>2685</v>
      </c>
      <c r="C1" s="1617" t="s">
        <v>2529</v>
      </c>
      <c r="D1" s="1618"/>
      <c r="E1" s="1627"/>
      <c r="F1" s="2581"/>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IF(C2="——",ROUND(C50*D3/10000,0),ROUND(C50*D3/10000,0)-D2)</f>
        <v>#DIV/0!</v>
      </c>
      <c r="C2" s="2583"/>
      <c r="D2" s="1362" t="e">
        <f ca="1">SUMIF(INDIRECT("'"&amp;F2&amp;"'"&amp;"!A:A"),"承租人权益价值",INDIRECT("'"&amp;F2&amp;"'"&amp;"!c:c"))</f>
        <v>#REF!</v>
      </c>
      <c r="E2" s="2584" t="s">
        <v>2327</v>
      </c>
      <c r="F2" s="2585"/>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2328</v>
      </c>
      <c r="B3" s="608" t="e">
        <f ca="1">IF(C2="——",C50,ROUND(B2*10000/D3,0))</f>
        <v>#DIV/0!</v>
      </c>
      <c r="C3" s="399" t="s">
        <v>2643</v>
      </c>
      <c r="D3" s="398">
        <f>IF(D1="",'数据-汇总表'!E3,SUMIF('数据-汇总表'!$C19:$C33,D1,'数据-汇总表'!$E19:$E33))</f>
        <v>7918.4</v>
      </c>
      <c r="E3" s="2660"/>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34" t="s">
        <v>2650</v>
      </c>
      <c r="Q4" s="3235"/>
      <c r="R4" s="3229" t="s">
        <v>2646</v>
      </c>
      <c r="S4" s="3230"/>
      <c r="T4" s="3229" t="s">
        <v>2647</v>
      </c>
      <c r="U4" s="3230"/>
      <c r="V4" s="3238" t="s">
        <v>2648</v>
      </c>
      <c r="W4" s="3238"/>
      <c r="X4" s="2667"/>
      <c r="Y4" s="3229" t="s">
        <v>2650</v>
      </c>
      <c r="Z4" s="3230"/>
      <c r="AA4" s="3228" t="s">
        <v>2646</v>
      </c>
      <c r="AB4" s="3228" t="s">
        <v>2647</v>
      </c>
      <c r="AC4" s="3231" t="s">
        <v>2648</v>
      </c>
    </row>
    <row r="5" spans="1:29" ht="15">
      <c r="A5" s="403"/>
      <c r="B5" s="404"/>
      <c r="C5" s="3189" t="s">
        <v>2541</v>
      </c>
      <c r="D5" s="3190"/>
      <c r="E5" s="3187" t="s">
        <v>2542</v>
      </c>
      <c r="F5" s="3188"/>
      <c r="G5" s="3189" t="s">
        <v>2543</v>
      </c>
      <c r="H5" s="3190"/>
      <c r="I5" s="3189" t="s">
        <v>2544</v>
      </c>
      <c r="J5" s="3190"/>
      <c r="K5" s="609"/>
      <c r="L5" s="1128"/>
      <c r="M5" s="1129"/>
      <c r="N5" s="1129"/>
      <c r="O5" s="1129"/>
      <c r="P5" s="3236"/>
      <c r="Q5" s="3203"/>
      <c r="R5" s="3185"/>
      <c r="S5" s="3186"/>
      <c r="T5" s="3185"/>
      <c r="U5" s="3186"/>
      <c r="V5" s="3208"/>
      <c r="W5" s="3208"/>
      <c r="X5" s="1810"/>
      <c r="Y5" s="3185"/>
      <c r="Z5" s="3186"/>
      <c r="AA5" s="3179"/>
      <c r="AB5" s="3179"/>
      <c r="AC5" s="3232"/>
    </row>
    <row r="6" spans="1:29" ht="15.75" thickBot="1">
      <c r="A6" s="405"/>
      <c r="B6" s="406"/>
      <c r="C6" s="3191" t="s">
        <v>2545</v>
      </c>
      <c r="D6" s="3192"/>
      <c r="E6" s="3193" t="s">
        <v>2545</v>
      </c>
      <c r="F6" s="3194"/>
      <c r="G6" s="3191" t="s">
        <v>2545</v>
      </c>
      <c r="H6" s="3192"/>
      <c r="I6" s="3191" t="s">
        <v>2545</v>
      </c>
      <c r="J6" s="3192"/>
      <c r="K6" s="609" t="s">
        <v>2546</v>
      </c>
      <c r="L6" s="1128"/>
      <c r="M6" s="1129"/>
      <c r="N6" s="1129"/>
      <c r="O6" s="1129"/>
      <c r="P6" s="3237"/>
      <c r="Q6" s="3205"/>
      <c r="R6" s="3185"/>
      <c r="S6" s="3186"/>
      <c r="T6" s="3206"/>
      <c r="U6" s="3207"/>
      <c r="V6" s="3208"/>
      <c r="W6" s="3208"/>
      <c r="X6" s="1810"/>
      <c r="Y6" s="3206"/>
      <c r="Z6" s="3207"/>
      <c r="AA6" s="3180"/>
      <c r="AB6" s="3180"/>
      <c r="AC6" s="3233"/>
    </row>
    <row r="7" spans="1:29" s="117" customFormat="1" ht="15.75" thickBot="1">
      <c r="A7" s="407" t="s">
        <v>2547</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39" t="s">
        <v>2548</v>
      </c>
      <c r="Q7" s="3209"/>
      <c r="R7" s="765" t="s">
        <v>17</v>
      </c>
      <c r="S7" s="766">
        <f t="shared" ref="S7:S15" si="0">F7</f>
        <v>0</v>
      </c>
      <c r="T7" s="765" t="s">
        <v>17</v>
      </c>
      <c r="U7" s="766">
        <f t="shared" ref="U7:U15" si="1">H7</f>
        <v>0</v>
      </c>
      <c r="V7" s="765" t="s">
        <v>17</v>
      </c>
      <c r="W7" s="766">
        <f t="shared" ref="W7:W15" si="2">J7</f>
        <v>0</v>
      </c>
      <c r="X7" s="767"/>
      <c r="Y7" s="3181" t="s">
        <v>2548</v>
      </c>
      <c r="Z7" s="3182"/>
      <c r="AA7" s="768" t="e">
        <f>D7/F7</f>
        <v>#DIV/0!</v>
      </c>
      <c r="AB7" s="768" t="e">
        <f>D7/H7</f>
        <v>#DIV/0!</v>
      </c>
      <c r="AC7" s="2668"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39" t="s">
        <v>2551</v>
      </c>
      <c r="Q8" s="3182"/>
      <c r="R8" s="765" t="s">
        <v>17</v>
      </c>
      <c r="S8" s="766">
        <f t="shared" si="0"/>
        <v>0</v>
      </c>
      <c r="T8" s="765" t="s">
        <v>17</v>
      </c>
      <c r="U8" s="766">
        <f t="shared" si="1"/>
        <v>0</v>
      </c>
      <c r="V8" s="765" t="s">
        <v>17</v>
      </c>
      <c r="W8" s="766">
        <f t="shared" si="2"/>
        <v>0</v>
      </c>
      <c r="X8" s="767"/>
      <c r="Y8" s="3181" t="s">
        <v>2551</v>
      </c>
      <c r="Z8" s="3182"/>
      <c r="AA8" s="768" t="e">
        <f t="shared" ref="AA8:AA47" si="3">D8/F8</f>
        <v>#DIV/0!</v>
      </c>
      <c r="AB8" s="768" t="e">
        <f t="shared" ref="AB8:AB47" si="4">D8/H8</f>
        <v>#DIV/0!</v>
      </c>
      <c r="AC8" s="2668"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5"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2668">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5"/>
      <c r="Q10" s="1792" t="str">
        <f t="shared" si="6"/>
        <v>土地使用年限（年）</v>
      </c>
      <c r="R10" s="765" t="s">
        <v>17</v>
      </c>
      <c r="S10" s="766">
        <f t="shared" si="0"/>
        <v>100</v>
      </c>
      <c r="T10" s="765" t="s">
        <v>17</v>
      </c>
      <c r="U10" s="766">
        <f t="shared" si="1"/>
        <v>100</v>
      </c>
      <c r="V10" s="765" t="s">
        <v>17</v>
      </c>
      <c r="W10" s="766">
        <f t="shared" si="2"/>
        <v>100</v>
      </c>
      <c r="X10" s="767"/>
      <c r="Y10" s="3052"/>
      <c r="Z10" s="55" t="str">
        <f t="shared" si="7"/>
        <v>土地使用年限（年）</v>
      </c>
      <c r="AA10" s="768">
        <f t="shared" si="3"/>
        <v>1</v>
      </c>
      <c r="AB10" s="768">
        <f t="shared" si="4"/>
        <v>1</v>
      </c>
      <c r="AC10" s="2668">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5"/>
      <c r="Q11" s="1792" t="str">
        <f t="shared" si="6"/>
        <v>容积率</v>
      </c>
      <c r="R11" s="765" t="s">
        <v>17</v>
      </c>
      <c r="S11" s="766" t="e">
        <f t="shared" si="0"/>
        <v>#N/A</v>
      </c>
      <c r="T11" s="765" t="s">
        <v>17</v>
      </c>
      <c r="U11" s="766" t="e">
        <f t="shared" si="1"/>
        <v>#N/A</v>
      </c>
      <c r="V11" s="765" t="s">
        <v>17</v>
      </c>
      <c r="W11" s="766" t="e">
        <f t="shared" si="2"/>
        <v>#N/A</v>
      </c>
      <c r="X11" s="767"/>
      <c r="Y11" s="3052"/>
      <c r="Z11" s="55" t="str">
        <f t="shared" si="7"/>
        <v>容积率</v>
      </c>
      <c r="AA11" s="768" t="e">
        <f t="shared" si="3"/>
        <v>#N/A</v>
      </c>
      <c r="AB11" s="768" t="e">
        <f t="shared" si="4"/>
        <v>#N/A</v>
      </c>
      <c r="AC11" s="2668" t="e">
        <f t="shared" si="5"/>
        <v>#N/A</v>
      </c>
    </row>
    <row r="12" spans="1:29" s="117"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0"/>
      <c r="M12" s="1131"/>
      <c r="N12" s="1131"/>
      <c r="O12" s="1131"/>
      <c r="P12" s="3195"/>
      <c r="Q12" s="1792">
        <f t="shared" si="6"/>
        <v>111</v>
      </c>
      <c r="R12" s="765" t="s">
        <v>17</v>
      </c>
      <c r="S12" s="766">
        <f t="shared" si="0"/>
        <v>100</v>
      </c>
      <c r="T12" s="765" t="s">
        <v>17</v>
      </c>
      <c r="U12" s="766">
        <f t="shared" si="1"/>
        <v>100</v>
      </c>
      <c r="V12" s="765" t="s">
        <v>17</v>
      </c>
      <c r="W12" s="766">
        <f t="shared" si="2"/>
        <v>100</v>
      </c>
      <c r="X12" s="767"/>
      <c r="Y12" s="3052"/>
      <c r="Z12" s="55">
        <f t="shared" si="7"/>
        <v>111</v>
      </c>
      <c r="AA12" s="768">
        <f>D12/F12</f>
        <v>1</v>
      </c>
      <c r="AB12" s="768">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8"/>
      <c r="M13" s="1129"/>
      <c r="N13" s="1129"/>
      <c r="O13" s="1129"/>
      <c r="P13" s="3195"/>
      <c r="Q13" s="1792">
        <f t="shared" si="6"/>
        <v>111</v>
      </c>
      <c r="R13" s="765" t="s">
        <v>17</v>
      </c>
      <c r="S13" s="766">
        <f t="shared" si="0"/>
        <v>100</v>
      </c>
      <c r="T13" s="765" t="s">
        <v>17</v>
      </c>
      <c r="U13" s="766">
        <f t="shared" si="1"/>
        <v>100</v>
      </c>
      <c r="V13" s="765" t="s">
        <v>17</v>
      </c>
      <c r="W13" s="766">
        <f t="shared" si="2"/>
        <v>100</v>
      </c>
      <c r="X13" s="767"/>
      <c r="Y13" s="3052"/>
      <c r="Z13" s="55">
        <f t="shared" si="7"/>
        <v>111</v>
      </c>
      <c r="AA13" s="768">
        <f t="shared" si="3"/>
        <v>1</v>
      </c>
      <c r="AB13" s="768">
        <f t="shared" si="4"/>
        <v>1</v>
      </c>
      <c r="AC13" s="2668">
        <f t="shared" si="5"/>
        <v>1</v>
      </c>
    </row>
    <row r="14" spans="1:29" ht="15.75" thickBot="1">
      <c r="A14" s="435"/>
      <c r="B14" s="2599">
        <v>111</v>
      </c>
      <c r="C14" s="436"/>
      <c r="D14" s="437">
        <v>100</v>
      </c>
      <c r="E14" s="625"/>
      <c r="F14" s="437">
        <f>SUMIF(75:75,E14,76:76)-SUMIF(75:75,C14,76:76)+100</f>
        <v>100</v>
      </c>
      <c r="G14" s="2669"/>
      <c r="H14" s="437">
        <f>SUMIF(75:75,G14,76:76)-SUMIF(75:75,C14,76:76)+100</f>
        <v>100</v>
      </c>
      <c r="I14" s="431"/>
      <c r="J14" s="437">
        <f>SUMIF(75:75,I14,76:76)-SUMIF(75:75,C14,76:76)+100</f>
        <v>100</v>
      </c>
      <c r="K14" s="612"/>
      <c r="L14" s="1138"/>
      <c r="M14" s="1129"/>
      <c r="N14" s="1129"/>
      <c r="O14" s="1129"/>
      <c r="P14" s="3195"/>
      <c r="Q14" s="1792">
        <f t="shared" si="6"/>
        <v>111</v>
      </c>
      <c r="R14" s="765" t="s">
        <v>17</v>
      </c>
      <c r="S14" s="766">
        <f t="shared" si="0"/>
        <v>100</v>
      </c>
      <c r="T14" s="765" t="s">
        <v>17</v>
      </c>
      <c r="U14" s="766">
        <f t="shared" si="1"/>
        <v>100</v>
      </c>
      <c r="V14" s="765" t="s">
        <v>17</v>
      </c>
      <c r="W14" s="766">
        <f t="shared" si="2"/>
        <v>100</v>
      </c>
      <c r="X14" s="767"/>
      <c r="Y14" s="3052"/>
      <c r="Z14" s="55">
        <f t="shared" si="7"/>
        <v>111</v>
      </c>
      <c r="AA14" s="768">
        <f t="shared" si="3"/>
        <v>1</v>
      </c>
      <c r="AB14" s="768">
        <f t="shared" si="4"/>
        <v>1</v>
      </c>
      <c r="AC14" s="2668">
        <f t="shared" si="5"/>
        <v>1</v>
      </c>
    </row>
    <row r="15" spans="1:29" ht="71.25">
      <c r="A15" s="439" t="s">
        <v>2558</v>
      </c>
      <c r="B15" s="626" t="s">
        <v>2686</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2" t="s">
        <v>2559</v>
      </c>
      <c r="Q15" s="1807" t="str">
        <f t="shared" si="6"/>
        <v>办公集聚程度</v>
      </c>
      <c r="R15" s="769" t="s">
        <v>17</v>
      </c>
      <c r="S15" s="770">
        <f t="shared" si="0"/>
        <v>100</v>
      </c>
      <c r="T15" s="769" t="s">
        <v>17</v>
      </c>
      <c r="U15" s="770">
        <f t="shared" si="1"/>
        <v>100</v>
      </c>
      <c r="V15" s="769" t="s">
        <v>17</v>
      </c>
      <c r="W15" s="770">
        <f t="shared" si="2"/>
        <v>100</v>
      </c>
      <c r="X15" s="1810"/>
      <c r="Y15" s="3215" t="s">
        <v>2559</v>
      </c>
      <c r="Z15" s="1811" t="str">
        <f t="shared" si="7"/>
        <v>办公集聚程度</v>
      </c>
      <c r="AA15" s="1808">
        <f t="shared" si="3"/>
        <v>1</v>
      </c>
      <c r="AB15" s="1808">
        <f t="shared" si="4"/>
        <v>1</v>
      </c>
      <c r="AC15" s="2671">
        <f t="shared" si="5"/>
        <v>1</v>
      </c>
    </row>
    <row r="16" spans="1:29" ht="15">
      <c r="A16" s="427"/>
      <c r="B16" s="627"/>
      <c r="C16" s="2608"/>
      <c r="D16" s="447"/>
      <c r="E16" s="446"/>
      <c r="F16" s="447"/>
      <c r="G16" s="2608"/>
      <c r="H16" s="449"/>
      <c r="I16" s="446"/>
      <c r="J16" s="447"/>
      <c r="K16" s="614"/>
      <c r="L16" s="1138"/>
      <c r="M16" s="1129"/>
      <c r="N16" s="1129"/>
      <c r="O16" s="1129"/>
      <c r="P16" s="3223"/>
      <c r="Q16" s="1807"/>
      <c r="R16" s="769"/>
      <c r="S16" s="770"/>
      <c r="T16" s="769"/>
      <c r="U16" s="770"/>
      <c r="V16" s="769"/>
      <c r="W16" s="770"/>
      <c r="X16" s="1810"/>
      <c r="Y16" s="3216"/>
      <c r="Z16" s="1811"/>
      <c r="AA16" s="1808">
        <v>1</v>
      </c>
      <c r="AB16" s="1808">
        <v>1</v>
      </c>
      <c r="AC16" s="2671">
        <v>1</v>
      </c>
    </row>
    <row r="17" spans="1:29" ht="71.25">
      <c r="A17" s="427"/>
      <c r="B17" s="628" t="s">
        <v>2098</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3"/>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2671">
        <f t="shared" si="5"/>
        <v>1</v>
      </c>
    </row>
    <row r="18" spans="1:29" ht="15">
      <c r="A18" s="427"/>
      <c r="B18" s="629"/>
      <c r="C18" s="2673"/>
      <c r="D18" s="449"/>
      <c r="E18" s="2606"/>
      <c r="F18" s="449"/>
      <c r="G18" s="2607"/>
      <c r="H18" s="447"/>
      <c r="I18" s="2607"/>
      <c r="J18" s="447"/>
      <c r="K18" s="614"/>
      <c r="L18" s="1138"/>
      <c r="M18" s="1129"/>
      <c r="N18" s="1129"/>
      <c r="O18" s="1129"/>
      <c r="P18" s="3223"/>
      <c r="Q18" s="1807"/>
      <c r="R18" s="769"/>
      <c r="S18" s="770"/>
      <c r="T18" s="769"/>
      <c r="U18" s="770"/>
      <c r="V18" s="769"/>
      <c r="W18" s="770"/>
      <c r="X18" s="1810"/>
      <c r="Y18" s="3216"/>
      <c r="Z18" s="1811"/>
      <c r="AA18" s="1808">
        <v>1</v>
      </c>
      <c r="AB18" s="1808">
        <v>1</v>
      </c>
      <c r="AC18" s="2671">
        <v>1</v>
      </c>
    </row>
    <row r="19" spans="1:29" ht="42.75">
      <c r="A19" s="427"/>
      <c r="B19" s="628" t="s">
        <v>2687</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3"/>
      <c r="Q19" s="1807" t="str">
        <f>B19</f>
        <v>公共配套设施</v>
      </c>
      <c r="R19" s="769" t="s">
        <v>17</v>
      </c>
      <c r="S19" s="770">
        <f>F19</f>
        <v>100</v>
      </c>
      <c r="T19" s="769" t="s">
        <v>17</v>
      </c>
      <c r="U19" s="770">
        <f>H19</f>
        <v>100</v>
      </c>
      <c r="V19" s="769" t="s">
        <v>17</v>
      </c>
      <c r="W19" s="770">
        <f>J19</f>
        <v>100</v>
      </c>
      <c r="X19" s="1810"/>
      <c r="Y19" s="3216"/>
      <c r="Z19" s="1811" t="str">
        <f>Q19</f>
        <v>公共配套设施</v>
      </c>
      <c r="AA19" s="1808">
        <f t="shared" si="3"/>
        <v>1</v>
      </c>
      <c r="AB19" s="1808">
        <f t="shared" si="4"/>
        <v>1</v>
      </c>
      <c r="AC19" s="2671">
        <f t="shared" si="5"/>
        <v>1</v>
      </c>
    </row>
    <row r="20" spans="1:29" ht="15">
      <c r="A20" s="427"/>
      <c r="B20" s="629"/>
      <c r="C20" s="2608"/>
      <c r="D20" s="447"/>
      <c r="E20" s="2601"/>
      <c r="F20" s="447"/>
      <c r="G20" s="2602"/>
      <c r="H20" s="447"/>
      <c r="I20" s="2602"/>
      <c r="J20" s="447"/>
      <c r="K20" s="614"/>
      <c r="L20" s="1138"/>
      <c r="M20" s="1129"/>
      <c r="N20" s="1129"/>
      <c r="O20" s="1129"/>
      <c r="P20" s="3223"/>
      <c r="Q20" s="1807"/>
      <c r="R20" s="769"/>
      <c r="S20" s="770"/>
      <c r="T20" s="769"/>
      <c r="U20" s="770"/>
      <c r="V20" s="769"/>
      <c r="W20" s="770"/>
      <c r="X20" s="1810"/>
      <c r="Y20" s="3216"/>
      <c r="Z20" s="1811"/>
      <c r="AA20" s="1808">
        <v>1</v>
      </c>
      <c r="AB20" s="1808">
        <v>1</v>
      </c>
      <c r="AC20" s="2671">
        <v>1</v>
      </c>
    </row>
    <row r="21" spans="1:29" ht="28.5">
      <c r="A21" s="427"/>
      <c r="B21" s="630" t="s">
        <v>2688</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3"/>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2671">
        <f t="shared" ref="AC21" si="10">D21/J21</f>
        <v>1</v>
      </c>
    </row>
    <row r="22" spans="1:29" ht="15">
      <c r="A22" s="427"/>
      <c r="B22" s="630"/>
      <c r="C22" s="2673"/>
      <c r="D22" s="447"/>
      <c r="E22" s="446"/>
      <c r="F22" s="447"/>
      <c r="G22" s="2608"/>
      <c r="H22" s="447"/>
      <c r="I22" s="2608"/>
      <c r="J22" s="447"/>
      <c r="K22" s="1380"/>
      <c r="L22" s="1138"/>
      <c r="M22" s="1129"/>
      <c r="N22" s="1129"/>
      <c r="O22" s="1129"/>
      <c r="P22" s="3223"/>
      <c r="Q22" s="1807"/>
      <c r="R22" s="769"/>
      <c r="S22" s="770"/>
      <c r="T22" s="769"/>
      <c r="U22" s="770"/>
      <c r="V22" s="769"/>
      <c r="W22" s="770"/>
      <c r="X22" s="1810"/>
      <c r="Y22" s="3216"/>
      <c r="Z22" s="1811"/>
      <c r="AA22" s="1808">
        <v>1</v>
      </c>
      <c r="AB22" s="1808">
        <v>1</v>
      </c>
      <c r="AC22" s="2671">
        <v>1</v>
      </c>
    </row>
    <row r="23" spans="1:29" ht="42.75">
      <c r="A23" s="427"/>
      <c r="B23" s="628" t="s">
        <v>2689</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3"/>
      <c r="Q23" s="1807" t="str">
        <f>B23</f>
        <v>环境质量</v>
      </c>
      <c r="R23" s="769" t="s">
        <v>17</v>
      </c>
      <c r="S23" s="770">
        <f>F23</f>
        <v>100</v>
      </c>
      <c r="T23" s="769" t="s">
        <v>17</v>
      </c>
      <c r="U23" s="770">
        <f>H23</f>
        <v>100</v>
      </c>
      <c r="V23" s="769" t="s">
        <v>17</v>
      </c>
      <c r="W23" s="770">
        <f>J23</f>
        <v>100</v>
      </c>
      <c r="X23" s="1810"/>
      <c r="Y23" s="3216"/>
      <c r="Z23" s="1811" t="str">
        <f>Q23</f>
        <v>环境质量</v>
      </c>
      <c r="AA23" s="1808">
        <f t="shared" si="3"/>
        <v>1</v>
      </c>
      <c r="AB23" s="1808">
        <f t="shared" si="4"/>
        <v>1</v>
      </c>
      <c r="AC23" s="2671">
        <f t="shared" si="5"/>
        <v>1</v>
      </c>
    </row>
    <row r="24" spans="1:29" ht="15">
      <c r="A24" s="427"/>
      <c r="B24" s="630"/>
      <c r="C24" s="2608"/>
      <c r="D24" s="447"/>
      <c r="E24" s="2601"/>
      <c r="F24" s="447"/>
      <c r="G24" s="2602"/>
      <c r="H24" s="447"/>
      <c r="I24" s="2602"/>
      <c r="J24" s="447"/>
      <c r="K24" s="614"/>
      <c r="L24" s="1138"/>
      <c r="M24" s="1129"/>
      <c r="N24" s="1129"/>
      <c r="O24" s="1129"/>
      <c r="P24" s="3223"/>
      <c r="Q24" s="1807"/>
      <c r="R24" s="769"/>
      <c r="S24" s="770"/>
      <c r="T24" s="769"/>
      <c r="U24" s="770"/>
      <c r="V24" s="769"/>
      <c r="W24" s="770"/>
      <c r="X24" s="1810"/>
      <c r="Y24" s="3216"/>
      <c r="Z24" s="1811"/>
      <c r="AA24" s="1808">
        <v>1</v>
      </c>
      <c r="AB24" s="1808">
        <v>1</v>
      </c>
      <c r="AC24" s="2671">
        <v>1</v>
      </c>
    </row>
    <row r="25" spans="1:29" ht="27">
      <c r="A25" s="403"/>
      <c r="B25" s="628" t="s">
        <v>2690</v>
      </c>
      <c r="C25" s="2612"/>
      <c r="D25" s="434">
        <v>100</v>
      </c>
      <c r="E25" s="433"/>
      <c r="F25" s="434">
        <f>SUMIF(87:87,E26,88:88)-SUMIF(87:87,C26,88:88)+100</f>
        <v>100</v>
      </c>
      <c r="G25" s="2612"/>
      <c r="H25" s="434">
        <f>SUMIF(87:87,G26,88:88)-SUMIF(87:87,C26,88:88)+100</f>
        <v>100</v>
      </c>
      <c r="I25" s="433"/>
      <c r="J25" s="434">
        <f>SUMIF(87:87,I26,88:88)-SUMIF(87:87,C26,88:88)+100</f>
        <v>100</v>
      </c>
      <c r="K25" s="613"/>
      <c r="L25" s="1138"/>
      <c r="M25" s="1129"/>
      <c r="N25" s="1129"/>
      <c r="O25" s="1129"/>
      <c r="P25" s="3223"/>
      <c r="Q25" s="1807" t="str">
        <f>B25</f>
        <v>毗邻道路的类型与等级</v>
      </c>
      <c r="R25" s="769" t="s">
        <v>17</v>
      </c>
      <c r="S25" s="770">
        <f>F25</f>
        <v>100</v>
      </c>
      <c r="T25" s="769" t="s">
        <v>17</v>
      </c>
      <c r="U25" s="770">
        <f>H25</f>
        <v>100</v>
      </c>
      <c r="V25" s="769" t="s">
        <v>17</v>
      </c>
      <c r="W25" s="770">
        <f>J25</f>
        <v>100</v>
      </c>
      <c r="X25" s="1810"/>
      <c r="Y25" s="3216"/>
      <c r="Z25" s="1811" t="str">
        <f>Q25</f>
        <v>毗邻道路的类型与等级</v>
      </c>
      <c r="AA25" s="1808">
        <f t="shared" si="3"/>
        <v>1</v>
      </c>
      <c r="AB25" s="1808">
        <f t="shared" si="4"/>
        <v>1</v>
      </c>
      <c r="AC25" s="2671">
        <f t="shared" si="5"/>
        <v>1</v>
      </c>
    </row>
    <row r="26" spans="1:29" ht="15">
      <c r="A26" s="403"/>
      <c r="B26" s="629"/>
      <c r="C26" s="631"/>
      <c r="D26" s="434"/>
      <c r="E26" s="615"/>
      <c r="F26" s="434"/>
      <c r="G26" s="631"/>
      <c r="H26" s="434"/>
      <c r="I26" s="615"/>
      <c r="J26" s="434"/>
      <c r="K26" s="614"/>
      <c r="L26" s="1138"/>
      <c r="M26" s="1129"/>
      <c r="N26" s="1129"/>
      <c r="O26" s="1129"/>
      <c r="P26" s="3223"/>
      <c r="Q26" s="1807"/>
      <c r="R26" s="769"/>
      <c r="S26" s="770"/>
      <c r="T26" s="769"/>
      <c r="U26" s="770"/>
      <c r="V26" s="769"/>
      <c r="W26" s="770"/>
      <c r="X26" s="1810"/>
      <c r="Y26" s="3216"/>
      <c r="Z26" s="1811"/>
      <c r="AA26" s="1808">
        <v>1</v>
      </c>
      <c r="AB26" s="1808">
        <v>1</v>
      </c>
      <c r="AC26" s="2671">
        <v>1</v>
      </c>
    </row>
    <row r="27" spans="1:29" ht="15">
      <c r="A27" s="427"/>
      <c r="B27" s="629" t="s">
        <v>2658</v>
      </c>
      <c r="C27" s="631"/>
      <c r="D27" s="434">
        <v>100</v>
      </c>
      <c r="E27" s="615"/>
      <c r="F27" s="434">
        <f>SUMIF(89:89,E27,90:90)-SUMIF(89:89,C27,90:90)+100</f>
        <v>100</v>
      </c>
      <c r="G27" s="631"/>
      <c r="H27" s="434">
        <f>SUMIF(89:89,G27,90:90)-SUMIF(89:89,C27,90:90)+100</f>
        <v>100</v>
      </c>
      <c r="I27" s="615"/>
      <c r="J27" s="434">
        <f>SUMIF(89:89,I27,90:90)-SUMIF(89:89,C27,90:90)+100</f>
        <v>100</v>
      </c>
      <c r="K27" s="611"/>
      <c r="L27" s="1138"/>
      <c r="M27" s="1129"/>
      <c r="N27" s="1129"/>
      <c r="O27" s="1129"/>
      <c r="P27" s="3223"/>
      <c r="Q27" s="1807" t="str">
        <f t="shared" ref="Q27:Q47" si="11">B27</f>
        <v>楼层</v>
      </c>
      <c r="R27" s="769" t="s">
        <v>17</v>
      </c>
      <c r="S27" s="770">
        <f>F27</f>
        <v>100</v>
      </c>
      <c r="T27" s="769" t="s">
        <v>17</v>
      </c>
      <c r="U27" s="770">
        <f>H27</f>
        <v>100</v>
      </c>
      <c r="V27" s="769" t="s">
        <v>17</v>
      </c>
      <c r="W27" s="770">
        <f>J27</f>
        <v>100</v>
      </c>
      <c r="X27" s="1810"/>
      <c r="Y27" s="3216"/>
      <c r="Z27" s="1811" t="str">
        <f>Q27</f>
        <v>楼层</v>
      </c>
      <c r="AA27" s="1808">
        <f t="shared" si="3"/>
        <v>1</v>
      </c>
      <c r="AB27" s="1808">
        <f t="shared" si="4"/>
        <v>1</v>
      </c>
      <c r="AC27" s="2671">
        <f t="shared" si="5"/>
        <v>1</v>
      </c>
    </row>
    <row r="28" spans="1:29" s="117" customFormat="1" ht="15">
      <c r="A28" s="430"/>
      <c r="B28" s="628" t="s">
        <v>2691</v>
      </c>
      <c r="C28" s="2674"/>
      <c r="D28" s="461">
        <v>100</v>
      </c>
      <c r="E28" s="2662"/>
      <c r="F28" s="461">
        <f>SUMIF(91:91,E28,92:92)-SUMIF(91:91,C28,92:92)+100</f>
        <v>100</v>
      </c>
      <c r="G28" s="2674"/>
      <c r="H28" s="461">
        <f>SUMIF(91:91,G28,92:92)-SUMIF(91:91,C28,92:92)+100</f>
        <v>100</v>
      </c>
      <c r="I28" s="2662"/>
      <c r="J28" s="461">
        <f>SUMIF(91:91,I28,92:92)-SUMIF(91:91,C28,92:92)+100</f>
        <v>100</v>
      </c>
      <c r="K28" s="611"/>
      <c r="L28" s="1130"/>
      <c r="M28" s="1131"/>
      <c r="N28" s="1131"/>
      <c r="O28" s="1131"/>
      <c r="P28" s="3223"/>
      <c r="Q28" s="1792" t="str">
        <f t="shared" si="11"/>
        <v>朝向</v>
      </c>
      <c r="R28" s="765" t="s">
        <v>17</v>
      </c>
      <c r="S28" s="766">
        <f>F28</f>
        <v>100</v>
      </c>
      <c r="T28" s="765" t="s">
        <v>17</v>
      </c>
      <c r="U28" s="766">
        <f>H28</f>
        <v>100</v>
      </c>
      <c r="V28" s="765" t="s">
        <v>17</v>
      </c>
      <c r="W28" s="766">
        <f>J28</f>
        <v>100</v>
      </c>
      <c r="X28" s="767"/>
      <c r="Y28" s="3216"/>
      <c r="Z28" s="55" t="str">
        <f>Q28</f>
        <v>朝向</v>
      </c>
      <c r="AA28" s="1808">
        <f>D28/F28</f>
        <v>1</v>
      </c>
      <c r="AB28" s="1808">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8"/>
      <c r="M29" s="1129"/>
      <c r="N29" s="1129"/>
      <c r="O29" s="1129"/>
      <c r="P29" s="3223"/>
      <c r="Q29" s="1807">
        <f t="shared" si="11"/>
        <v>111</v>
      </c>
      <c r="R29" s="769" t="s">
        <v>17</v>
      </c>
      <c r="S29" s="770">
        <f t="shared" ref="S29:S47" si="12">F29</f>
        <v>100</v>
      </c>
      <c r="T29" s="769" t="s">
        <v>17</v>
      </c>
      <c r="U29" s="770">
        <f t="shared" ref="U29:U47" si="13">H29</f>
        <v>100</v>
      </c>
      <c r="V29" s="769" t="s">
        <v>17</v>
      </c>
      <c r="W29" s="770">
        <f t="shared" ref="W29:W47" si="14">J29</f>
        <v>100</v>
      </c>
      <c r="X29" s="1810"/>
      <c r="Y29" s="3216"/>
      <c r="Z29" s="1811">
        <f t="shared" ref="Z29:Z47" si="15">Q29</f>
        <v>111</v>
      </c>
      <c r="AA29" s="1808">
        <f t="shared" si="3"/>
        <v>1</v>
      </c>
      <c r="AB29" s="1808">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8"/>
      <c r="M30" s="1129"/>
      <c r="N30" s="1129"/>
      <c r="O30" s="1129"/>
      <c r="P30" s="3223"/>
      <c r="Q30" s="1807">
        <f t="shared" si="11"/>
        <v>111</v>
      </c>
      <c r="R30" s="769" t="s">
        <v>17</v>
      </c>
      <c r="S30" s="770">
        <f t="shared" si="12"/>
        <v>100</v>
      </c>
      <c r="T30" s="769" t="s">
        <v>17</v>
      </c>
      <c r="U30" s="770">
        <f t="shared" si="13"/>
        <v>100</v>
      </c>
      <c r="V30" s="769" t="s">
        <v>17</v>
      </c>
      <c r="W30" s="770">
        <f t="shared" si="14"/>
        <v>100</v>
      </c>
      <c r="X30" s="1810"/>
      <c r="Y30" s="3216"/>
      <c r="Z30" s="1811">
        <f t="shared" si="15"/>
        <v>111</v>
      </c>
      <c r="AA30" s="1808">
        <f t="shared" si="3"/>
        <v>1</v>
      </c>
      <c r="AB30" s="1808">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8"/>
      <c r="M31" s="1129"/>
      <c r="N31" s="1129"/>
      <c r="O31" s="1129"/>
      <c r="P31" s="3223"/>
      <c r="Q31" s="1807">
        <f t="shared" si="11"/>
        <v>111</v>
      </c>
      <c r="R31" s="769" t="s">
        <v>17</v>
      </c>
      <c r="S31" s="770">
        <f t="shared" si="12"/>
        <v>100</v>
      </c>
      <c r="T31" s="769" t="s">
        <v>17</v>
      </c>
      <c r="U31" s="770">
        <f t="shared" si="13"/>
        <v>100</v>
      </c>
      <c r="V31" s="769" t="s">
        <v>17</v>
      </c>
      <c r="W31" s="770">
        <f t="shared" si="14"/>
        <v>100</v>
      </c>
      <c r="X31" s="1810"/>
      <c r="Y31" s="3216"/>
      <c r="Z31" s="1811">
        <f t="shared" si="15"/>
        <v>111</v>
      </c>
      <c r="AA31" s="1808">
        <f t="shared" si="3"/>
        <v>1</v>
      </c>
      <c r="AB31" s="1808">
        <f t="shared" si="4"/>
        <v>1</v>
      </c>
      <c r="AC31" s="2671">
        <f t="shared" si="5"/>
        <v>1</v>
      </c>
    </row>
    <row r="32" spans="1:29" ht="15.75" thickBot="1">
      <c r="A32" s="435"/>
      <c r="B32" s="632">
        <v>111</v>
      </c>
      <c r="C32" s="2613"/>
      <c r="D32" s="437">
        <v>100</v>
      </c>
      <c r="E32" s="625"/>
      <c r="F32" s="437">
        <f>SUMIF(99:99,E32,100:100)-SUMIF(99:99,C32,100:100)+100</f>
        <v>100</v>
      </c>
      <c r="G32" s="2669"/>
      <c r="H32" s="437">
        <f>SUMIF(99:99,G32,100:100)-SUMIF(99:99,C32,100:100)+100</f>
        <v>100</v>
      </c>
      <c r="I32" s="431"/>
      <c r="J32" s="437">
        <f>SUMIF(99:99,I32,100:100)-SUMIF(99:99,C32,100:100)+100</f>
        <v>100</v>
      </c>
      <c r="K32" s="612"/>
      <c r="L32" s="1138"/>
      <c r="M32" s="1129"/>
      <c r="N32" s="1129"/>
      <c r="O32" s="1129"/>
      <c r="P32" s="3223"/>
      <c r="Q32" s="1807">
        <f t="shared" si="11"/>
        <v>111</v>
      </c>
      <c r="R32" s="769" t="s">
        <v>17</v>
      </c>
      <c r="S32" s="770">
        <f t="shared" si="12"/>
        <v>100</v>
      </c>
      <c r="T32" s="769" t="s">
        <v>17</v>
      </c>
      <c r="U32" s="770">
        <f t="shared" si="13"/>
        <v>100</v>
      </c>
      <c r="V32" s="769" t="s">
        <v>17</v>
      </c>
      <c r="W32" s="770">
        <f t="shared" si="14"/>
        <v>100</v>
      </c>
      <c r="X32" s="1810"/>
      <c r="Y32" s="3216"/>
      <c r="Z32" s="1811">
        <f t="shared" si="15"/>
        <v>111</v>
      </c>
      <c r="AA32" s="1808">
        <f t="shared" si="3"/>
        <v>1</v>
      </c>
      <c r="AB32" s="1808">
        <f t="shared" si="4"/>
        <v>1</v>
      </c>
      <c r="AC32" s="2671">
        <f t="shared" si="5"/>
        <v>1</v>
      </c>
    </row>
    <row r="33" spans="1:29" ht="15">
      <c r="A33" s="439" t="s">
        <v>2562</v>
      </c>
      <c r="B33" s="71" t="s">
        <v>2692</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8"/>
      <c r="M33" s="1129"/>
      <c r="N33" s="1129"/>
      <c r="O33" s="1129"/>
      <c r="P33" s="3217" t="s">
        <v>2564</v>
      </c>
      <c r="Q33" s="1807" t="str">
        <f t="shared" si="11"/>
        <v>建筑类型</v>
      </c>
      <c r="R33" s="769" t="s">
        <v>17</v>
      </c>
      <c r="S33" s="770">
        <f t="shared" si="12"/>
        <v>100</v>
      </c>
      <c r="T33" s="769" t="s">
        <v>17</v>
      </c>
      <c r="U33" s="770">
        <f t="shared" si="13"/>
        <v>100</v>
      </c>
      <c r="V33" s="769" t="s">
        <v>17</v>
      </c>
      <c r="W33" s="770">
        <f t="shared" si="14"/>
        <v>100</v>
      </c>
      <c r="X33" s="1810"/>
      <c r="Y33" s="3220" t="s">
        <v>2564</v>
      </c>
      <c r="Z33" s="1811" t="str">
        <f t="shared" si="15"/>
        <v>建筑类型</v>
      </c>
      <c r="AA33" s="1808">
        <f t="shared" si="3"/>
        <v>1</v>
      </c>
      <c r="AB33" s="1808">
        <f t="shared" si="4"/>
        <v>1</v>
      </c>
      <c r="AC33" s="2671">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18"/>
      <c r="Q34" s="771" t="str">
        <f t="shared" si="11"/>
        <v>项目建筑规模</v>
      </c>
      <c r="R34" s="772" t="s">
        <v>17</v>
      </c>
      <c r="S34" s="773" t="e">
        <f t="shared" si="12"/>
        <v>#N/A</v>
      </c>
      <c r="T34" s="772" t="s">
        <v>17</v>
      </c>
      <c r="U34" s="773" t="e">
        <f t="shared" si="13"/>
        <v>#N/A</v>
      </c>
      <c r="V34" s="772" t="s">
        <v>17</v>
      </c>
      <c r="W34" s="773" t="e">
        <f t="shared" si="14"/>
        <v>#N/A</v>
      </c>
      <c r="X34" s="774"/>
      <c r="Y34" s="3220"/>
      <c r="Z34" s="775" t="str">
        <f t="shared" si="15"/>
        <v>项目建筑规模</v>
      </c>
      <c r="AA34" s="1808" t="e">
        <f t="shared" si="3"/>
        <v>#N/A</v>
      </c>
      <c r="AB34" s="1808" t="e">
        <f t="shared" si="4"/>
        <v>#N/A</v>
      </c>
      <c r="AC34" s="2671"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18"/>
      <c r="Q35" s="1807" t="str">
        <f t="shared" si="11"/>
        <v>建筑结构</v>
      </c>
      <c r="R35" s="769" t="s">
        <v>17</v>
      </c>
      <c r="S35" s="770">
        <f t="shared" si="12"/>
        <v>100</v>
      </c>
      <c r="T35" s="769" t="s">
        <v>17</v>
      </c>
      <c r="U35" s="770">
        <f t="shared" si="13"/>
        <v>100</v>
      </c>
      <c r="V35" s="769" t="s">
        <v>17</v>
      </c>
      <c r="W35" s="770">
        <f t="shared" si="14"/>
        <v>100</v>
      </c>
      <c r="X35" s="1810"/>
      <c r="Y35" s="3220"/>
      <c r="Z35" s="1811" t="str">
        <f t="shared" si="15"/>
        <v>建筑结构</v>
      </c>
      <c r="AA35" s="1808">
        <f t="shared" si="3"/>
        <v>1</v>
      </c>
      <c r="AB35" s="1808">
        <f t="shared" si="4"/>
        <v>1</v>
      </c>
      <c r="AC35" s="2671">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18"/>
      <c r="Q36" s="1807" t="str">
        <f t="shared" si="11"/>
        <v>公共部分装修</v>
      </c>
      <c r="R36" s="769" t="s">
        <v>17</v>
      </c>
      <c r="S36" s="770">
        <f t="shared" si="12"/>
        <v>100</v>
      </c>
      <c r="T36" s="769" t="s">
        <v>17</v>
      </c>
      <c r="U36" s="770">
        <f t="shared" si="13"/>
        <v>100</v>
      </c>
      <c r="V36" s="769" t="s">
        <v>17</v>
      </c>
      <c r="W36" s="770">
        <f t="shared" si="14"/>
        <v>100</v>
      </c>
      <c r="X36" s="1810"/>
      <c r="Y36" s="3220"/>
      <c r="Z36" s="1811" t="str">
        <f t="shared" si="15"/>
        <v>公共部分装修</v>
      </c>
      <c r="AA36" s="1808">
        <f t="shared" si="3"/>
        <v>1</v>
      </c>
      <c r="AB36" s="1808">
        <f t="shared" si="4"/>
        <v>1</v>
      </c>
      <c r="AC36" s="2671">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18"/>
      <c r="Q37" s="1807" t="str">
        <f t="shared" si="11"/>
        <v>成新度</v>
      </c>
      <c r="R37" s="769" t="s">
        <v>17</v>
      </c>
      <c r="S37" s="770" t="e">
        <f t="shared" si="12"/>
        <v>#N/A</v>
      </c>
      <c r="T37" s="769" t="s">
        <v>17</v>
      </c>
      <c r="U37" s="770" t="e">
        <f t="shared" si="13"/>
        <v>#N/A</v>
      </c>
      <c r="V37" s="769" t="s">
        <v>17</v>
      </c>
      <c r="W37" s="770" t="e">
        <f t="shared" si="14"/>
        <v>#N/A</v>
      </c>
      <c r="X37" s="1810"/>
      <c r="Y37" s="3220"/>
      <c r="Z37" s="1811" t="str">
        <f t="shared" si="15"/>
        <v>成新度</v>
      </c>
      <c r="AA37" s="1808" t="e">
        <f t="shared" si="3"/>
        <v>#N/A</v>
      </c>
      <c r="AB37" s="1808" t="e">
        <f t="shared" si="4"/>
        <v>#N/A</v>
      </c>
      <c r="AC37" s="2671"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18"/>
      <c r="Q38" s="1792" t="str">
        <f t="shared" si="11"/>
        <v>写字楼等级</v>
      </c>
      <c r="R38" s="765" t="s">
        <v>17</v>
      </c>
      <c r="S38" s="766">
        <f t="shared" si="12"/>
        <v>100</v>
      </c>
      <c r="T38" s="765" t="s">
        <v>17</v>
      </c>
      <c r="U38" s="766">
        <f t="shared" si="13"/>
        <v>100</v>
      </c>
      <c r="V38" s="765" t="s">
        <v>17</v>
      </c>
      <c r="W38" s="766">
        <f t="shared" si="14"/>
        <v>100</v>
      </c>
      <c r="X38" s="767"/>
      <c r="Y38" s="3220"/>
      <c r="Z38" s="55" t="str">
        <f t="shared" si="15"/>
        <v>写字楼等级</v>
      </c>
      <c r="AA38" s="768">
        <f t="shared" si="3"/>
        <v>1</v>
      </c>
      <c r="AB38" s="768">
        <f t="shared" si="4"/>
        <v>1</v>
      </c>
      <c r="AC38" s="2668">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18" t="s">
        <v>2564</v>
      </c>
      <c r="Q39" s="1807" t="str">
        <f t="shared" si="11"/>
        <v>物业管理</v>
      </c>
      <c r="R39" s="769" t="s">
        <v>17</v>
      </c>
      <c r="S39" s="770">
        <f t="shared" si="12"/>
        <v>100</v>
      </c>
      <c r="T39" s="769" t="s">
        <v>17</v>
      </c>
      <c r="U39" s="770">
        <f t="shared" si="13"/>
        <v>100</v>
      </c>
      <c r="V39" s="769" t="s">
        <v>17</v>
      </c>
      <c r="W39" s="770">
        <f t="shared" si="14"/>
        <v>100</v>
      </c>
      <c r="X39" s="1810"/>
      <c r="Y39" s="3220" t="s">
        <v>2564</v>
      </c>
      <c r="Z39" s="1811" t="str">
        <f t="shared" si="15"/>
        <v>物业管理</v>
      </c>
      <c r="AA39" s="1808">
        <f t="shared" si="3"/>
        <v>1</v>
      </c>
      <c r="AB39" s="1808">
        <f t="shared" si="4"/>
        <v>1</v>
      </c>
      <c r="AC39" s="2671">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18"/>
      <c r="Q40" s="1807" t="str">
        <f t="shared" si="11"/>
        <v>市政基础设施</v>
      </c>
      <c r="R40" s="769" t="s">
        <v>17</v>
      </c>
      <c r="S40" s="770">
        <f t="shared" si="12"/>
        <v>100</v>
      </c>
      <c r="T40" s="769" t="s">
        <v>17</v>
      </c>
      <c r="U40" s="770">
        <f t="shared" si="13"/>
        <v>100</v>
      </c>
      <c r="V40" s="769" t="s">
        <v>17</v>
      </c>
      <c r="W40" s="770">
        <f t="shared" si="14"/>
        <v>100</v>
      </c>
      <c r="X40" s="1810"/>
      <c r="Y40" s="3220"/>
      <c r="Z40" s="1811" t="str">
        <f t="shared" si="15"/>
        <v>市政基础设施</v>
      </c>
      <c r="AA40" s="1808">
        <f t="shared" si="3"/>
        <v>1</v>
      </c>
      <c r="AB40" s="1808">
        <f t="shared" si="4"/>
        <v>1</v>
      </c>
      <c r="AC40" s="2671">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18"/>
      <c r="Q41" s="1807" t="str">
        <f t="shared" si="11"/>
        <v>层高</v>
      </c>
      <c r="R41" s="769" t="s">
        <v>17</v>
      </c>
      <c r="S41" s="770">
        <f t="shared" si="12"/>
        <v>100</v>
      </c>
      <c r="T41" s="769" t="s">
        <v>17</v>
      </c>
      <c r="U41" s="770">
        <f t="shared" si="13"/>
        <v>100</v>
      </c>
      <c r="V41" s="769" t="s">
        <v>17</v>
      </c>
      <c r="W41" s="770">
        <f t="shared" si="14"/>
        <v>100</v>
      </c>
      <c r="X41" s="1810"/>
      <c r="Y41" s="3220"/>
      <c r="Z41" s="1811" t="str">
        <f t="shared" si="15"/>
        <v>层高</v>
      </c>
      <c r="AA41" s="1808">
        <f t="shared" si="3"/>
        <v>1</v>
      </c>
      <c r="AB41" s="1808">
        <f t="shared" si="4"/>
        <v>1</v>
      </c>
      <c r="AC41" s="2671">
        <f t="shared" si="5"/>
        <v>1</v>
      </c>
    </row>
    <row r="42" spans="1:29" s="470" customFormat="1" ht="15">
      <c r="A42" s="467"/>
      <c r="B42" s="1809"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8"/>
      <c r="Q42" s="771" t="str">
        <f t="shared" si="11"/>
        <v>单套建筑面积</v>
      </c>
      <c r="R42" s="772" t="s">
        <v>17</v>
      </c>
      <c r="S42" s="773">
        <f t="shared" si="12"/>
        <v>100</v>
      </c>
      <c r="T42" s="772" t="s">
        <v>17</v>
      </c>
      <c r="U42" s="773">
        <f t="shared" si="13"/>
        <v>100</v>
      </c>
      <c r="V42" s="772" t="s">
        <v>17</v>
      </c>
      <c r="W42" s="773">
        <f t="shared" si="14"/>
        <v>100</v>
      </c>
      <c r="X42" s="774"/>
      <c r="Y42" s="3220"/>
      <c r="Z42" s="775" t="str">
        <f t="shared" si="15"/>
        <v>单套建筑面积</v>
      </c>
      <c r="AA42" s="1808">
        <f t="shared" si="3"/>
        <v>1</v>
      </c>
      <c r="AB42" s="1808">
        <f t="shared" si="4"/>
        <v>1</v>
      </c>
      <c r="AC42" s="2671">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18"/>
      <c r="Q43" s="1807" t="str">
        <f t="shared" si="11"/>
        <v>内部装修</v>
      </c>
      <c r="R43" s="769" t="s">
        <v>17</v>
      </c>
      <c r="S43" s="770">
        <f t="shared" si="12"/>
        <v>100</v>
      </c>
      <c r="T43" s="769" t="s">
        <v>17</v>
      </c>
      <c r="U43" s="770">
        <f t="shared" si="13"/>
        <v>100</v>
      </c>
      <c r="V43" s="769" t="s">
        <v>17</v>
      </c>
      <c r="W43" s="770">
        <f t="shared" si="14"/>
        <v>100</v>
      </c>
      <c r="X43" s="1810"/>
      <c r="Y43" s="3220"/>
      <c r="Z43" s="1811" t="str">
        <f t="shared" si="15"/>
        <v>内部装修</v>
      </c>
      <c r="AA43" s="1808">
        <f t="shared" si="3"/>
        <v>1</v>
      </c>
      <c r="AB43" s="1808">
        <f t="shared" si="4"/>
        <v>1</v>
      </c>
      <c r="AC43" s="2671">
        <f t="shared" si="5"/>
        <v>1</v>
      </c>
    </row>
    <row r="44" spans="1:29" ht="15">
      <c r="A44" s="471"/>
      <c r="B44" s="421" t="s">
        <v>2575</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218"/>
      <c r="Q44" s="1807" t="str">
        <f t="shared" si="11"/>
        <v>内部装修维护情况</v>
      </c>
      <c r="R44" s="769" t="s">
        <v>17</v>
      </c>
      <c r="S44" s="770">
        <f t="shared" si="12"/>
        <v>100</v>
      </c>
      <c r="T44" s="769" t="s">
        <v>17</v>
      </c>
      <c r="U44" s="770">
        <f t="shared" si="13"/>
        <v>100</v>
      </c>
      <c r="V44" s="769" t="s">
        <v>17</v>
      </c>
      <c r="W44" s="770">
        <f t="shared" si="14"/>
        <v>100</v>
      </c>
      <c r="X44" s="1810"/>
      <c r="Y44" s="3220"/>
      <c r="Z44" s="1811" t="str">
        <f t="shared" si="15"/>
        <v>内部装修维护情况</v>
      </c>
      <c r="AA44" s="1808">
        <f t="shared" si="3"/>
        <v>1</v>
      </c>
      <c r="AB44" s="1808">
        <f t="shared" si="4"/>
        <v>1</v>
      </c>
      <c r="AC44" s="2671">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8"/>
      <c r="Q45" s="1792">
        <f t="shared" si="11"/>
        <v>111</v>
      </c>
      <c r="R45" s="765" t="s">
        <v>17</v>
      </c>
      <c r="S45" s="766">
        <f t="shared" si="12"/>
        <v>100</v>
      </c>
      <c r="T45" s="765" t="s">
        <v>17</v>
      </c>
      <c r="U45" s="766">
        <f t="shared" si="13"/>
        <v>100</v>
      </c>
      <c r="V45" s="765" t="s">
        <v>17</v>
      </c>
      <c r="W45" s="766">
        <f t="shared" si="14"/>
        <v>100</v>
      </c>
      <c r="X45" s="767"/>
      <c r="Y45" s="3220"/>
      <c r="Z45" s="55">
        <f t="shared" si="15"/>
        <v>111</v>
      </c>
      <c r="AA45" s="768">
        <f t="shared" si="3"/>
        <v>1</v>
      </c>
      <c r="AB45" s="768">
        <f t="shared" si="4"/>
        <v>1</v>
      </c>
      <c r="AC45" s="2668">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8"/>
      <c r="Q46" s="1807">
        <f t="shared" si="11"/>
        <v>111</v>
      </c>
      <c r="R46" s="769" t="s">
        <v>17</v>
      </c>
      <c r="S46" s="770">
        <f t="shared" si="12"/>
        <v>100</v>
      </c>
      <c r="T46" s="769" t="s">
        <v>17</v>
      </c>
      <c r="U46" s="770">
        <f t="shared" si="13"/>
        <v>100</v>
      </c>
      <c r="V46" s="769" t="s">
        <v>17</v>
      </c>
      <c r="W46" s="770">
        <f t="shared" si="14"/>
        <v>100</v>
      </c>
      <c r="X46" s="1810"/>
      <c r="Y46" s="3220"/>
      <c r="Z46" s="1811">
        <f t="shared" si="15"/>
        <v>111</v>
      </c>
      <c r="AA46" s="1808">
        <f t="shared" si="3"/>
        <v>1</v>
      </c>
      <c r="AB46" s="1808">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9"/>
      <c r="Q47" s="1807">
        <f t="shared" si="11"/>
        <v>111</v>
      </c>
      <c r="R47" s="769" t="s">
        <v>17</v>
      </c>
      <c r="S47" s="770">
        <f t="shared" si="12"/>
        <v>100</v>
      </c>
      <c r="T47" s="769" t="s">
        <v>17</v>
      </c>
      <c r="U47" s="770">
        <f t="shared" si="13"/>
        <v>100</v>
      </c>
      <c r="V47" s="769" t="s">
        <v>17</v>
      </c>
      <c r="W47" s="770">
        <f t="shared" si="14"/>
        <v>100</v>
      </c>
      <c r="X47" s="1810"/>
      <c r="Y47" s="3221"/>
      <c r="Z47" s="1811">
        <f t="shared" si="15"/>
        <v>111</v>
      </c>
      <c r="AA47" s="1808">
        <f t="shared" si="3"/>
        <v>1</v>
      </c>
      <c r="AB47" s="1808">
        <f t="shared" si="4"/>
        <v>1</v>
      </c>
      <c r="AC47" s="2671">
        <f t="shared" si="5"/>
        <v>1</v>
      </c>
    </row>
    <row r="48" spans="1:29" ht="15">
      <c r="A48" s="478" t="s">
        <v>2576</v>
      </c>
      <c r="B48" s="479"/>
      <c r="C48" s="1404" t="s">
        <v>1</v>
      </c>
      <c r="D48" s="1405"/>
      <c r="E48" s="1406"/>
      <c r="F48" s="1407"/>
      <c r="G48" s="1408"/>
      <c r="H48" s="1409"/>
      <c r="I48" s="1406"/>
      <c r="J48" s="484"/>
      <c r="K48" s="778"/>
      <c r="L48" s="1141"/>
      <c r="M48" s="1129"/>
      <c r="N48" s="1129"/>
      <c r="O48" s="1129"/>
      <c r="P48" s="3195" t="str">
        <f>A48</f>
        <v>成交单价（元/平方米）</v>
      </c>
      <c r="Q48" s="3213"/>
      <c r="R48" s="3214">
        <f>E48</f>
        <v>0</v>
      </c>
      <c r="S48" s="3214"/>
      <c r="T48" s="3214">
        <f>G48</f>
        <v>0</v>
      </c>
      <c r="U48" s="3214"/>
      <c r="V48" s="3214">
        <f>I48</f>
        <v>0</v>
      </c>
      <c r="W48" s="3214"/>
      <c r="X48" s="445"/>
      <c r="Y48" s="776"/>
      <c r="Z48" s="445"/>
      <c r="AA48" s="445"/>
      <c r="AB48" s="445"/>
      <c r="AC48" s="627"/>
    </row>
    <row r="49" spans="1:29" ht="15.75" thickBot="1">
      <c r="A49" s="485" t="s">
        <v>2668</v>
      </c>
      <c r="B49" s="486"/>
      <c r="C49" s="1410" t="e">
        <f>R50</f>
        <v>#DIV/0!</v>
      </c>
      <c r="D49" s="1411"/>
      <c r="E49" s="1412" t="e">
        <f>R49</f>
        <v>#DIV/0!</v>
      </c>
      <c r="F49" s="1412"/>
      <c r="G49" s="1410" t="e">
        <f>T49</f>
        <v>#DIV/0!</v>
      </c>
      <c r="H49" s="1411"/>
      <c r="I49" s="1412" t="e">
        <f>V49</f>
        <v>#DIV/0!</v>
      </c>
      <c r="J49" s="488"/>
      <c r="K49" s="779"/>
      <c r="L49" s="1141"/>
      <c r="M49" s="1129"/>
      <c r="N49" s="1129"/>
      <c r="O49" s="1129"/>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5"/>
      <c r="Y49" s="445"/>
      <c r="Z49" s="445"/>
      <c r="AA49" s="445"/>
      <c r="AB49" s="445"/>
      <c r="AC49" s="627"/>
    </row>
    <row r="50" spans="1:29" ht="15.75" thickBot="1">
      <c r="A50" s="491" t="s">
        <v>2669</v>
      </c>
      <c r="B50" s="492"/>
      <c r="C50" s="1414" t="e">
        <f>R50</f>
        <v>#DIV/0!</v>
      </c>
      <c r="D50" s="1414"/>
      <c r="E50" s="1414"/>
      <c r="F50" s="1414"/>
      <c r="G50" s="1414"/>
      <c r="H50" s="1414"/>
      <c r="I50" s="1414"/>
      <c r="J50" s="493"/>
      <c r="K50" s="780"/>
      <c r="L50" s="1141"/>
      <c r="M50" s="1129"/>
      <c r="N50" s="1129"/>
      <c r="O50" s="1129"/>
      <c r="P50" s="3240" t="str">
        <f>A50</f>
        <v>估价对象XX用房的比较价值（楼面单价，元/平方米）</v>
      </c>
      <c r="Q50" s="3241"/>
      <c r="R50" s="3242" t="e">
        <f>IF(F1="售价",ROUND(AVERAGE(R49:V49),0),ROUND(AVERAGE(R49:V49),1))</f>
        <v>#DIV/0!</v>
      </c>
      <c r="S50" s="3242"/>
      <c r="T50" s="3242"/>
      <c r="U50" s="3242"/>
      <c r="V50" s="3242"/>
      <c r="W50" s="3242"/>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58" t="s">
        <v>2673</v>
      </c>
      <c r="B58" s="754"/>
      <c r="C58" s="759"/>
      <c r="D58" s="759"/>
      <c r="E58" s="759"/>
      <c r="F58" s="760"/>
      <c r="G58" s="760"/>
      <c r="H58" s="759"/>
      <c r="I58" s="759"/>
      <c r="J58" s="759"/>
      <c r="K58" s="761"/>
      <c r="L58" s="1159"/>
      <c r="M58" s="1157"/>
      <c r="N58" s="1157"/>
      <c r="O58" s="1157"/>
      <c r="P58" s="2678"/>
      <c r="Q58" s="503"/>
    </row>
    <row r="59" spans="1:29" s="507" customFormat="1" ht="15">
      <c r="A59" s="504" t="s">
        <v>2547</v>
      </c>
      <c r="B59" s="505"/>
      <c r="C59" s="1571" t="str">
        <f>YEAR(C7)&amp;"-"&amp;MONTH(C7)</f>
        <v>2018-9</v>
      </c>
      <c r="D59" s="1572">
        <f>EDATE(C59,-1)</f>
        <v>43313</v>
      </c>
      <c r="E59" s="1572">
        <f>EDATE(D59,-1)</f>
        <v>43282</v>
      </c>
      <c r="F59" s="1572">
        <f t="shared" ref="F59:O59" si="16">EDATE(E59,-1)</f>
        <v>43252</v>
      </c>
      <c r="G59" s="1572">
        <f t="shared" si="16"/>
        <v>43221</v>
      </c>
      <c r="H59" s="1572">
        <f t="shared" si="16"/>
        <v>43191</v>
      </c>
      <c r="I59" s="1572">
        <f t="shared" si="16"/>
        <v>43160</v>
      </c>
      <c r="J59" s="1572">
        <f t="shared" si="16"/>
        <v>43132</v>
      </c>
      <c r="K59" s="1572">
        <f t="shared" si="16"/>
        <v>43101</v>
      </c>
      <c r="L59" s="1572">
        <f t="shared" si="16"/>
        <v>43070</v>
      </c>
      <c r="M59" s="1572">
        <f t="shared" si="16"/>
        <v>43040</v>
      </c>
      <c r="N59" s="1572">
        <f t="shared" si="16"/>
        <v>43009</v>
      </c>
      <c r="O59" s="1572">
        <f t="shared" si="16"/>
        <v>42979</v>
      </c>
      <c r="P59" s="1568"/>
    </row>
    <row r="60" spans="1:29" s="117" customFormat="1" ht="15">
      <c r="A60" s="508"/>
      <c r="B60" s="509"/>
      <c r="C60" s="1570">
        <v>100</v>
      </c>
      <c r="D60" s="511"/>
      <c r="E60" s="511"/>
      <c r="F60" s="511"/>
      <c r="G60" s="511"/>
      <c r="H60" s="511"/>
      <c r="I60" s="511"/>
      <c r="J60" s="511"/>
      <c r="K60" s="511"/>
      <c r="L60" s="511"/>
      <c r="M60" s="512"/>
      <c r="N60" s="511"/>
      <c r="O60" s="512"/>
      <c r="P60" s="2679"/>
    </row>
    <row r="61" spans="1:29" s="117" customFormat="1" ht="15.75" thickBot="1">
      <c r="A61" s="514" t="s">
        <v>2584</v>
      </c>
      <c r="B61" s="515"/>
      <c r="C61" s="516"/>
      <c r="D61" s="517"/>
      <c r="E61" s="517"/>
      <c r="F61" s="517"/>
      <c r="G61" s="517"/>
      <c r="H61" s="517"/>
      <c r="I61" s="517"/>
      <c r="J61" s="517"/>
      <c r="K61" s="517"/>
      <c r="L61" s="517"/>
      <c r="M61" s="518"/>
      <c r="N61" s="517"/>
      <c r="O61" s="518"/>
      <c r="P61" s="2679"/>
      <c r="Q61" s="503"/>
    </row>
    <row r="62" spans="1:29" s="117" customFormat="1" ht="15">
      <c r="A62" s="520" t="s">
        <v>2549</v>
      </c>
      <c r="B62" s="509"/>
      <c r="C62" s="521" t="s">
        <v>2651</v>
      </c>
      <c r="D62" s="522"/>
      <c r="E62" s="522"/>
      <c r="F62" s="522"/>
      <c r="G62" s="522"/>
      <c r="H62" s="522"/>
      <c r="I62" s="522"/>
      <c r="J62" s="522"/>
      <c r="K62" s="522"/>
      <c r="L62" s="523"/>
      <c r="M62" s="524"/>
      <c r="N62" s="1149"/>
      <c r="O62" s="1149"/>
      <c r="P62" s="2680"/>
      <c r="Q62" s="503"/>
    </row>
    <row r="63" spans="1:29" s="117"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2587</v>
      </c>
      <c r="B64" s="527" t="s">
        <v>2553</v>
      </c>
      <c r="C64" s="528">
        <f>C9</f>
        <v>0</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1"/>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1"/>
      <c r="Q68" s="503"/>
    </row>
    <row r="69" spans="1:17" ht="15">
      <c r="A69" s="533"/>
      <c r="B69" s="547"/>
      <c r="C69" s="548"/>
      <c r="D69" s="548"/>
      <c r="E69" s="548"/>
      <c r="F69" s="548"/>
      <c r="G69" s="548"/>
      <c r="H69" s="548"/>
      <c r="I69" s="548"/>
      <c r="J69" s="548"/>
      <c r="K69" s="549"/>
      <c r="L69" s="550"/>
      <c r="M69" s="551"/>
      <c r="N69" s="1150"/>
      <c r="O69" s="1150"/>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1"/>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1"/>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1"/>
      <c r="Q82" s="503"/>
    </row>
    <row r="83" spans="1:17" ht="15.75" thickTop="1">
      <c r="A83" s="533"/>
      <c r="B83" s="545" t="s">
        <v>2688</v>
      </c>
      <c r="C83" s="657" t="s">
        <v>2674</v>
      </c>
      <c r="D83" s="657" t="s">
        <v>2675</v>
      </c>
      <c r="E83" s="657" t="s">
        <v>2676</v>
      </c>
      <c r="F83" s="657" t="s">
        <v>2677</v>
      </c>
      <c r="G83" s="657" t="s">
        <v>2678</v>
      </c>
      <c r="H83" s="538"/>
      <c r="I83" s="538"/>
      <c r="J83" s="538"/>
      <c r="K83" s="538"/>
      <c r="L83" s="538"/>
      <c r="M83" s="1379"/>
      <c r="N83" s="1151"/>
      <c r="O83" s="1151"/>
      <c r="P83" s="2681"/>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1"/>
      <c r="O84" s="1151"/>
      <c r="P84" s="2681"/>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1"/>
      <c r="Q86" s="503"/>
    </row>
    <row r="87" spans="1:17" s="117" customFormat="1" ht="27.75" thickTop="1">
      <c r="A87" s="578"/>
      <c r="B87" s="537" t="s">
        <v>2698</v>
      </c>
      <c r="C87" s="553"/>
      <c r="D87" s="553"/>
      <c r="E87" s="553"/>
      <c r="F87" s="553"/>
      <c r="G87" s="553"/>
      <c r="H87" s="553"/>
      <c r="I87" s="553"/>
      <c r="J87" s="553"/>
      <c r="K87" s="553"/>
      <c r="L87" s="579"/>
      <c r="M87" s="580"/>
      <c r="N87" s="1149"/>
      <c r="O87" s="1149"/>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1"/>
      <c r="Q88" s="503"/>
    </row>
    <row r="89" spans="1:17" s="117" customFormat="1" ht="15.75" thickTop="1">
      <c r="A89" s="578"/>
      <c r="B89" s="537" t="str">
        <f>B27</f>
        <v>楼层</v>
      </c>
      <c r="C89" s="553"/>
      <c r="D89" s="553"/>
      <c r="E89" s="553"/>
      <c r="F89" s="2632"/>
      <c r="G89" s="553"/>
      <c r="H89" s="553"/>
      <c r="I89" s="553"/>
      <c r="J89" s="553"/>
      <c r="K89" s="553"/>
      <c r="L89" s="553"/>
      <c r="M89" s="580"/>
      <c r="N89" s="1149"/>
      <c r="O89" s="1149"/>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1"/>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3"/>
      <c r="B100" s="568"/>
      <c r="C100" s="569"/>
      <c r="D100" s="569"/>
      <c r="E100" s="569"/>
      <c r="F100" s="569"/>
      <c r="G100" s="590"/>
      <c r="H100" s="590"/>
      <c r="I100" s="590"/>
      <c r="J100" s="590"/>
      <c r="K100" s="590"/>
      <c r="L100" s="590"/>
      <c r="M100" s="591"/>
      <c r="N100" s="1151"/>
      <c r="O100" s="1151"/>
      <c r="P100" s="2681"/>
      <c r="Q100" s="503"/>
    </row>
    <row r="101" spans="1:17">
      <c r="A101" s="526" t="s">
        <v>2562</v>
      </c>
      <c r="B101" s="527" t="s">
        <v>2611</v>
      </c>
      <c r="C101" s="529"/>
      <c r="D101" s="529"/>
      <c r="E101" s="529"/>
      <c r="F101" s="529"/>
      <c r="G101" s="529"/>
      <c r="H101" s="529"/>
      <c r="I101" s="529"/>
      <c r="J101" s="529"/>
      <c r="K101" s="530"/>
      <c r="L101" s="531"/>
      <c r="M101" s="532"/>
      <c r="N101" s="1150"/>
      <c r="O101" s="1150"/>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1"/>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49"/>
      <c r="O103" s="1149"/>
      <c r="P103" s="2681"/>
      <c r="Q103" s="503"/>
    </row>
    <row r="104" spans="1:17" s="470" customFormat="1">
      <c r="A104" s="592"/>
      <c r="B104" s="593"/>
      <c r="C104" s="594"/>
      <c r="D104" s="594"/>
      <c r="E104" s="594"/>
      <c r="F104" s="594"/>
      <c r="G104" s="594"/>
      <c r="H104" s="594"/>
      <c r="I104" s="594"/>
      <c r="J104" s="595"/>
      <c r="K104" s="595"/>
      <c r="L104" s="596"/>
      <c r="M104" s="597"/>
      <c r="N104" s="1152"/>
      <c r="O104" s="1152"/>
      <c r="P104" s="2682"/>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2"/>
      <c r="Q105" s="558"/>
    </row>
    <row r="106" spans="1:17" ht="15" thickTop="1">
      <c r="A106" s="598"/>
      <c r="B106" s="537" t="s">
        <v>2613</v>
      </c>
      <c r="C106" s="553"/>
      <c r="D106" s="553"/>
      <c r="E106" s="582"/>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1"/>
      <c r="Q107" s="503"/>
    </row>
    <row r="108" spans="1:17" ht="15" thickTop="1">
      <c r="A108" s="598"/>
      <c r="B108" s="537" t="s">
        <v>2615</v>
      </c>
      <c r="C108" s="553"/>
      <c r="D108" s="553"/>
      <c r="E108" s="553"/>
      <c r="F108" s="582"/>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0"/>
      <c r="J111" s="620"/>
      <c r="K111" s="621"/>
      <c r="L111" s="622"/>
      <c r="M111" s="623"/>
      <c r="N111" s="1150"/>
      <c r="O111" s="1150"/>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1"/>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2"/>
      <c r="Q114" s="558"/>
    </row>
    <row r="115" spans="1:17" ht="15" thickTop="1">
      <c r="A115" s="598"/>
      <c r="B115" s="537" t="s">
        <v>2616</v>
      </c>
      <c r="C115" s="553"/>
      <c r="D115" s="553"/>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1"/>
      <c r="Q116" s="503"/>
    </row>
    <row r="117" spans="1:17" ht="15" thickTop="1">
      <c r="A117" s="598"/>
      <c r="B117" s="537" t="s">
        <v>2617</v>
      </c>
      <c r="C117" s="553"/>
      <c r="D117" s="553"/>
      <c r="E117" s="553"/>
      <c r="F117" s="553"/>
      <c r="G117" s="553"/>
      <c r="H117" s="582"/>
      <c r="I117" s="582"/>
      <c r="J117" s="582"/>
      <c r="K117" s="583"/>
      <c r="L117" s="584"/>
      <c r="M117" s="585"/>
      <c r="N117" s="1150"/>
      <c r="O117" s="1150"/>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1"/>
      <c r="Q118" s="503"/>
    </row>
    <row r="119" spans="1:17" ht="15" thickTop="1">
      <c r="A119" s="598"/>
      <c r="B119" s="633" t="s">
        <v>2700</v>
      </c>
      <c r="C119" s="582"/>
      <c r="D119" s="582"/>
      <c r="E119" s="582"/>
      <c r="F119" s="582"/>
      <c r="G119" s="582"/>
      <c r="H119" s="582"/>
      <c r="I119" s="582"/>
      <c r="J119" s="582"/>
      <c r="K119" s="582"/>
      <c r="L119" s="2686"/>
      <c r="M119" s="2687"/>
      <c r="N119" s="1151"/>
      <c r="O119" s="1151"/>
      <c r="P119" s="2688"/>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1"/>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2"/>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2"/>
      <c r="Q122" s="558"/>
    </row>
    <row r="123" spans="1:17" ht="15" thickTop="1">
      <c r="A123" s="598"/>
      <c r="B123" s="537" t="s">
        <v>2619</v>
      </c>
      <c r="C123" s="553"/>
      <c r="D123" s="553"/>
      <c r="E123" s="553"/>
      <c r="F123" s="582"/>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1"/>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3"/>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2706</v>
      </c>
      <c r="B1" s="1616"/>
      <c r="C1" s="1617" t="s">
        <v>2529</v>
      </c>
      <c r="D1" s="1618"/>
      <c r="E1" s="1619"/>
      <c r="F1" s="2581"/>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2326</v>
      </c>
      <c r="B2" s="1415" t="e">
        <f ca="1">IF(C2="——",IF(B37="元/平方米",ROUND(C39*D3/10000,0),ROUND(F3*C39/10000,0)),IF(B37="元/平方米",ROUND(C39*D3/10000,0),ROUND(F3*C39/10000,0))-D2)</f>
        <v>#DIV/0!</v>
      </c>
      <c r="C2" s="2583"/>
      <c r="D2" s="1122" t="e">
        <f ca="1">SUMIF(INDIRECT("'"&amp;F2&amp;"'"&amp;"!A:A"),"承租人权益价值",INDIRECT("'"&amp;F2&amp;"'"&amp;"!c:c"))</f>
        <v>#REF!</v>
      </c>
      <c r="E2" s="2584" t="s">
        <v>2327</v>
      </c>
      <c r="F2" s="2585"/>
      <c r="G2" s="1123"/>
      <c r="H2" s="1123"/>
      <c r="I2" s="1123"/>
      <c r="J2" s="1123"/>
      <c r="K2" s="1125"/>
      <c r="L2" s="1126"/>
      <c r="M2" s="1127"/>
      <c r="N2" s="1127"/>
      <c r="O2" s="1127"/>
      <c r="P2" s="1416"/>
      <c r="Q2" s="763"/>
      <c r="R2" s="763"/>
      <c r="S2" s="763"/>
      <c r="T2" s="763"/>
      <c r="U2" s="763"/>
      <c r="V2" s="763"/>
      <c r="W2" s="763"/>
      <c r="X2" s="763"/>
      <c r="Y2" s="763"/>
      <c r="Z2" s="763"/>
      <c r="AA2" s="763"/>
      <c r="AB2" s="763"/>
      <c r="AC2" s="764"/>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6"/>
      <c r="Q3" s="763"/>
      <c r="R3" s="763"/>
      <c r="S3" s="763"/>
      <c r="T3" s="763"/>
      <c r="U3" s="763"/>
      <c r="V3" s="763"/>
      <c r="W3" s="763"/>
      <c r="X3" s="763"/>
      <c r="Y3" s="763"/>
      <c r="Z3" s="763"/>
      <c r="AA3" s="763"/>
      <c r="AB3" s="781"/>
      <c r="AC3" s="777"/>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179" t="s">
        <v>2647</v>
      </c>
      <c r="AC4" s="3178" t="s">
        <v>2648</v>
      </c>
    </row>
    <row r="5" spans="1:29" ht="15">
      <c r="A5" s="403"/>
      <c r="B5" s="404"/>
      <c r="C5" s="3189" t="s">
        <v>2541</v>
      </c>
      <c r="D5" s="3190"/>
      <c r="E5" s="3187" t="s">
        <v>2542</v>
      </c>
      <c r="F5" s="3188"/>
      <c r="G5" s="3189" t="s">
        <v>2543</v>
      </c>
      <c r="H5" s="3190"/>
      <c r="I5" s="3189" t="s">
        <v>2544</v>
      </c>
      <c r="J5" s="3190"/>
      <c r="K5" s="609"/>
      <c r="L5" s="1128"/>
      <c r="M5" s="1129"/>
      <c r="N5" s="1129"/>
      <c r="O5" s="1129"/>
      <c r="P5" s="3202"/>
      <c r="Q5" s="3203"/>
      <c r="R5" s="3185"/>
      <c r="S5" s="3186"/>
      <c r="T5" s="3185"/>
      <c r="U5" s="3186"/>
      <c r="V5" s="3208"/>
      <c r="W5" s="3208"/>
      <c r="X5" s="1810"/>
      <c r="Y5" s="3185"/>
      <c r="Z5" s="3186"/>
      <c r="AA5" s="3179"/>
      <c r="AB5" s="3179"/>
      <c r="AC5" s="3179"/>
    </row>
    <row r="6" spans="1:29" ht="15.75" thickBot="1">
      <c r="A6" s="405"/>
      <c r="B6" s="406"/>
      <c r="C6" s="3191" t="s">
        <v>2545</v>
      </c>
      <c r="D6" s="3192"/>
      <c r="E6" s="3193" t="s">
        <v>2545</v>
      </c>
      <c r="F6" s="3194"/>
      <c r="G6" s="3191" t="s">
        <v>2545</v>
      </c>
      <c r="H6" s="3192"/>
      <c r="I6" s="3191" t="s">
        <v>2545</v>
      </c>
      <c r="J6" s="3192"/>
      <c r="K6" s="609" t="s">
        <v>2546</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7" t="s">
        <v>2547</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81" t="s">
        <v>2548</v>
      </c>
      <c r="Q7" s="3209"/>
      <c r="R7" s="765" t="s">
        <v>17</v>
      </c>
      <c r="S7" s="766">
        <f t="shared" ref="S7:S14" si="0">F7</f>
        <v>0</v>
      </c>
      <c r="T7" s="765" t="s">
        <v>17</v>
      </c>
      <c r="U7" s="766">
        <f t="shared" ref="U7:U14" si="1">H7</f>
        <v>0</v>
      </c>
      <c r="V7" s="765" t="s">
        <v>17</v>
      </c>
      <c r="W7" s="766">
        <f t="shared" ref="W7:W14" si="2">J7</f>
        <v>0</v>
      </c>
      <c r="X7" s="767"/>
      <c r="Y7" s="3181" t="s">
        <v>2548</v>
      </c>
      <c r="Z7" s="3182"/>
      <c r="AA7" s="768" t="e">
        <f>D7/F7</f>
        <v>#DIV/0!</v>
      </c>
      <c r="AB7" s="768" t="e">
        <f>D7/H7</f>
        <v>#DIV/0!</v>
      </c>
      <c r="AC7" s="768"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81" t="s">
        <v>2551</v>
      </c>
      <c r="Q8" s="3182"/>
      <c r="R8" s="765" t="s">
        <v>17</v>
      </c>
      <c r="S8" s="766">
        <f t="shared" si="0"/>
        <v>0</v>
      </c>
      <c r="T8" s="765" t="s">
        <v>17</v>
      </c>
      <c r="U8" s="766">
        <f t="shared" si="1"/>
        <v>0</v>
      </c>
      <c r="V8" s="765" t="s">
        <v>17</v>
      </c>
      <c r="W8" s="766">
        <f t="shared" si="2"/>
        <v>0</v>
      </c>
      <c r="X8" s="767"/>
      <c r="Y8" s="3181" t="s">
        <v>2551</v>
      </c>
      <c r="Z8" s="3182"/>
      <c r="AA8" s="768" t="e">
        <f t="shared" ref="AA8:AA36" si="3">D8/F8</f>
        <v>#DIV/0!</v>
      </c>
      <c r="AB8" s="768" t="e">
        <f t="shared" ref="AB8:AB36" si="4">D8/H8</f>
        <v>#DIV/0!</v>
      </c>
      <c r="AC8" s="768" t="e">
        <f t="shared" ref="AC8:AC36" si="5">D8/J8</f>
        <v>#DIV/0!</v>
      </c>
    </row>
    <row r="9" spans="1:29" s="117" customFormat="1">
      <c r="A9" s="68" t="s">
        <v>2552</v>
      </c>
      <c r="B9" s="637"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3" t="s">
        <v>2554</v>
      </c>
      <c r="Q9" s="1792" t="str">
        <f t="shared" ref="Q9:Q14" si="6">B9</f>
        <v>用途</v>
      </c>
      <c r="R9" s="765" t="s">
        <v>17</v>
      </c>
      <c r="S9" s="766">
        <f t="shared" si="0"/>
        <v>100</v>
      </c>
      <c r="T9" s="765" t="s">
        <v>17</v>
      </c>
      <c r="U9" s="766">
        <f t="shared" si="1"/>
        <v>100</v>
      </c>
      <c r="V9" s="765" t="s">
        <v>17</v>
      </c>
      <c r="W9" s="766">
        <f t="shared" si="2"/>
        <v>100</v>
      </c>
      <c r="X9" s="767"/>
      <c r="Y9" s="3052" t="s">
        <v>2555</v>
      </c>
      <c r="Z9" s="55" t="str">
        <f t="shared" ref="Z9:Z14" si="7">Q9</f>
        <v>用途</v>
      </c>
      <c r="AA9" s="768">
        <f t="shared" si="3"/>
        <v>1</v>
      </c>
      <c r="AB9" s="768">
        <f t="shared" si="4"/>
        <v>1</v>
      </c>
      <c r="AC9" s="768">
        <f t="shared" si="5"/>
        <v>1</v>
      </c>
    </row>
    <row r="10" spans="1:29" s="426" customFormat="1" ht="27">
      <c r="A10" s="638"/>
      <c r="B10" s="639"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3"/>
      <c r="Q10" s="1792" t="str">
        <f t="shared" si="6"/>
        <v>土地使用年限（年）</v>
      </c>
      <c r="R10" s="765" t="s">
        <v>17</v>
      </c>
      <c r="S10" s="766">
        <f t="shared" si="0"/>
        <v>100</v>
      </c>
      <c r="T10" s="765" t="s">
        <v>17</v>
      </c>
      <c r="U10" s="766">
        <f t="shared" si="1"/>
        <v>100</v>
      </c>
      <c r="V10" s="765" t="s">
        <v>17</v>
      </c>
      <c r="W10" s="766">
        <f t="shared" si="2"/>
        <v>100</v>
      </c>
      <c r="X10" s="767"/>
      <c r="Y10" s="3052"/>
      <c r="Z10" s="55" t="str">
        <f t="shared" si="7"/>
        <v>土地使用年限（年）</v>
      </c>
      <c r="AA10" s="768">
        <f t="shared" si="3"/>
        <v>1</v>
      </c>
      <c r="AB10" s="768">
        <f t="shared" si="4"/>
        <v>1</v>
      </c>
      <c r="AC10" s="768">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3"/>
      <c r="Q11" s="1792">
        <f t="shared" si="6"/>
        <v>111</v>
      </c>
      <c r="R11" s="765" t="s">
        <v>17</v>
      </c>
      <c r="S11" s="766">
        <f t="shared" si="0"/>
        <v>100</v>
      </c>
      <c r="T11" s="765" t="s">
        <v>17</v>
      </c>
      <c r="U11" s="766">
        <f t="shared" si="1"/>
        <v>100</v>
      </c>
      <c r="V11" s="765" t="s">
        <v>17</v>
      </c>
      <c r="W11" s="766">
        <f t="shared" si="2"/>
        <v>100</v>
      </c>
      <c r="X11" s="767"/>
      <c r="Y11" s="3052"/>
      <c r="Z11" s="55">
        <f t="shared" si="7"/>
        <v>111</v>
      </c>
      <c r="AA11" s="768">
        <f t="shared" si="3"/>
        <v>1</v>
      </c>
      <c r="AB11" s="768">
        <f t="shared" si="4"/>
        <v>1</v>
      </c>
      <c r="AC11" s="768">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3"/>
      <c r="Q12" s="1792">
        <f t="shared" si="6"/>
        <v>111</v>
      </c>
      <c r="R12" s="765" t="s">
        <v>17</v>
      </c>
      <c r="S12" s="766">
        <f t="shared" si="0"/>
        <v>100</v>
      </c>
      <c r="T12" s="765" t="s">
        <v>17</v>
      </c>
      <c r="U12" s="766">
        <f t="shared" si="1"/>
        <v>100</v>
      </c>
      <c r="V12" s="765" t="s">
        <v>17</v>
      </c>
      <c r="W12" s="766">
        <f t="shared" si="2"/>
        <v>100</v>
      </c>
      <c r="X12" s="767"/>
      <c r="Y12" s="3052"/>
      <c r="Z12" s="55">
        <f t="shared" si="7"/>
        <v>111</v>
      </c>
      <c r="AA12" s="768">
        <f>D12/F12</f>
        <v>1</v>
      </c>
      <c r="AB12" s="768">
        <f>D12/H12</f>
        <v>1</v>
      </c>
      <c r="AC12" s="768">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3"/>
      <c r="Q13" s="1792">
        <f t="shared" si="6"/>
        <v>111</v>
      </c>
      <c r="R13" s="765" t="s">
        <v>17</v>
      </c>
      <c r="S13" s="766">
        <f t="shared" si="0"/>
        <v>100</v>
      </c>
      <c r="T13" s="765" t="s">
        <v>17</v>
      </c>
      <c r="U13" s="766">
        <f t="shared" si="1"/>
        <v>100</v>
      </c>
      <c r="V13" s="765" t="s">
        <v>17</v>
      </c>
      <c r="W13" s="766">
        <f t="shared" si="2"/>
        <v>100</v>
      </c>
      <c r="X13" s="767"/>
      <c r="Y13" s="3052"/>
      <c r="Z13" s="55">
        <f t="shared" si="7"/>
        <v>111</v>
      </c>
      <c r="AA13" s="768">
        <f t="shared" si="3"/>
        <v>1</v>
      </c>
      <c r="AB13" s="768">
        <f t="shared" si="4"/>
        <v>1</v>
      </c>
      <c r="AC13" s="768">
        <f t="shared" si="5"/>
        <v>1</v>
      </c>
    </row>
    <row r="14" spans="1:29" ht="85.5">
      <c r="A14" s="400" t="s">
        <v>2558</v>
      </c>
      <c r="B14" s="626" t="s">
        <v>2708</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5" t="s">
        <v>2559</v>
      </c>
      <c r="Q14" s="1807" t="str">
        <f t="shared" si="6"/>
        <v>交通便捷度</v>
      </c>
      <c r="R14" s="769" t="s">
        <v>17</v>
      </c>
      <c r="S14" s="770">
        <f t="shared" si="0"/>
        <v>100</v>
      </c>
      <c r="T14" s="769" t="s">
        <v>17</v>
      </c>
      <c r="U14" s="770">
        <f t="shared" si="1"/>
        <v>100</v>
      </c>
      <c r="V14" s="769" t="s">
        <v>17</v>
      </c>
      <c r="W14" s="770">
        <f t="shared" si="2"/>
        <v>100</v>
      </c>
      <c r="X14" s="1810"/>
      <c r="Y14" s="3215" t="s">
        <v>2559</v>
      </c>
      <c r="Z14" s="1811" t="str">
        <f t="shared" si="7"/>
        <v>交通便捷度</v>
      </c>
      <c r="AA14" s="1808">
        <f t="shared" si="3"/>
        <v>1</v>
      </c>
      <c r="AB14" s="1808">
        <f t="shared" si="4"/>
        <v>1</v>
      </c>
      <c r="AC14" s="1808">
        <f t="shared" si="5"/>
        <v>1</v>
      </c>
    </row>
    <row r="15" spans="1:29" ht="15">
      <c r="A15" s="403"/>
      <c r="B15" s="644"/>
      <c r="C15" s="446"/>
      <c r="D15" s="447"/>
      <c r="E15" s="446"/>
      <c r="F15" s="448"/>
      <c r="G15" s="446"/>
      <c r="H15" s="449"/>
      <c r="I15" s="446"/>
      <c r="J15" s="447"/>
      <c r="K15" s="614"/>
      <c r="L15" s="1138"/>
      <c r="M15" s="1129"/>
      <c r="N15" s="1129"/>
      <c r="O15" s="1129"/>
      <c r="P15" s="3216"/>
      <c r="Q15" s="1807"/>
      <c r="R15" s="769"/>
      <c r="S15" s="770"/>
      <c r="T15" s="769"/>
      <c r="U15" s="770"/>
      <c r="V15" s="769"/>
      <c r="W15" s="770"/>
      <c r="X15" s="1810"/>
      <c r="Y15" s="3216"/>
      <c r="Z15" s="1811"/>
      <c r="AA15" s="1808">
        <v>1</v>
      </c>
      <c r="AB15" s="1808">
        <v>1</v>
      </c>
      <c r="AC15" s="1808">
        <v>1</v>
      </c>
    </row>
    <row r="16" spans="1:29" ht="42.75">
      <c r="A16" s="403"/>
      <c r="B16" s="628" t="s">
        <v>2687</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6"/>
      <c r="Q16" s="1807" t="str">
        <f>B16</f>
        <v>公共配套设施</v>
      </c>
      <c r="R16" s="769" t="s">
        <v>17</v>
      </c>
      <c r="S16" s="770">
        <f>F16</f>
        <v>100</v>
      </c>
      <c r="T16" s="769" t="s">
        <v>17</v>
      </c>
      <c r="U16" s="770">
        <f>H16</f>
        <v>100</v>
      </c>
      <c r="V16" s="769" t="s">
        <v>17</v>
      </c>
      <c r="W16" s="770">
        <f>J16</f>
        <v>100</v>
      </c>
      <c r="X16" s="1810"/>
      <c r="Y16" s="3216"/>
      <c r="Z16" s="1811" t="str">
        <f>Q16</f>
        <v>公共配套设施</v>
      </c>
      <c r="AA16" s="1808">
        <f t="shared" si="3"/>
        <v>1</v>
      </c>
      <c r="AB16" s="1808">
        <f t="shared" si="4"/>
        <v>1</v>
      </c>
      <c r="AC16" s="1808">
        <f t="shared" si="5"/>
        <v>1</v>
      </c>
    </row>
    <row r="17" spans="1:29" ht="15">
      <c r="A17" s="403"/>
      <c r="B17" s="629"/>
      <c r="C17" s="2605"/>
      <c r="D17" s="447"/>
      <c r="E17" s="446"/>
      <c r="F17" s="448"/>
      <c r="G17" s="446"/>
      <c r="H17" s="447"/>
      <c r="I17" s="446"/>
      <c r="J17" s="447"/>
      <c r="K17" s="614"/>
      <c r="L17" s="1138"/>
      <c r="M17" s="1129"/>
      <c r="N17" s="1129"/>
      <c r="O17" s="1129"/>
      <c r="P17" s="3216"/>
      <c r="Q17" s="1807"/>
      <c r="R17" s="769"/>
      <c r="S17" s="770"/>
      <c r="T17" s="769"/>
      <c r="U17" s="770"/>
      <c r="V17" s="769"/>
      <c r="W17" s="770"/>
      <c r="X17" s="1810"/>
      <c r="Y17" s="3216"/>
      <c r="Z17" s="1811"/>
      <c r="AA17" s="1808">
        <v>1</v>
      </c>
      <c r="AB17" s="1808">
        <v>1</v>
      </c>
      <c r="AC17" s="1808">
        <v>1</v>
      </c>
    </row>
    <row r="18" spans="1:29" ht="28.5">
      <c r="A18" s="403"/>
      <c r="B18" s="630" t="s">
        <v>2688</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6"/>
      <c r="Q18" s="1807" t="str">
        <f>B18</f>
        <v>基础设施水平</v>
      </c>
      <c r="R18" s="769" t="s">
        <v>17</v>
      </c>
      <c r="S18" s="770">
        <f>F18</f>
        <v>100</v>
      </c>
      <c r="T18" s="769" t="s">
        <v>17</v>
      </c>
      <c r="U18" s="770">
        <f>H18</f>
        <v>100</v>
      </c>
      <c r="V18" s="769" t="s">
        <v>17</v>
      </c>
      <c r="W18" s="770">
        <f>J18</f>
        <v>100</v>
      </c>
      <c r="X18" s="1810"/>
      <c r="Y18" s="3216"/>
      <c r="Z18" s="1811" t="str">
        <f>Q18</f>
        <v>基础设施水平</v>
      </c>
      <c r="AA18" s="1808">
        <f t="shared" ref="AA18" si="8">D18/F18</f>
        <v>1</v>
      </c>
      <c r="AB18" s="1808">
        <f t="shared" ref="AB18" si="9">D18/H18</f>
        <v>1</v>
      </c>
      <c r="AC18" s="1808">
        <f t="shared" ref="AC18" si="10">D18/J18</f>
        <v>1</v>
      </c>
    </row>
    <row r="19" spans="1:29" ht="15">
      <c r="A19" s="403"/>
      <c r="B19" s="630"/>
      <c r="C19" s="2605"/>
      <c r="D19" s="449"/>
      <c r="E19" s="2605"/>
      <c r="F19" s="452"/>
      <c r="G19" s="2605"/>
      <c r="H19" s="447"/>
      <c r="I19" s="446"/>
      <c r="J19" s="447"/>
      <c r="K19" s="1380"/>
      <c r="L19" s="1138"/>
      <c r="M19" s="1129"/>
      <c r="N19" s="1129"/>
      <c r="O19" s="1129"/>
      <c r="P19" s="3216"/>
      <c r="Q19" s="1807"/>
      <c r="R19" s="769"/>
      <c r="S19" s="770"/>
      <c r="T19" s="769"/>
      <c r="U19" s="770"/>
      <c r="V19" s="769"/>
      <c r="W19" s="770"/>
      <c r="X19" s="1810"/>
      <c r="Y19" s="3216"/>
      <c r="Z19" s="1811"/>
      <c r="AA19" s="1808">
        <v>1</v>
      </c>
      <c r="AB19" s="1808">
        <v>1</v>
      </c>
      <c r="AC19" s="1808">
        <v>1</v>
      </c>
    </row>
    <row r="20" spans="1:29" ht="57">
      <c r="A20" s="403"/>
      <c r="B20" s="628" t="s">
        <v>2709</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6"/>
      <c r="Q20" s="1807" t="str">
        <f>B20</f>
        <v>自然及人文环境</v>
      </c>
      <c r="R20" s="769" t="s">
        <v>17</v>
      </c>
      <c r="S20" s="770">
        <f>F20</f>
        <v>100</v>
      </c>
      <c r="T20" s="769" t="s">
        <v>17</v>
      </c>
      <c r="U20" s="770">
        <f>H20</f>
        <v>100</v>
      </c>
      <c r="V20" s="769" t="s">
        <v>17</v>
      </c>
      <c r="W20" s="770">
        <f>J20</f>
        <v>100</v>
      </c>
      <c r="X20" s="1810"/>
      <c r="Y20" s="3216"/>
      <c r="Z20" s="1811" t="str">
        <f>Q20</f>
        <v>自然及人文环境</v>
      </c>
      <c r="AA20" s="1808">
        <f t="shared" si="3"/>
        <v>1</v>
      </c>
      <c r="AB20" s="1808">
        <f t="shared" si="4"/>
        <v>1</v>
      </c>
      <c r="AC20" s="1808">
        <f t="shared" si="5"/>
        <v>1</v>
      </c>
    </row>
    <row r="21" spans="1:29" ht="15">
      <c r="A21" s="403"/>
      <c r="B21" s="629"/>
      <c r="C21" s="446"/>
      <c r="D21" s="447"/>
      <c r="E21" s="446"/>
      <c r="F21" s="448"/>
      <c r="G21" s="446"/>
      <c r="H21" s="447"/>
      <c r="I21" s="446"/>
      <c r="J21" s="447"/>
      <c r="K21" s="614"/>
      <c r="L21" s="1138"/>
      <c r="M21" s="1129"/>
      <c r="N21" s="1129"/>
      <c r="O21" s="1129"/>
      <c r="P21" s="3216"/>
      <c r="Q21" s="1807"/>
      <c r="R21" s="769"/>
      <c r="S21" s="770"/>
      <c r="T21" s="769"/>
      <c r="U21" s="770"/>
      <c r="V21" s="769"/>
      <c r="W21" s="770"/>
      <c r="X21" s="1810"/>
      <c r="Y21" s="3216"/>
      <c r="Z21" s="1811"/>
      <c r="AA21" s="1808">
        <v>1</v>
      </c>
      <c r="AB21" s="1808">
        <v>1</v>
      </c>
      <c r="AC21" s="1808">
        <v>1</v>
      </c>
    </row>
    <row r="22" spans="1:29" ht="15">
      <c r="A22" s="403"/>
      <c r="B22" s="628"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6"/>
      <c r="Q22" s="1807" t="str">
        <f>B22</f>
        <v>楼层</v>
      </c>
      <c r="R22" s="769" t="s">
        <v>17</v>
      </c>
      <c r="S22" s="770">
        <f>F22</f>
        <v>100</v>
      </c>
      <c r="T22" s="769" t="s">
        <v>17</v>
      </c>
      <c r="U22" s="770">
        <f>H22</f>
        <v>100</v>
      </c>
      <c r="V22" s="769" t="s">
        <v>17</v>
      </c>
      <c r="W22" s="770">
        <f>J22</f>
        <v>100</v>
      </c>
      <c r="X22" s="1810"/>
      <c r="Y22" s="3216"/>
      <c r="Z22" s="1811" t="str">
        <f>Q22</f>
        <v>楼层</v>
      </c>
      <c r="AA22" s="1808">
        <f t="shared" si="3"/>
        <v>1</v>
      </c>
      <c r="AB22" s="1808">
        <f t="shared" si="4"/>
        <v>1</v>
      </c>
      <c r="AC22" s="1808">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6"/>
      <c r="Q23" s="1807">
        <f>B23</f>
        <v>111</v>
      </c>
      <c r="R23" s="769" t="s">
        <v>17</v>
      </c>
      <c r="S23" s="770">
        <f>F23</f>
        <v>100</v>
      </c>
      <c r="T23" s="769" t="s">
        <v>17</v>
      </c>
      <c r="U23" s="770">
        <f>H23</f>
        <v>100</v>
      </c>
      <c r="V23" s="769" t="s">
        <v>17</v>
      </c>
      <c r="W23" s="770">
        <f>J23</f>
        <v>100</v>
      </c>
      <c r="X23" s="1810"/>
      <c r="Y23" s="3216"/>
      <c r="Z23" s="1811">
        <f>Q23</f>
        <v>111</v>
      </c>
      <c r="AA23" s="1808">
        <f t="shared" si="3"/>
        <v>1</v>
      </c>
      <c r="AB23" s="1808">
        <f t="shared" si="4"/>
        <v>1</v>
      </c>
      <c r="AC23" s="1808">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6"/>
      <c r="Q24" s="1807">
        <f t="shared" ref="Q24:Q36" si="11">B24</f>
        <v>111</v>
      </c>
      <c r="R24" s="769" t="s">
        <v>17</v>
      </c>
      <c r="S24" s="770">
        <f>F24</f>
        <v>100</v>
      </c>
      <c r="T24" s="769" t="s">
        <v>17</v>
      </c>
      <c r="U24" s="770">
        <f>H24</f>
        <v>100</v>
      </c>
      <c r="V24" s="769" t="s">
        <v>17</v>
      </c>
      <c r="W24" s="770">
        <f>J24</f>
        <v>100</v>
      </c>
      <c r="X24" s="1810"/>
      <c r="Y24" s="3216"/>
      <c r="Z24" s="1811">
        <f>Q24</f>
        <v>111</v>
      </c>
      <c r="AA24" s="1808">
        <f t="shared" si="3"/>
        <v>1</v>
      </c>
      <c r="AB24" s="1808">
        <f t="shared" si="4"/>
        <v>1</v>
      </c>
      <c r="AC24" s="1808">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0"/>
      <c r="M25" s="1131"/>
      <c r="N25" s="1131"/>
      <c r="O25" s="1131"/>
      <c r="P25" s="3216"/>
      <c r="Q25" s="1792">
        <f t="shared" si="11"/>
        <v>111</v>
      </c>
      <c r="R25" s="765" t="s">
        <v>17</v>
      </c>
      <c r="S25" s="766">
        <f>F25</f>
        <v>100</v>
      </c>
      <c r="T25" s="765" t="s">
        <v>17</v>
      </c>
      <c r="U25" s="766">
        <f>H25</f>
        <v>100</v>
      </c>
      <c r="V25" s="765" t="s">
        <v>17</v>
      </c>
      <c r="W25" s="766">
        <f>J25</f>
        <v>100</v>
      </c>
      <c r="X25" s="767"/>
      <c r="Y25" s="3216"/>
      <c r="Z25" s="55">
        <f>Q25</f>
        <v>111</v>
      </c>
      <c r="AA25" s="1808">
        <f>D25/F25</f>
        <v>1</v>
      </c>
      <c r="AB25" s="1808">
        <f>D25/H25</f>
        <v>1</v>
      </c>
      <c r="AC25" s="1808">
        <f>D25/J25</f>
        <v>1</v>
      </c>
    </row>
    <row r="26" spans="1:29" ht="15">
      <c r="A26" s="649" t="s">
        <v>2562</v>
      </c>
      <c r="B26" s="70" t="s">
        <v>2711</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3" t="s">
        <v>2564</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220" t="s">
        <v>2564</v>
      </c>
      <c r="Z26" s="1811" t="str">
        <f t="shared" ref="Z26:Z36" si="15">Q26</f>
        <v>配套类型</v>
      </c>
      <c r="AA26" s="1808">
        <f t="shared" si="3"/>
        <v>1</v>
      </c>
      <c r="AB26" s="1808">
        <f t="shared" si="4"/>
        <v>1</v>
      </c>
      <c r="AC26" s="1808">
        <f t="shared" si="5"/>
        <v>1</v>
      </c>
    </row>
    <row r="27" spans="1:29" s="470" customFormat="1" ht="15">
      <c r="A27" s="650"/>
      <c r="B27" s="651" t="s">
        <v>2712</v>
      </c>
      <c r="C27" s="652"/>
      <c r="D27" s="135">
        <v>100</v>
      </c>
      <c r="E27" s="652"/>
      <c r="F27" s="460">
        <f>SUMIF(81:81,E27,82:82)-SUMIF(81:81,C27,82:82)+100</f>
        <v>100</v>
      </c>
      <c r="G27" s="652"/>
      <c r="H27" s="434">
        <f>SUMIF(81:81,G27,82:82)-SUMIF(81:81,C27,82:82)+100</f>
        <v>100</v>
      </c>
      <c r="I27" s="652"/>
      <c r="J27" s="434">
        <f>SUMIF(81:81,I27,82:82)-SUMIF(81:81,C27,82:82)+100</f>
        <v>100</v>
      </c>
      <c r="K27" s="612"/>
      <c r="L27" s="1136"/>
      <c r="M27" s="1139"/>
      <c r="N27" s="1139"/>
      <c r="O27" s="1139"/>
      <c r="P27" s="3220"/>
      <c r="Q27" s="771" t="str">
        <f t="shared" si="11"/>
        <v>项目停车位配比</v>
      </c>
      <c r="R27" s="772" t="s">
        <v>17</v>
      </c>
      <c r="S27" s="773">
        <f t="shared" si="12"/>
        <v>100</v>
      </c>
      <c r="T27" s="772" t="s">
        <v>17</v>
      </c>
      <c r="U27" s="773">
        <f t="shared" si="13"/>
        <v>100</v>
      </c>
      <c r="V27" s="772" t="s">
        <v>17</v>
      </c>
      <c r="W27" s="773">
        <f t="shared" si="14"/>
        <v>100</v>
      </c>
      <c r="X27" s="774"/>
      <c r="Y27" s="3220"/>
      <c r="Z27" s="775" t="str">
        <f t="shared" si="15"/>
        <v>项目停车位配比</v>
      </c>
      <c r="AA27" s="1808">
        <f t="shared" si="3"/>
        <v>1</v>
      </c>
      <c r="AB27" s="1808">
        <f t="shared" si="4"/>
        <v>1</v>
      </c>
      <c r="AC27" s="1808">
        <f t="shared" si="5"/>
        <v>1</v>
      </c>
    </row>
    <row r="28" spans="1:29" ht="15">
      <c r="A28" s="653"/>
      <c r="B28" s="651"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0"/>
      <c r="Q28" s="1807" t="str">
        <f t="shared" si="11"/>
        <v>公共部分装修</v>
      </c>
      <c r="R28" s="769" t="s">
        <v>17</v>
      </c>
      <c r="S28" s="770">
        <f t="shared" si="12"/>
        <v>100</v>
      </c>
      <c r="T28" s="769" t="s">
        <v>17</v>
      </c>
      <c r="U28" s="770">
        <f t="shared" si="13"/>
        <v>100</v>
      </c>
      <c r="V28" s="769" t="s">
        <v>17</v>
      </c>
      <c r="W28" s="770">
        <f t="shared" si="14"/>
        <v>100</v>
      </c>
      <c r="X28" s="1810"/>
      <c r="Y28" s="3220"/>
      <c r="Z28" s="1811" t="str">
        <f t="shared" si="15"/>
        <v>公共部分装修</v>
      </c>
      <c r="AA28" s="1808">
        <f t="shared" si="3"/>
        <v>1</v>
      </c>
      <c r="AB28" s="1808">
        <f t="shared" si="4"/>
        <v>1</v>
      </c>
      <c r="AC28" s="1808">
        <f t="shared" si="5"/>
        <v>1</v>
      </c>
    </row>
    <row r="29" spans="1:29" ht="15">
      <c r="A29" s="653"/>
      <c r="B29" s="651"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0"/>
      <c r="Q29" s="1807" t="str">
        <f t="shared" si="11"/>
        <v>成新率</v>
      </c>
      <c r="R29" s="769" t="s">
        <v>17</v>
      </c>
      <c r="S29" s="770" t="e">
        <f t="shared" si="12"/>
        <v>#N/A</v>
      </c>
      <c r="T29" s="769" t="s">
        <v>17</v>
      </c>
      <c r="U29" s="770" t="e">
        <f t="shared" si="13"/>
        <v>#N/A</v>
      </c>
      <c r="V29" s="769" t="s">
        <v>17</v>
      </c>
      <c r="W29" s="770" t="e">
        <f t="shared" si="14"/>
        <v>#N/A</v>
      </c>
      <c r="X29" s="1810"/>
      <c r="Y29" s="3220"/>
      <c r="Z29" s="1811" t="str">
        <f t="shared" si="15"/>
        <v>成新率</v>
      </c>
      <c r="AA29" s="1808" t="e">
        <f t="shared" si="3"/>
        <v>#N/A</v>
      </c>
      <c r="AB29" s="1808" t="e">
        <f t="shared" si="4"/>
        <v>#N/A</v>
      </c>
      <c r="AC29" s="1808" t="e">
        <f t="shared" si="5"/>
        <v>#N/A</v>
      </c>
    </row>
    <row r="30" spans="1:29" ht="15">
      <c r="A30" s="653"/>
      <c r="B30" s="651" t="s">
        <v>2715</v>
      </c>
      <c r="C30" s="654"/>
      <c r="D30" s="434">
        <v>100</v>
      </c>
      <c r="E30" s="654"/>
      <c r="F30" s="460">
        <f>SUMIF(88:88,E30,89:89)-SUMIF(88:88,C30,89:89)+100</f>
        <v>100</v>
      </c>
      <c r="G30" s="654"/>
      <c r="H30" s="434">
        <f>SUMIF(88:88,E30,89:89)-SUMIF(88:88,C30,89:89)+100</f>
        <v>100</v>
      </c>
      <c r="I30" s="654"/>
      <c r="J30" s="434">
        <f>SUMIF(88:88,E30,89:89)-SUMIF(88:88,C30,89:89)+100</f>
        <v>100</v>
      </c>
      <c r="K30" s="611"/>
      <c r="L30" s="1138"/>
      <c r="M30" s="1129"/>
      <c r="N30" s="1129"/>
      <c r="O30" s="1129"/>
      <c r="P30" s="3220"/>
      <c r="Q30" s="1807" t="str">
        <f t="shared" si="11"/>
        <v>物业等级</v>
      </c>
      <c r="R30" s="769" t="s">
        <v>17</v>
      </c>
      <c r="S30" s="770">
        <f t="shared" si="12"/>
        <v>100</v>
      </c>
      <c r="T30" s="769" t="s">
        <v>17</v>
      </c>
      <c r="U30" s="770">
        <f t="shared" si="13"/>
        <v>100</v>
      </c>
      <c r="V30" s="769" t="s">
        <v>17</v>
      </c>
      <c r="W30" s="770">
        <f t="shared" si="14"/>
        <v>100</v>
      </c>
      <c r="X30" s="1810"/>
      <c r="Y30" s="3220"/>
      <c r="Z30" s="1811" t="str">
        <f t="shared" si="15"/>
        <v>物业等级</v>
      </c>
      <c r="AA30" s="1808">
        <f t="shared" si="3"/>
        <v>1</v>
      </c>
      <c r="AB30" s="1808">
        <f t="shared" si="4"/>
        <v>1</v>
      </c>
      <c r="AC30" s="1808">
        <f t="shared" si="5"/>
        <v>1</v>
      </c>
    </row>
    <row r="31" spans="1:29" s="117" customFormat="1" ht="15">
      <c r="A31" s="655"/>
      <c r="B31" s="651"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0"/>
      <c r="Q31" s="1792" t="str">
        <f t="shared" si="11"/>
        <v>停车位面积</v>
      </c>
      <c r="R31" s="765" t="s">
        <v>17</v>
      </c>
      <c r="S31" s="766" t="e">
        <f t="shared" si="12"/>
        <v>#N/A</v>
      </c>
      <c r="T31" s="765" t="s">
        <v>17</v>
      </c>
      <c r="U31" s="766" t="e">
        <f t="shared" si="13"/>
        <v>#N/A</v>
      </c>
      <c r="V31" s="765" t="s">
        <v>17</v>
      </c>
      <c r="W31" s="766" t="e">
        <f t="shared" si="14"/>
        <v>#N/A</v>
      </c>
      <c r="X31" s="767"/>
      <c r="Y31" s="3220"/>
      <c r="Z31" s="55" t="str">
        <f t="shared" si="15"/>
        <v>停车位面积</v>
      </c>
      <c r="AA31" s="768" t="e">
        <f t="shared" si="3"/>
        <v>#N/A</v>
      </c>
      <c r="AB31" s="768" t="e">
        <f t="shared" si="4"/>
        <v>#N/A</v>
      </c>
      <c r="AC31" s="768" t="e">
        <f t="shared" si="5"/>
        <v>#N/A</v>
      </c>
    </row>
    <row r="32" spans="1:29" ht="15">
      <c r="A32" s="653"/>
      <c r="B32" s="651"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0" t="s">
        <v>2564</v>
      </c>
      <c r="Q32" s="1807" t="str">
        <f t="shared" si="11"/>
        <v>车位类型</v>
      </c>
      <c r="R32" s="769" t="s">
        <v>17</v>
      </c>
      <c r="S32" s="770">
        <f t="shared" si="12"/>
        <v>100</v>
      </c>
      <c r="T32" s="769" t="s">
        <v>17</v>
      </c>
      <c r="U32" s="770">
        <f t="shared" si="13"/>
        <v>100</v>
      </c>
      <c r="V32" s="769" t="s">
        <v>17</v>
      </c>
      <c r="W32" s="770">
        <f t="shared" si="14"/>
        <v>100</v>
      </c>
      <c r="X32" s="1810"/>
      <c r="Y32" s="3220" t="s">
        <v>2564</v>
      </c>
      <c r="Z32" s="1811" t="str">
        <f t="shared" si="15"/>
        <v>车位类型</v>
      </c>
      <c r="AA32" s="1808">
        <f t="shared" si="3"/>
        <v>1</v>
      </c>
      <c r="AB32" s="1808">
        <f t="shared" si="4"/>
        <v>1</v>
      </c>
      <c r="AC32" s="1808">
        <f t="shared" si="5"/>
        <v>1</v>
      </c>
    </row>
    <row r="33" spans="1:29" ht="15">
      <c r="A33" s="653"/>
      <c r="B33" s="651"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0"/>
      <c r="Q33" s="1807" t="str">
        <f t="shared" si="11"/>
        <v>是否直接入户</v>
      </c>
      <c r="R33" s="769" t="s">
        <v>17</v>
      </c>
      <c r="S33" s="770">
        <f t="shared" si="12"/>
        <v>100</v>
      </c>
      <c r="T33" s="769" t="s">
        <v>17</v>
      </c>
      <c r="U33" s="770">
        <f t="shared" si="13"/>
        <v>100</v>
      </c>
      <c r="V33" s="769" t="s">
        <v>17</v>
      </c>
      <c r="W33" s="770">
        <f t="shared" si="14"/>
        <v>100</v>
      </c>
      <c r="X33" s="1810"/>
      <c r="Y33" s="3220"/>
      <c r="Z33" s="1811" t="str">
        <f t="shared" si="15"/>
        <v>是否直接入户</v>
      </c>
      <c r="AA33" s="1808">
        <f t="shared" si="3"/>
        <v>1</v>
      </c>
      <c r="AB33" s="1808">
        <f t="shared" si="4"/>
        <v>1</v>
      </c>
      <c r="AC33" s="1808">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0"/>
      <c r="Q34" s="1807">
        <f t="shared" si="11"/>
        <v>111</v>
      </c>
      <c r="R34" s="769" t="s">
        <v>17</v>
      </c>
      <c r="S34" s="770">
        <f t="shared" si="12"/>
        <v>100</v>
      </c>
      <c r="T34" s="769" t="s">
        <v>17</v>
      </c>
      <c r="U34" s="770">
        <f t="shared" si="13"/>
        <v>100</v>
      </c>
      <c r="V34" s="769" t="s">
        <v>17</v>
      </c>
      <c r="W34" s="770">
        <f t="shared" si="14"/>
        <v>100</v>
      </c>
      <c r="X34" s="1810"/>
      <c r="Y34" s="3220"/>
      <c r="Z34" s="1811">
        <f t="shared" si="15"/>
        <v>111</v>
      </c>
      <c r="AA34" s="1808">
        <f t="shared" si="3"/>
        <v>1</v>
      </c>
      <c r="AB34" s="1808">
        <f t="shared" si="4"/>
        <v>1</v>
      </c>
      <c r="AC34" s="1808">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0"/>
      <c r="Q35" s="771">
        <f t="shared" si="11"/>
        <v>111</v>
      </c>
      <c r="R35" s="772" t="s">
        <v>17</v>
      </c>
      <c r="S35" s="773">
        <f t="shared" si="12"/>
        <v>100</v>
      </c>
      <c r="T35" s="772" t="s">
        <v>17</v>
      </c>
      <c r="U35" s="773">
        <f t="shared" si="13"/>
        <v>100</v>
      </c>
      <c r="V35" s="772" t="s">
        <v>17</v>
      </c>
      <c r="W35" s="773">
        <f t="shared" si="14"/>
        <v>100</v>
      </c>
      <c r="X35" s="774"/>
      <c r="Y35" s="3220"/>
      <c r="Z35" s="775">
        <f t="shared" si="15"/>
        <v>111</v>
      </c>
      <c r="AA35" s="1808">
        <f t="shared" si="3"/>
        <v>1</v>
      </c>
      <c r="AB35" s="1808">
        <f t="shared" si="4"/>
        <v>1</v>
      </c>
      <c r="AC35" s="1808">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0"/>
      <c r="Q36" s="1807">
        <f t="shared" si="11"/>
        <v>111</v>
      </c>
      <c r="R36" s="769" t="s">
        <v>17</v>
      </c>
      <c r="S36" s="770">
        <f t="shared" si="12"/>
        <v>100</v>
      </c>
      <c r="T36" s="769" t="s">
        <v>17</v>
      </c>
      <c r="U36" s="770">
        <f t="shared" si="13"/>
        <v>100</v>
      </c>
      <c r="V36" s="769" t="s">
        <v>17</v>
      </c>
      <c r="W36" s="770">
        <f t="shared" si="14"/>
        <v>100</v>
      </c>
      <c r="X36" s="1810"/>
      <c r="Y36" s="3220"/>
      <c r="Z36" s="1811">
        <f t="shared" si="15"/>
        <v>111</v>
      </c>
      <c r="AA36" s="1808">
        <f t="shared" si="3"/>
        <v>1</v>
      </c>
      <c r="AB36" s="1808">
        <f t="shared" si="4"/>
        <v>1</v>
      </c>
      <c r="AC36" s="1808">
        <f t="shared" si="5"/>
        <v>1</v>
      </c>
    </row>
    <row r="37" spans="1:29" ht="15">
      <c r="A37" s="478" t="s">
        <v>2719</v>
      </c>
      <c r="B37" s="2692" t="s">
        <v>2720</v>
      </c>
      <c r="C37" s="1404" t="s">
        <v>1</v>
      </c>
      <c r="D37" s="1405"/>
      <c r="E37" s="1406"/>
      <c r="F37" s="1407"/>
      <c r="G37" s="1408"/>
      <c r="H37" s="1409"/>
      <c r="I37" s="1406"/>
      <c r="J37" s="1409"/>
      <c r="K37" s="616"/>
      <c r="L37" s="1141"/>
      <c r="M37" s="1142"/>
      <c r="N37" s="1129"/>
      <c r="O37" s="1142"/>
      <c r="P37" s="3213" t="str">
        <f>A37</f>
        <v>成交单价</v>
      </c>
      <c r="Q37" s="3213"/>
      <c r="R37" s="3214">
        <f>E37</f>
        <v>0</v>
      </c>
      <c r="S37" s="3214"/>
      <c r="T37" s="3214">
        <f>G37</f>
        <v>0</v>
      </c>
      <c r="U37" s="3214"/>
      <c r="V37" s="3214">
        <f>I37</f>
        <v>0</v>
      </c>
      <c r="W37" s="3214"/>
      <c r="X37" s="754"/>
      <c r="Y37" s="776"/>
      <c r="Z37" s="754"/>
      <c r="AA37" s="754"/>
      <c r="AB37" s="754"/>
      <c r="AC37" s="754"/>
    </row>
    <row r="38" spans="1:29" ht="15.75" thickBot="1">
      <c r="A38" s="485" t="s">
        <v>2721</v>
      </c>
      <c r="B38" s="486" t="str">
        <f>B37</f>
        <v>元/车位</v>
      </c>
      <c r="C38" s="1410" t="e">
        <f>R39</f>
        <v>#DIV/0!</v>
      </c>
      <c r="D38" s="1411"/>
      <c r="E38" s="1412" t="e">
        <f>R38</f>
        <v>#DIV/0!</v>
      </c>
      <c r="F38" s="1412"/>
      <c r="G38" s="1410" t="e">
        <f>T38</f>
        <v>#DIV/0!</v>
      </c>
      <c r="H38" s="1411"/>
      <c r="I38" s="1412" t="e">
        <f>V38</f>
        <v>#DIV/0!</v>
      </c>
      <c r="J38" s="1411"/>
      <c r="K38" s="617"/>
      <c r="L38" s="1141"/>
      <c r="M38" s="1142"/>
      <c r="N38" s="1142"/>
      <c r="O38" s="1142"/>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4"/>
      <c r="Y38" s="754"/>
      <c r="Z38" s="754"/>
      <c r="AA38" s="754"/>
      <c r="AB38" s="754"/>
      <c r="AC38" s="754"/>
    </row>
    <row r="39" spans="1:29" ht="15.75" thickBot="1">
      <c r="A39" s="491" t="s">
        <v>2722</v>
      </c>
      <c r="B39" s="492"/>
      <c r="C39" s="1414" t="e">
        <f>R39</f>
        <v>#DIV/0!</v>
      </c>
      <c r="D39" s="1414"/>
      <c r="E39" s="1414"/>
      <c r="F39" s="1414"/>
      <c r="G39" s="1414"/>
      <c r="H39" s="1414"/>
      <c r="I39" s="1414"/>
      <c r="J39" s="1414"/>
      <c r="K39" s="618"/>
      <c r="L39" s="1141"/>
      <c r="M39" s="1142"/>
      <c r="N39" s="1142"/>
      <c r="O39" s="1142"/>
      <c r="P39" s="3210" t="str">
        <f>A39</f>
        <v>估价对象XX用房的比较价值（楼面单价，元/平方米）</v>
      </c>
      <c r="Q39" s="3211"/>
      <c r="R39" s="3212" t="e">
        <f>IF(F1="售价",ROUND(AVERAGE(R38:V38),0),ROUND(AVERAGE(R38:V38),1))</f>
        <v>#DIV/0!</v>
      </c>
      <c r="S39" s="3212"/>
      <c r="T39" s="3212"/>
      <c r="U39" s="3212"/>
      <c r="V39" s="3212"/>
      <c r="W39" s="3212"/>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2726</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2727</v>
      </c>
      <c r="B48" s="505"/>
      <c r="C48" s="1571" t="str">
        <f>YEAR(C7)&amp;"-"&amp;MONTH(C7)</f>
        <v>2018-9</v>
      </c>
      <c r="D48" s="1572">
        <f>EDATE(C48,-1)</f>
        <v>43313</v>
      </c>
      <c r="E48" s="1572">
        <f t="shared" ref="E48:O48" si="16">EDATE(D48,-1)</f>
        <v>43282</v>
      </c>
      <c r="F48" s="1572">
        <f t="shared" si="16"/>
        <v>43252</v>
      </c>
      <c r="G48" s="1572">
        <f t="shared" si="16"/>
        <v>43221</v>
      </c>
      <c r="H48" s="1572">
        <f t="shared" si="16"/>
        <v>43191</v>
      </c>
      <c r="I48" s="1572">
        <f t="shared" si="16"/>
        <v>43160</v>
      </c>
      <c r="J48" s="1572">
        <f t="shared" si="16"/>
        <v>43132</v>
      </c>
      <c r="K48" s="1572">
        <f t="shared" si="16"/>
        <v>43101</v>
      </c>
      <c r="L48" s="1572">
        <f t="shared" si="16"/>
        <v>43070</v>
      </c>
      <c r="M48" s="1572">
        <f t="shared" si="16"/>
        <v>43040</v>
      </c>
      <c r="N48" s="1572">
        <f t="shared" si="16"/>
        <v>43009</v>
      </c>
      <c r="O48" s="1572">
        <f t="shared" si="16"/>
        <v>42979</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2584</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2549</v>
      </c>
      <c r="B51" s="509"/>
      <c r="C51" s="521" t="s">
        <v>2651</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7" customFormat="1" ht="15.75" thickBot="1">
      <c r="A52" s="520"/>
      <c r="B52" s="509"/>
      <c r="C52" s="636">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2587</v>
      </c>
      <c r="B53" s="527" t="s">
        <v>2553</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7">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2688</v>
      </c>
      <c r="C67" s="657" t="s">
        <v>2674</v>
      </c>
      <c r="D67" s="657" t="s">
        <v>2675</v>
      </c>
      <c r="E67" s="657" t="s">
        <v>2676</v>
      </c>
      <c r="F67" s="657" t="s">
        <v>2677</v>
      </c>
      <c r="G67" s="657" t="s">
        <v>2678</v>
      </c>
      <c r="H67" s="538"/>
      <c r="I67" s="538"/>
      <c r="J67" s="538"/>
      <c r="K67" s="538"/>
      <c r="L67" s="538"/>
      <c r="M67" s="1379"/>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2728</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2562</v>
      </c>
      <c r="B79" s="527" t="s">
        <v>2729</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2730</v>
      </c>
      <c r="C81" s="658"/>
      <c r="D81" s="658"/>
      <c r="E81" s="658"/>
      <c r="F81" s="658"/>
      <c r="G81" s="658"/>
      <c r="H81" s="658"/>
      <c r="I81" s="658"/>
      <c r="J81" s="658"/>
      <c r="K81" s="659"/>
      <c r="L81" s="660"/>
      <c r="M81" s="661"/>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2615</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0"/>
      <c r="J86" s="620"/>
      <c r="K86" s="621"/>
      <c r="L86" s="622"/>
      <c r="M86" s="623"/>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2734</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3">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2525</v>
      </c>
      <c r="B1" s="2559"/>
      <c r="C1" s="2559"/>
      <c r="D1" s="2559"/>
      <c r="E1" s="2560"/>
    </row>
    <row r="2" spans="1:6" ht="15.75">
      <c r="A2" s="2561" t="s">
        <v>2326</v>
      </c>
      <c r="B2" s="2562">
        <f ca="1">SUMIF(B6:B13,"&lt;&gt;#ref!",B6:B13)</f>
        <v>7305</v>
      </c>
      <c r="C2" s="2563" t="s">
        <v>2518</v>
      </c>
      <c r="D2" s="2564" t="s">
        <v>2519</v>
      </c>
      <c r="E2" s="2565">
        <f>SUM(E6:E13)</f>
        <v>7918.4</v>
      </c>
    </row>
    <row r="3" spans="1:6" ht="15.75">
      <c r="A3" s="2561" t="s">
        <v>1395</v>
      </c>
      <c r="B3" s="2562">
        <f ca="1">ROUND(B2*10000/E2,0)</f>
        <v>9225</v>
      </c>
      <c r="C3" s="2563" t="s">
        <v>2526</v>
      </c>
      <c r="D3" s="2566"/>
      <c r="E3" s="2567"/>
    </row>
    <row r="4" spans="1:6" ht="15.75">
      <c r="A4" s="2568"/>
      <c r="B4" s="2566"/>
      <c r="C4" s="2566"/>
      <c r="D4" s="2566"/>
      <c r="E4" s="2567"/>
    </row>
    <row r="5" spans="1:6" ht="15">
      <c r="A5" s="2569" t="s">
        <v>2520</v>
      </c>
      <c r="B5" s="3244" t="s">
        <v>2521</v>
      </c>
      <c r="C5" s="3244"/>
      <c r="D5" s="2570"/>
      <c r="E5" s="2571" t="s">
        <v>2522</v>
      </c>
      <c r="F5" s="2572" t="s">
        <v>2523</v>
      </c>
    </row>
    <row r="6" spans="1:6">
      <c r="A6" s="2573" t="str">
        <f>'数据-取费表'!AN6</f>
        <v>收益法</v>
      </c>
      <c r="B6" s="2572">
        <f ca="1">IF(F6="是",'数据-取费表'!AO6,0)</f>
        <v>7305</v>
      </c>
      <c r="C6" s="2563" t="s">
        <v>2518</v>
      </c>
      <c r="D6" s="2566"/>
      <c r="E6" s="2574">
        <f>IF(OR(A6=0,F6="否"),0,'数据-取费表'!K6+'数据-取费表'!S6)</f>
        <v>7918.4</v>
      </c>
      <c r="F6" s="2575" t="s">
        <v>2524</v>
      </c>
    </row>
    <row r="7" spans="1:6">
      <c r="A7" s="2573">
        <f>'数据-取费表'!AN7</f>
        <v>0</v>
      </c>
      <c r="B7" s="2572" t="e">
        <f ca="1">IF(F7="是",'数据-取费表'!AO7,0)</f>
        <v>#REF!</v>
      </c>
      <c r="C7" s="2563" t="s">
        <v>2518</v>
      </c>
      <c r="D7" s="2566"/>
      <c r="E7" s="2574">
        <f>IF(OR(A7=0,F7="否"),0,'数据-取费表'!K7+'数据-取费表'!S7)</f>
        <v>0</v>
      </c>
      <c r="F7" s="2575" t="s">
        <v>2524</v>
      </c>
    </row>
    <row r="8" spans="1:6">
      <c r="A8" s="2573">
        <f>'数据-取费表'!AN8</f>
        <v>0</v>
      </c>
      <c r="B8" s="2572" t="e">
        <f ca="1">IF(F8="是",'数据-取费表'!AO8,0)</f>
        <v>#REF!</v>
      </c>
      <c r="C8" s="2563" t="s">
        <v>2518</v>
      </c>
      <c r="D8" s="2566"/>
      <c r="E8" s="2574">
        <f>IF(OR(A8=0,F8="否"),0,'数据-取费表'!K8+'数据-取费表'!S8)</f>
        <v>0</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Q48" sqref="Q48"/>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77"/>
      <c r="C1" s="1834" t="s">
        <v>3122</v>
      </c>
      <c r="D1" s="1817" t="s">
        <v>70</v>
      </c>
      <c r="E1" s="1818" t="s">
        <v>1387</v>
      </c>
      <c r="F1" s="1280">
        <f ca="1">J53</f>
        <v>29.12</v>
      </c>
      <c r="G1" s="1833">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f ca="1">C40+J29+L46</f>
        <v>7305</v>
      </c>
      <c r="C2" s="1842" t="s">
        <v>1516</v>
      </c>
      <c r="D2" s="1842"/>
      <c r="E2" s="1843"/>
      <c r="F2" s="1844"/>
      <c r="G2" s="1845"/>
      <c r="H2" s="1837"/>
      <c r="I2" s="1837"/>
      <c r="J2" s="1837"/>
      <c r="K2" s="1838"/>
      <c r="L2" s="1837"/>
      <c r="M2" s="1837"/>
    </row>
    <row r="3" spans="1:37" ht="18" customHeight="1" thickBot="1">
      <c r="A3" s="1846" t="s">
        <v>1517</v>
      </c>
      <c r="B3" s="1847">
        <f ca="1">IF(ISERROR(B2*10000/F43),0,ROUND(B2*10000/F43,0))</f>
        <v>9225</v>
      </c>
      <c r="C3" s="1842" t="s">
        <v>1518</v>
      </c>
      <c r="D3" s="1842"/>
      <c r="E3" s="1843"/>
      <c r="F3" s="1844"/>
      <c r="G3" s="1845"/>
      <c r="H3" s="739"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443</v>
      </c>
      <c r="D5" s="1819" t="s">
        <v>1402</v>
      </c>
      <c r="E5" s="1290"/>
      <c r="F5" s="1291"/>
      <c r="G5" s="1848"/>
      <c r="H5" s="343">
        <v>1</v>
      </c>
      <c r="I5" s="344" t="s">
        <v>1401</v>
      </c>
      <c r="J5" s="1289">
        <f ca="1">J6+J10+J12</f>
        <v>0</v>
      </c>
      <c r="K5" s="1819" t="s">
        <v>1402</v>
      </c>
      <c r="L5" s="1290"/>
      <c r="M5" s="1291"/>
    </row>
    <row r="6" spans="1:37" ht="18" customHeight="1">
      <c r="A6" s="1288" t="s">
        <v>1035</v>
      </c>
      <c r="B6" s="3247" t="s">
        <v>1403</v>
      </c>
      <c r="C6" s="1293">
        <f ca="1">ROUND(F6*F8*F7*(1-F9)/10000,0)</f>
        <v>442</v>
      </c>
      <c r="D6" s="163" t="s">
        <v>3031</v>
      </c>
      <c r="E6" s="346" t="s">
        <v>1405</v>
      </c>
      <c r="F6" s="347">
        <f ca="1">INDIRECT("'数据-取费表'!u"&amp;$G$1)</f>
        <v>1.7</v>
      </c>
      <c r="G6" s="1848"/>
      <c r="H6" s="1288" t="s">
        <v>1035</v>
      </c>
      <c r="I6" s="3247" t="s">
        <v>1403</v>
      </c>
      <c r="J6" s="345">
        <f ca="1">ROUND(M6*M8*M7*(1-M9)/10000,0)</f>
        <v>0</v>
      </c>
      <c r="K6" s="163" t="s">
        <v>3030</v>
      </c>
      <c r="L6" s="346" t="s">
        <v>1405</v>
      </c>
      <c r="M6" s="347">
        <f ca="1">INDIRECT("'数据-取费表'!z"&amp;$G$1)</f>
        <v>0</v>
      </c>
    </row>
    <row r="7" spans="1:37" ht="18" customHeight="1">
      <c r="A7" s="1292"/>
      <c r="B7" s="3248"/>
      <c r="C7" s="1294"/>
      <c r="D7" s="351"/>
      <c r="E7" s="1295" t="s">
        <v>1406</v>
      </c>
      <c r="F7" s="347">
        <f ca="1">IF(INDIRECT("'数据-取费表'!ah"&amp;$G$1)="",INDIRECT("'数据-取费表'!k"&amp;$G$1),INDIRECT("'数据-取费表'!ah"&amp;$G$1))</f>
        <v>7918.4</v>
      </c>
      <c r="G7" s="1848"/>
      <c r="H7" s="348"/>
      <c r="I7" s="3248"/>
      <c r="J7" s="350"/>
      <c r="K7" s="351"/>
      <c r="L7" s="346" t="s">
        <v>1406</v>
      </c>
      <c r="M7" s="347">
        <f ca="1">F7</f>
        <v>7918.4</v>
      </c>
    </row>
    <row r="8" spans="1:37" ht="18" customHeight="1">
      <c r="A8" s="348"/>
      <c r="B8" s="3248"/>
      <c r="C8" s="350"/>
      <c r="D8" s="351"/>
      <c r="E8" s="346" t="s">
        <v>1407</v>
      </c>
      <c r="F8" s="347">
        <f ca="1">INDIRECT("'数据-取费表'!ai"&amp;$G$1)</f>
        <v>365</v>
      </c>
      <c r="G8" s="1848"/>
      <c r="H8" s="348"/>
      <c r="I8" s="3248"/>
      <c r="J8" s="350"/>
      <c r="K8" s="351"/>
      <c r="L8" s="346" t="s">
        <v>1407</v>
      </c>
      <c r="M8" s="347">
        <f ca="1">INDIRECT("'数据-取费表'!ai"&amp;$G$1)</f>
        <v>365</v>
      </c>
    </row>
    <row r="9" spans="1:37" ht="18" customHeight="1">
      <c r="A9" s="348"/>
      <c r="B9" s="3249"/>
      <c r="C9" s="350"/>
      <c r="D9" s="351"/>
      <c r="E9" s="346" t="s">
        <v>1408</v>
      </c>
      <c r="F9" s="356">
        <f ca="1">INDIRECT("'数据-取费表'!w"&amp;$G$1)</f>
        <v>0.1</v>
      </c>
      <c r="G9" s="1848"/>
      <c r="H9" s="348"/>
      <c r="I9" s="3249"/>
      <c r="J9" s="350"/>
      <c r="K9" s="351"/>
      <c r="L9" s="357" t="s">
        <v>1408</v>
      </c>
      <c r="M9" s="358">
        <f ca="1">INDIRECT("'数据-取费表'!ab"&amp;$G$1)</f>
        <v>0</v>
      </c>
    </row>
    <row r="10" spans="1:37" ht="18" customHeight="1">
      <c r="A10" s="1288" t="s">
        <v>1039</v>
      </c>
      <c r="B10" s="1820" t="s">
        <v>1409</v>
      </c>
      <c r="C10" s="360">
        <f ca="1">ROUND(IF(F10="押一",C6/12*F11,IF(F10="押二",C6/12*2*F11,IF(F10="押三",C6/12*3*F11,C11*F11))),0)</f>
        <v>1</v>
      </c>
      <c r="D10" s="1821" t="s">
        <v>3040</v>
      </c>
      <c r="E10" s="357" t="s">
        <v>1410</v>
      </c>
      <c r="F10" s="1363" t="s">
        <v>3087</v>
      </c>
      <c r="G10" s="1848"/>
      <c r="H10" s="1288" t="s">
        <v>1039</v>
      </c>
      <c r="I10" s="1820" t="s">
        <v>1409</v>
      </c>
      <c r="J10" s="345">
        <f ca="1">ROUND(IF(M10="押一",J6/12*M11,IF(M10="押二",J6/12*2*M11,IF(M10="押三",J6/12*3*M11,J11*M11))),0)</f>
        <v>0</v>
      </c>
      <c r="K10" s="1821" t="s">
        <v>3039</v>
      </c>
      <c r="L10" s="357" t="s">
        <v>1410</v>
      </c>
      <c r="M10" s="1363" t="s">
        <v>1411</v>
      </c>
    </row>
    <row r="11" spans="1:37" ht="18" customHeight="1">
      <c r="A11" s="352"/>
      <c r="B11" s="1822" t="s">
        <v>1388</v>
      </c>
      <c r="C11" s="1176"/>
      <c r="D11" s="1823"/>
      <c r="E11" s="357" t="s">
        <v>1412</v>
      </c>
      <c r="F11" s="358">
        <f ca="1">'数据-取费表'!B39</f>
        <v>1.4999999999999999E-2</v>
      </c>
      <c r="G11" s="1848"/>
      <c r="H11" s="1296"/>
      <c r="I11" s="1822" t="s">
        <v>1388</v>
      </c>
      <c r="J11" s="1176"/>
      <c r="K11" s="743"/>
      <c r="L11" s="357" t="s">
        <v>1412</v>
      </c>
      <c r="M11" s="1054">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2509</v>
      </c>
      <c r="D13" s="1328" t="s">
        <v>1415</v>
      </c>
      <c r="E13" s="1328" t="s">
        <v>1416</v>
      </c>
      <c r="F13" s="1329">
        <f ca="1">INDIRECT("'数据-取费表'!y"&amp;$G$1)</f>
        <v>0.9</v>
      </c>
      <c r="G13" s="1848"/>
      <c r="H13" s="1326">
        <v>2</v>
      </c>
      <c r="I13" s="1327" t="s">
        <v>1414</v>
      </c>
      <c r="J13" s="1287">
        <f ca="1">ROUND(J14*J15,0)</f>
        <v>0</v>
      </c>
      <c r="K13" s="1334" t="s">
        <v>1415</v>
      </c>
      <c r="L13" s="1849"/>
      <c r="M13" s="1850"/>
    </row>
    <row r="14" spans="1:37" ht="18" customHeight="1">
      <c r="A14" s="1199" t="s">
        <v>1034</v>
      </c>
      <c r="B14" s="346" t="s">
        <v>1417</v>
      </c>
      <c r="C14" s="362">
        <f ca="1">INDIRECT("'数据-取费表'!m"&amp;$G$1)+INDIRECT("'数据-取费表'!t"&amp;$G$1)</f>
        <v>1980</v>
      </c>
      <c r="D14" s="1797" t="s">
        <v>1418</v>
      </c>
      <c r="E14" s="1791"/>
      <c r="F14" s="363"/>
      <c r="G14" s="1848"/>
      <c r="H14" s="1199" t="s">
        <v>1035</v>
      </c>
      <c r="I14" s="346" t="s">
        <v>1419</v>
      </c>
      <c r="J14" s="24">
        <f ca="1">C29</f>
        <v>2788</v>
      </c>
      <c r="K14" s="15"/>
      <c r="L14" s="977"/>
      <c r="M14" s="978"/>
    </row>
    <row r="15" spans="1:37" s="1855" customFormat="1" ht="18" customHeight="1" thickBot="1">
      <c r="A15" s="1199" t="s">
        <v>1036</v>
      </c>
      <c r="B15" s="346" t="s">
        <v>1420</v>
      </c>
      <c r="C15" s="24">
        <f ca="1">ROUND(C14*F15,0)</f>
        <v>99</v>
      </c>
      <c r="D15" s="364" t="s">
        <v>1421</v>
      </c>
      <c r="E15" s="364" t="s">
        <v>1422</v>
      </c>
      <c r="F15" s="365">
        <f>'数据-取费表'!B33</f>
        <v>0.05</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65</v>
      </c>
      <c r="K16" s="1334" t="s">
        <v>1425</v>
      </c>
      <c r="L16" s="1335"/>
      <c r="M16" s="1291"/>
    </row>
    <row r="17" spans="1:37" s="1855" customFormat="1" ht="18" customHeight="1">
      <c r="A17" s="1199" t="s">
        <v>1390</v>
      </c>
      <c r="B17" s="346" t="s">
        <v>1426</v>
      </c>
      <c r="C17" s="24">
        <f ca="1">ROUND(F17*(F43+INDIRECT("'数据-取费表'!S"&amp;$G$1))/10000,0)</f>
        <v>158</v>
      </c>
      <c r="D17" s="346" t="s">
        <v>1427</v>
      </c>
      <c r="E17" s="346" t="s">
        <v>1428</v>
      </c>
      <c r="F17" s="26">
        <f>'数据-取费表'!B35</f>
        <v>200</v>
      </c>
      <c r="G17" s="1851"/>
      <c r="H17" s="1199" t="s">
        <v>1035</v>
      </c>
      <c r="I17" s="346" t="s">
        <v>1429</v>
      </c>
      <c r="J17" s="24">
        <f ca="1">ROUND(IF(项目基本情况!B11="自然人",J5*M17,J18+J19+J20),1)</f>
        <v>23.4</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1432</v>
      </c>
      <c r="C18" s="24">
        <f ca="1">ROUND(C14*F18,0)</f>
        <v>30</v>
      </c>
      <c r="D18" s="346" t="s">
        <v>1421</v>
      </c>
      <c r="E18" s="346" t="s">
        <v>1422</v>
      </c>
      <c r="F18" s="366">
        <f>'数据-取费表'!B36</f>
        <v>1.4999999999999999E-2</v>
      </c>
      <c r="G18" s="1851"/>
      <c r="H18" s="1199" t="s">
        <v>1034</v>
      </c>
      <c r="I18" s="346" t="s">
        <v>1433</v>
      </c>
      <c r="J18" s="24">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1435</v>
      </c>
      <c r="C19" s="24">
        <f ca="1">SUM(C14:C18)</f>
        <v>2267</v>
      </c>
      <c r="D19" s="139" t="s">
        <v>1436</v>
      </c>
      <c r="E19" s="1815"/>
      <c r="F19" s="26"/>
      <c r="G19" s="1848"/>
      <c r="H19" s="1199" t="s">
        <v>1036</v>
      </c>
      <c r="I19" s="346" t="s">
        <v>1437</v>
      </c>
      <c r="J19" s="24">
        <f ca="1">IF(K19="按租金收入计税",ROUND(J5*M19,2),ROUND(C29*M19*0.7,2))</f>
        <v>23.42</v>
      </c>
      <c r="K19" s="1825" t="s">
        <v>1438</v>
      </c>
      <c r="L19" s="346" t="s">
        <v>1422</v>
      </c>
      <c r="M19" s="366">
        <f>IF(K19="按租金收入计税",'数据-取费表'!B51,'数据-取费表'!B50)</f>
        <v>1.2E-2</v>
      </c>
    </row>
    <row r="20" spans="1:37" s="1855" customFormat="1" ht="18" customHeight="1">
      <c r="A20" s="1199" t="s">
        <v>1039</v>
      </c>
      <c r="B20" s="346" t="s">
        <v>1439</v>
      </c>
      <c r="C20" s="24">
        <f ca="1">ROUND(C19*F20,0)</f>
        <v>45</v>
      </c>
      <c r="D20" s="368" t="s">
        <v>1440</v>
      </c>
      <c r="E20" s="346" t="s">
        <v>1422</v>
      </c>
      <c r="F20" s="366">
        <f>'数据-取费表'!B37</f>
        <v>0.02</v>
      </c>
      <c r="G20" s="1851"/>
      <c r="H20" s="1199" t="s">
        <v>1389</v>
      </c>
      <c r="I20" s="163" t="s">
        <v>1441</v>
      </c>
      <c r="J20" s="25">
        <f ca="1">ROUND(M20*M21/10000,2)</f>
        <v>0</v>
      </c>
      <c r="K20" s="369" t="s">
        <v>1442</v>
      </c>
      <c r="L20" s="346" t="s">
        <v>1443</v>
      </c>
      <c r="M20" s="370">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1444</v>
      </c>
      <c r="C21" s="24" t="s">
        <v>18</v>
      </c>
      <c r="D21" s="368" t="s">
        <v>1445</v>
      </c>
      <c r="E21" s="346" t="s">
        <v>1446</v>
      </c>
      <c r="F21" s="366">
        <f>'数据-取费表'!B38</f>
        <v>1.4999999999999999E-2</v>
      </c>
      <c r="G21" s="1851"/>
      <c r="H21" s="371"/>
      <c r="I21" s="355"/>
      <c r="J21" s="29"/>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1448</v>
      </c>
      <c r="C22" s="24"/>
      <c r="D22" s="139" t="str">
        <f>IF(F23&lt;=1,"单利计息。","复利计息。")&amp;"建造成本、管理费用、销售费用产生的利息。"</f>
        <v>单利计息。建造成本、管理费用、销售费用产生的利息。</v>
      </c>
      <c r="E22" s="1815"/>
      <c r="F22" s="26"/>
      <c r="G22" s="1848"/>
      <c r="H22" s="1199" t="s">
        <v>1039</v>
      </c>
      <c r="I22" s="346" t="s">
        <v>1449</v>
      </c>
      <c r="J22" s="24">
        <f ca="1">ROUND(J14*M22,1)</f>
        <v>41.8</v>
      </c>
      <c r="K22" s="1795" t="s">
        <v>1450</v>
      </c>
      <c r="L22" s="346" t="s">
        <v>1422</v>
      </c>
      <c r="M22" s="373">
        <f ca="1">INDIRECT("'数据-取费表'!Ak"&amp;$G$1)</f>
        <v>1.4999999999999999E-2</v>
      </c>
    </row>
    <row r="23" spans="1:37" s="1855" customFormat="1" ht="18" customHeight="1">
      <c r="A23" s="1199" t="s">
        <v>1034</v>
      </c>
      <c r="B23" s="346" t="s">
        <v>1451</v>
      </c>
      <c r="C23" s="24">
        <f ca="1">IF('数据-取费表'!B22&lt;=1,ROUND(C19*F24*F23/2,0)+ROUND(C20*F24*F23/2,0),ROUND(C19*(POWER((1+F24),F23/2)-1),0)+ROUND(C20*(POWER((1+F24),F23/2)-1),0))</f>
        <v>50</v>
      </c>
      <c r="D23" s="374" t="str">
        <f>IF(F23&lt;=1,"(建造成本+管理费用)×利率×(建设周期÷2)","(建造成本+管理费用)×((1+利率)^(建设周期÷2)-1)")</f>
        <v>(建造成本+管理费用)×利率×(建设周期÷2)</v>
      </c>
      <c r="E23" s="346" t="s">
        <v>1452</v>
      </c>
      <c r="F23" s="370">
        <f>'数据-取费表'!B20</f>
        <v>1</v>
      </c>
      <c r="G23" s="1851"/>
      <c r="H23" s="1199" t="s">
        <v>1075</v>
      </c>
      <c r="I23" s="346" t="s">
        <v>1453</v>
      </c>
      <c r="J23" s="24">
        <f ca="1">ROUND(J13*M23,1)</f>
        <v>0</v>
      </c>
      <c r="K23" s="1795" t="s">
        <v>1454</v>
      </c>
      <c r="L23" s="346" t="s">
        <v>1455</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6" t="s">
        <v>1457</v>
      </c>
      <c r="C24" s="24">
        <f ca="1">ROUND(IF('数据-取费表'!B22&lt;=1,F21*F24*F23/2,F21*(POWER((1+F24),F23/2)-1)),4)</f>
        <v>2.9999999999999997E-4</v>
      </c>
      <c r="D24" s="374" t="str">
        <f>IF(F23&lt;=1,"销售费用×利率×(建设周期÷2)","销售费用×((1+利率)^(建设周期÷2)-1)")</f>
        <v>销售费用×利率×(建设周期÷2)</v>
      </c>
      <c r="E24" s="346" t="s">
        <v>1458</v>
      </c>
      <c r="F24" s="376">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6" t="s">
        <v>1461</v>
      </c>
      <c r="C25" s="24"/>
      <c r="D25" s="139" t="s">
        <v>1462</v>
      </c>
      <c r="E25" s="1815"/>
      <c r="F25" s="26"/>
      <c r="G25" s="1848"/>
      <c r="H25" s="1326" t="s">
        <v>1031</v>
      </c>
      <c r="I25" s="1341" t="s">
        <v>1463</v>
      </c>
      <c r="J25" s="354">
        <f ca="1">J5-J16</f>
        <v>-65</v>
      </c>
      <c r="K25" s="1342" t="s">
        <v>1464</v>
      </c>
      <c r="L25" s="1343"/>
      <c r="M25" s="1344"/>
    </row>
    <row r="26" spans="1:37">
      <c r="A26" s="1199" t="s">
        <v>1034</v>
      </c>
      <c r="B26" s="346" t="s">
        <v>1465</v>
      </c>
      <c r="C26" s="24">
        <f ca="1">ROUND((C19+C20)*F26,0)</f>
        <v>231</v>
      </c>
      <c r="D26" s="368" t="s">
        <v>1466</v>
      </c>
      <c r="E26" s="357" t="s">
        <v>1467</v>
      </c>
      <c r="F26" s="356">
        <f ca="1">INDIRECT("'数据-取费表'!q"&amp;$G$1)</f>
        <v>0.1</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1.5E-3</v>
      </c>
      <c r="D27" s="368" t="s">
        <v>1472</v>
      </c>
      <c r="E27" s="364"/>
      <c r="F27" s="365"/>
      <c r="G27" s="1848"/>
      <c r="H27" s="348"/>
      <c r="I27" s="349"/>
      <c r="J27" s="350"/>
      <c r="K27" s="377" t="s">
        <v>1473</v>
      </c>
      <c r="L27" s="346" t="s">
        <v>1474</v>
      </c>
      <c r="M27" s="378">
        <f ca="1">INDIRECT("'数据-取费表'!ag"&amp;$G$1)</f>
        <v>0</v>
      </c>
    </row>
    <row r="28" spans="1:37" s="1855" customFormat="1" ht="18" customHeight="1">
      <c r="A28" s="1199"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2788</v>
      </c>
      <c r="D29" s="1339"/>
      <c r="E29" s="1337"/>
      <c r="F29" s="1340"/>
      <c r="G29" s="1851"/>
      <c r="H29" s="379" t="s">
        <v>1033</v>
      </c>
      <c r="I29" s="380" t="s">
        <v>1479</v>
      </c>
      <c r="J29" s="381">
        <f ca="1">ROUND(J26/(1+F40)^F41,0)</f>
        <v>0</v>
      </c>
      <c r="K29" s="382" t="s">
        <v>1480</v>
      </c>
      <c r="L29" s="383"/>
      <c r="M29" s="384">
        <f ca="1">INDIRECT("'数据-取费表'!k"&amp;$G$1)</f>
        <v>7918.4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127</v>
      </c>
      <c r="D30" s="1334" t="s">
        <v>1425</v>
      </c>
      <c r="E30" s="1335"/>
      <c r="F30" s="1291"/>
      <c r="G30" s="1848"/>
      <c r="H30" s="740"/>
      <c r="I30" s="741"/>
      <c r="J30" s="742"/>
      <c r="K30" s="743"/>
      <c r="L30" s="744"/>
      <c r="M30" s="745"/>
    </row>
    <row r="31" spans="1:37" ht="18" customHeight="1">
      <c r="A31" s="1199" t="s">
        <v>1035</v>
      </c>
      <c r="B31" s="346" t="s">
        <v>1429</v>
      </c>
      <c r="C31" s="24">
        <f ca="1">ROUND(IF(项目基本情况!B11="自然人",C5*F31,C32+C33+C34),1)</f>
        <v>76.8</v>
      </c>
      <c r="D31" s="1797" t="s">
        <v>1430</v>
      </c>
      <c r="E31" s="1795" t="s">
        <v>1481</v>
      </c>
      <c r="F31" s="367"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6" t="s">
        <v>1433</v>
      </c>
      <c r="C32" s="24">
        <f ca="1">IF(项目基本情况!B11="自然人","——",ROUND(C5*F32/(1+'数据-取费表'!C42),2))</f>
        <v>23.63</v>
      </c>
      <c r="D32" s="1795" t="s">
        <v>1434</v>
      </c>
      <c r="E32" s="346" t="s">
        <v>1422</v>
      </c>
      <c r="F32" s="376">
        <f>'数据-取费表'!B41</f>
        <v>5.6000000000000001E-2</v>
      </c>
      <c r="G32" s="1848"/>
      <c r="H32" s="740"/>
      <c r="I32" s="741"/>
      <c r="J32" s="742"/>
      <c r="K32" s="743"/>
      <c r="L32" s="744"/>
      <c r="M32" s="745"/>
    </row>
    <row r="33" spans="1:18" ht="18" customHeight="1">
      <c r="A33" s="1199" t="s">
        <v>1036</v>
      </c>
      <c r="B33" s="346" t="s">
        <v>1437</v>
      </c>
      <c r="C33" s="24">
        <f ca="1">IF(项目基本情况!B11="自然人","——",IF(D33="按租金收入计税",ROUND(C5*F33,2),IF(D33="按房产原值计税",ROUND(C29*F33*0.7,2),INDIRECT("'数据-取费表'!Aj"&amp;$G$1))))</f>
        <v>53.16</v>
      </c>
      <c r="D33" s="1825" t="s">
        <v>3054</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0</v>
      </c>
      <c r="D34" s="369" t="s">
        <v>1442</v>
      </c>
      <c r="E34" s="346" t="s">
        <v>1443</v>
      </c>
      <c r="F34" s="370">
        <f>'数据-取费表'!B52</f>
        <v>4</v>
      </c>
      <c r="G34" s="1848"/>
      <c r="H34" s="740"/>
      <c r="I34" s="1857"/>
      <c r="J34" s="1858"/>
      <c r="K34" s="1860"/>
      <c r="L34" s="1861"/>
      <c r="M34" s="1861"/>
    </row>
    <row r="35" spans="1:18" ht="18" customHeight="1">
      <c r="A35" s="1350"/>
      <c r="B35" s="1348"/>
      <c r="C35" s="29"/>
      <c r="D35" s="372"/>
      <c r="E35" s="346" t="s">
        <v>1447</v>
      </c>
      <c r="F35" s="347">
        <f ca="1">INDIRECT("'数据-取费表'!r"&amp;$G$1)</f>
        <v>0</v>
      </c>
      <c r="G35" s="1848"/>
      <c r="H35" s="740"/>
      <c r="I35" s="1857"/>
      <c r="J35" s="1858"/>
      <c r="K35" s="1859"/>
      <c r="L35" s="1856"/>
      <c r="M35" s="1856"/>
    </row>
    <row r="36" spans="1:18" ht="18" customHeight="1">
      <c r="A36" s="1349" t="s">
        <v>1039</v>
      </c>
      <c r="B36" s="346" t="s">
        <v>1449</v>
      </c>
      <c r="C36" s="24">
        <f ca="1">ROUND(C29*F36,1)</f>
        <v>41.8</v>
      </c>
      <c r="D36" s="1795" t="s">
        <v>1482</v>
      </c>
      <c r="E36" s="346" t="s">
        <v>1422</v>
      </c>
      <c r="F36" s="373">
        <f ca="1">INDIRECT("'数据-取费表'!Ak"&amp;$G$1)</f>
        <v>1.4999999999999999E-2</v>
      </c>
      <c r="G36" s="1848"/>
      <c r="H36" s="1856"/>
      <c r="I36" s="1857"/>
      <c r="J36" s="1858"/>
      <c r="K36" s="746"/>
      <c r="L36" s="1856"/>
      <c r="M36" s="1856"/>
    </row>
    <row r="37" spans="1:18" ht="18" customHeight="1">
      <c r="A37" s="1199" t="s">
        <v>1075</v>
      </c>
      <c r="B37" s="346" t="s">
        <v>1453</v>
      </c>
      <c r="C37" s="24">
        <f ca="1">ROUND(C13*F37,1)</f>
        <v>3.8</v>
      </c>
      <c r="D37" s="1795" t="s">
        <v>1454</v>
      </c>
      <c r="E37" s="346" t="s">
        <v>1455</v>
      </c>
      <c r="F37" s="375">
        <f ca="1">INDIRECT("'数据-取费表'!Al"&amp;$G$1)</f>
        <v>1.5E-3</v>
      </c>
      <c r="G37" s="1848"/>
      <c r="H37" s="1856"/>
      <c r="I37" s="1857"/>
      <c r="J37" s="1858"/>
      <c r="K37" s="746"/>
      <c r="L37" s="1856"/>
      <c r="M37" s="1856"/>
    </row>
    <row r="38" spans="1:18" ht="18" customHeight="1" thickBot="1">
      <c r="A38" s="1336" t="s">
        <v>1393</v>
      </c>
      <c r="B38" s="1337" t="s">
        <v>1439</v>
      </c>
      <c r="C38" s="1338">
        <f ca="1">ROUND(C5*F38,1)</f>
        <v>4.4000000000000004</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4">
        <f ca="1">C5-C30</f>
        <v>316</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7211</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29.12</v>
      </c>
      <c r="G41" s="1848"/>
      <c r="H41" s="727"/>
      <c r="I41" s="1857"/>
      <c r="J41" s="1858"/>
      <c r="K41" s="746"/>
      <c r="L41" s="727"/>
      <c r="M41" s="727"/>
    </row>
    <row r="42" spans="1:18" ht="18" customHeight="1">
      <c r="A42" s="352"/>
      <c r="B42" s="353"/>
      <c r="C42" s="354"/>
      <c r="D42" s="372"/>
      <c r="E42" s="346" t="s">
        <v>1477</v>
      </c>
      <c r="F42" s="356">
        <f ca="1">INDIRECT("'数据-取费表'!v"&amp;$G$1)</f>
        <v>3.5000000000000003E-2</v>
      </c>
      <c r="G42" s="1848"/>
      <c r="H42" s="727"/>
      <c r="I42" s="1857"/>
      <c r="J42" s="1858"/>
      <c r="K42" s="746"/>
      <c r="L42" s="727"/>
      <c r="M42" s="727"/>
    </row>
    <row r="43" spans="1:18" ht="18" customHeight="1" thickBot="1">
      <c r="A43" s="379" t="s">
        <v>1033</v>
      </c>
      <c r="B43" s="380" t="s">
        <v>1487</v>
      </c>
      <c r="C43" s="381">
        <f ca="1">ROUND(C40*10000/F43,0)</f>
        <v>9107</v>
      </c>
      <c r="D43" s="382" t="s">
        <v>1488</v>
      </c>
      <c r="E43" s="383" t="s">
        <v>1489</v>
      </c>
      <c r="F43" s="384">
        <f ca="1">INDIRECT("'数据-取费表'!k"&amp;$G$1)</f>
        <v>7918.4</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f ca="1">C68-C40</f>
        <v>-11458</v>
      </c>
      <c r="D46" s="1869" t="str">
        <f>C2</f>
        <v>万元</v>
      </c>
      <c r="E46" s="1863"/>
      <c r="F46" s="1863"/>
      <c r="I46" s="1870" t="s">
        <v>1521</v>
      </c>
      <c r="J46" s="1871"/>
      <c r="K46" s="1872"/>
      <c r="L46" s="1873">
        <f ca="1">IF(M47="住宅",0,IF(L48&gt;J51,L60,J60))</f>
        <v>94</v>
      </c>
      <c r="O46" s="1874" t="s">
        <v>1522</v>
      </c>
      <c r="P46" s="1875" t="s">
        <v>1523</v>
      </c>
      <c r="Q46" s="1876" t="s">
        <v>1524</v>
      </c>
      <c r="R46" s="1876" t="s">
        <v>1525</v>
      </c>
    </row>
    <row r="47" spans="1:18" s="1839" customFormat="1" ht="13.5" thickBot="1">
      <c r="A47" s="1163" t="s">
        <v>1396</v>
      </c>
      <c r="B47" s="1195" t="s">
        <v>1397</v>
      </c>
      <c r="C47" s="1364" t="s">
        <v>1398</v>
      </c>
      <c r="D47" s="1195" t="s">
        <v>1399</v>
      </c>
      <c r="E47" s="1276" t="s">
        <v>1400</v>
      </c>
      <c r="F47" s="1277"/>
      <c r="G47" s="787"/>
      <c r="I47" s="1877" t="s">
        <v>1526</v>
      </c>
      <c r="J47" s="1878" t="s">
        <v>3055</v>
      </c>
      <c r="K47" s="1879" t="s">
        <v>1527</v>
      </c>
      <c r="L47" s="1880">
        <f ca="1">INDIRECT("'数据-取费表'!d"&amp;$G$1)</f>
        <v>40</v>
      </c>
      <c r="M47" s="1835" t="str">
        <f>IF(ISNUMBER(FIND("住宅",C1)),"住宅","非住宅")</f>
        <v>非住宅</v>
      </c>
      <c r="O47" s="1881" t="s">
        <v>1040</v>
      </c>
      <c r="P47" s="1882" t="s">
        <v>1528</v>
      </c>
      <c r="Q47" s="1883">
        <f ca="1">C40+J29</f>
        <v>7211</v>
      </c>
      <c r="R47" s="1883" t="s">
        <v>1529</v>
      </c>
    </row>
    <row r="48" spans="1:18" s="1839" customFormat="1" ht="28.5" thickBot="1">
      <c r="A48" s="1357" t="s">
        <v>1135</v>
      </c>
      <c r="B48" s="344" t="s">
        <v>1401</v>
      </c>
      <c r="C48" s="1814">
        <f ca="1">C49+C53+C55</f>
        <v>0</v>
      </c>
      <c r="D48" s="1359"/>
      <c r="E48" s="1360"/>
      <c r="F48" s="1179"/>
      <c r="G48" s="787"/>
      <c r="H48" s="788"/>
      <c r="I48" s="1884" t="s">
        <v>1530</v>
      </c>
      <c r="J48" s="1885" t="s">
        <v>3056</v>
      </c>
      <c r="K48" s="1886" t="s">
        <v>1531</v>
      </c>
      <c r="L48" s="1887">
        <f ca="1">INDIRECT("'数据-取费表'!f"&amp;$G$1)</f>
        <v>29.12</v>
      </c>
      <c r="O48" s="1881" t="s">
        <v>1041</v>
      </c>
      <c r="P48" s="1882" t="s">
        <v>1532</v>
      </c>
      <c r="Q48" s="1883">
        <f ca="1">J60</f>
        <v>94</v>
      </c>
      <c r="R48" s="1883" t="s">
        <v>1533</v>
      </c>
    </row>
    <row r="49" spans="1:18" s="1839" customFormat="1" ht="13.5" thickBot="1">
      <c r="A49" s="1192" t="s">
        <v>1136</v>
      </c>
      <c r="B49" s="1826" t="s">
        <v>1490</v>
      </c>
      <c r="C49" s="1361">
        <f ca="1">ROUND(F49*F51*F50*(1-F52)/10000,0)</f>
        <v>0</v>
      </c>
      <c r="D49" s="1273" t="s">
        <v>3032</v>
      </c>
      <c r="E49" s="1827" t="s">
        <v>1491</v>
      </c>
      <c r="F49" s="1278"/>
      <c r="G49" s="1888"/>
      <c r="H49" s="788"/>
      <c r="I49" s="1884" t="s">
        <v>1534</v>
      </c>
      <c r="J49" s="2967">
        <v>2012</v>
      </c>
      <c r="K49" s="1886" t="s">
        <v>1535</v>
      </c>
      <c r="L49" s="1889"/>
      <c r="O49" s="1890" t="s">
        <v>1042</v>
      </c>
      <c r="P49" s="1882" t="s">
        <v>1536</v>
      </c>
      <c r="Q49" s="1883">
        <f ca="1">C29</f>
        <v>2788</v>
      </c>
      <c r="R49" s="1883" t="s">
        <v>1529</v>
      </c>
    </row>
    <row r="50" spans="1:18" s="1839" customFormat="1" ht="13.5" thickBot="1">
      <c r="A50" s="1193"/>
      <c r="B50" s="1196"/>
      <c r="C50" s="1365"/>
      <c r="D50" s="1170"/>
      <c r="E50" s="1274" t="s">
        <v>1406</v>
      </c>
      <c r="F50" s="1275">
        <f ca="1">F7</f>
        <v>7918.4</v>
      </c>
      <c r="H50" s="788"/>
      <c r="I50" s="1884" t="s">
        <v>1537</v>
      </c>
      <c r="J50" s="1891">
        <f>SUMPRODUCT((I63:I65=J47)*(J62:L62=J48)*(J63:L65))</f>
        <v>60</v>
      </c>
      <c r="K50" s="1886" t="s">
        <v>1538</v>
      </c>
      <c r="L50" s="1889"/>
      <c r="M50" s="1892"/>
      <c r="O50" s="1890" t="s">
        <v>1043</v>
      </c>
      <c r="P50" s="1882" t="s">
        <v>1539</v>
      </c>
      <c r="Q50" s="1893">
        <f ca="1">J58</f>
        <v>0.41499999999999998</v>
      </c>
      <c r="R50" s="1883"/>
    </row>
    <row r="51" spans="1:18" s="1839" customFormat="1" ht="13.5" thickBot="1">
      <c r="A51" s="1194"/>
      <c r="B51" s="1196"/>
      <c r="C51" s="1197"/>
      <c r="D51" s="1170"/>
      <c r="E51" s="1198" t="s">
        <v>1407</v>
      </c>
      <c r="F51" s="347">
        <f ca="1">F8</f>
        <v>365</v>
      </c>
      <c r="I51" s="1894" t="s">
        <v>1540</v>
      </c>
      <c r="J51" s="1895">
        <f>IF(J49="",J50,J49+J50-YEAR('数据-取费表'!B2))</f>
        <v>54</v>
      </c>
      <c r="K51" s="1896" t="s">
        <v>1541</v>
      </c>
      <c r="L51" s="1897">
        <f ca="1">ROUND(-PV(INDIRECT("'数据-取费表'!h"&amp;$G$1),L48,(C39-C13*C76),0),0)</f>
        <v>1649</v>
      </c>
      <c r="M51" s="1898"/>
      <c r="O51" s="1890" t="s">
        <v>1044</v>
      </c>
      <c r="P51" s="1882" t="s">
        <v>1542</v>
      </c>
      <c r="Q51" s="1893">
        <f>J52</f>
        <v>0.09</v>
      </c>
      <c r="R51" s="1883"/>
    </row>
    <row r="52" spans="1:18" s="1839" customFormat="1" ht="13.5" thickBot="1">
      <c r="A52" s="1194"/>
      <c r="B52" s="1196"/>
      <c r="C52" s="1197"/>
      <c r="D52" s="1170"/>
      <c r="E52" s="1198" t="s">
        <v>1408</v>
      </c>
      <c r="F52" s="1272"/>
      <c r="I52" s="1899" t="s">
        <v>1543</v>
      </c>
      <c r="J52" s="1900">
        <v>0.09</v>
      </c>
      <c r="K52" s="1899" t="s">
        <v>1544</v>
      </c>
      <c r="L52" s="1900"/>
      <c r="O52" s="1890" t="s">
        <v>1045</v>
      </c>
      <c r="P52" s="1882" t="s">
        <v>1545</v>
      </c>
      <c r="Q52" s="1883">
        <f ca="1">J53</f>
        <v>29.12</v>
      </c>
      <c r="R52" s="1883" t="s">
        <v>1546</v>
      </c>
    </row>
    <row r="53" spans="1:18" s="1839" customFormat="1" ht="24.75" thickBot="1">
      <c r="A53" s="1402" t="s">
        <v>1137</v>
      </c>
      <c r="B53" s="1828" t="s">
        <v>1409</v>
      </c>
      <c r="C53" s="360">
        <f ca="1">ROUND(IF(F53="押一",C49/12*F11,IF(F53="押二",C49/12*2*F11,IF(F53="押三",C49/12*3*F11,C54*F11))),0)</f>
        <v>0</v>
      </c>
      <c r="D53" s="1821" t="s">
        <v>3039</v>
      </c>
      <c r="E53" s="357" t="s">
        <v>1410</v>
      </c>
      <c r="F53" s="1363"/>
      <c r="I53" s="1901" t="s">
        <v>1547</v>
      </c>
      <c r="J53" s="1902">
        <f ca="1">IF(M47="住宅",J51,IF(D1="——",MIN(J51,L48),IF(D1="在建（套用方法）",MIN(J51,L48-'数据-取费表'!B24),IF(D1="土地（套用方法）",MIN(J51,L48-'数据-取费表'!B20)))))</f>
        <v>29.12</v>
      </c>
      <c r="K53" s="3245" t="s">
        <v>1548</v>
      </c>
      <c r="L53" s="3246"/>
      <c r="O53" s="1881" t="s">
        <v>1046</v>
      </c>
      <c r="P53" s="1882" t="s">
        <v>1549</v>
      </c>
      <c r="Q53" s="1883">
        <f ca="1">Q47+Q48</f>
        <v>7305</v>
      </c>
      <c r="R53" s="1883" t="s">
        <v>1047</v>
      </c>
    </row>
    <row r="54" spans="1:18" s="1839" customFormat="1" ht="13.5" thickBot="1">
      <c r="A54" s="1403"/>
      <c r="B54" s="1822" t="s">
        <v>1388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1550</v>
      </c>
      <c r="P54" s="1836"/>
      <c r="Q54" s="1836"/>
      <c r="R54" s="1836"/>
    </row>
    <row r="55" spans="1:18" s="1839" customFormat="1" ht="13.5" thickBot="1">
      <c r="A55" s="1330" t="s">
        <v>1075</v>
      </c>
      <c r="B55" s="1824" t="s">
        <v>1413</v>
      </c>
      <c r="C55" s="1331"/>
      <c r="D55" s="1821"/>
      <c r="E55" s="1829"/>
      <c r="F55" s="1903"/>
      <c r="I55" s="1906" t="s">
        <v>1551</v>
      </c>
      <c r="J55" s="1907">
        <f ca="1">ROUND(IF(J47="钢混",J57/J50,1-(1-2%)*(J50-J57)/J50),3)</f>
        <v>0.41499999999999998</v>
      </c>
      <c r="K55" s="1908" t="s">
        <v>1552</v>
      </c>
      <c r="L55" s="1909" t="s">
        <v>1553</v>
      </c>
      <c r="O55" s="1874" t="s">
        <v>1522</v>
      </c>
      <c r="P55" s="1875" t="s">
        <v>1523</v>
      </c>
      <c r="Q55" s="1876" t="s">
        <v>1524</v>
      </c>
      <c r="R55" s="1876" t="s">
        <v>1525</v>
      </c>
    </row>
    <row r="56" spans="1:18" s="1839" customFormat="1" ht="25.5" thickTop="1" thickBot="1">
      <c r="A56" s="1174">
        <v>2</v>
      </c>
      <c r="B56" s="1175" t="s">
        <v>1414</v>
      </c>
      <c r="C56" s="275">
        <f ca="1">C13</f>
        <v>2509</v>
      </c>
      <c r="D56" s="1910"/>
      <c r="E56" s="1911"/>
      <c r="F56" s="1903"/>
      <c r="I56" s="1912" t="s">
        <v>1554</v>
      </c>
      <c r="J56" s="1913" t="s">
        <v>3057</v>
      </c>
      <c r="K56" s="1884" t="s">
        <v>1555</v>
      </c>
      <c r="L56" s="1887" t="str">
        <f ca="1">IF(L48&lt;J51,"——",L48-J53)</f>
        <v>——</v>
      </c>
      <c r="O56" s="1881" t="s">
        <v>1040</v>
      </c>
      <c r="P56" s="1882" t="s">
        <v>1528</v>
      </c>
      <c r="Q56" s="1883">
        <f ca="1">C40+J29</f>
        <v>7211</v>
      </c>
      <c r="R56" s="1883" t="s">
        <v>1529</v>
      </c>
    </row>
    <row r="57" spans="1:18" s="1839" customFormat="1" ht="24.75" thickBot="1">
      <c r="A57" s="1914"/>
      <c r="B57" s="1167" t="s">
        <v>1478</v>
      </c>
      <c r="C57" s="281">
        <f ca="1">C29</f>
        <v>2788</v>
      </c>
      <c r="D57" s="1915"/>
      <c r="E57" s="1916"/>
      <c r="F57" s="1917"/>
      <c r="I57" s="1918" t="s">
        <v>1556</v>
      </c>
      <c r="J57" s="1919">
        <f ca="1">IF(OR(M47="住宅",J51&lt;L48,J56="是"),"——",J51-L48)</f>
        <v>24.88</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5" t="s">
        <v>1424</v>
      </c>
      <c r="C58" s="360">
        <f ca="1">ROUND(C59+C64+C65+C66,0)</f>
        <v>280</v>
      </c>
      <c r="D58" s="1177" t="s">
        <v>1425</v>
      </c>
      <c r="E58" s="1178"/>
      <c r="F58" s="1179"/>
      <c r="I58" s="1918" t="s">
        <v>1560</v>
      </c>
      <c r="J58" s="1920">
        <f ca="1">IF(J55&lt;0.4,0.4,J55)</f>
        <v>0.41499999999999998</v>
      </c>
      <c r="K58" s="1896" t="s">
        <v>1561</v>
      </c>
      <c r="L58" s="1887" t="e">
        <f ca="1">ROUND(POWER(1+L52,L47-L48)*(POWER(1+L52,L48)-1)/(POWER(1+L52,L47)-1),4)</f>
        <v>#DIV/0!</v>
      </c>
      <c r="O58" s="1890"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234.2</v>
      </c>
      <c r="D59" s="1180" t="s">
        <v>1430</v>
      </c>
      <c r="E59" s="1181" t="s">
        <v>1431</v>
      </c>
      <c r="F59" s="367" t="str">
        <f ca="1">IF(项目基本情况!B11="企业","",IF(INDIRECT("'数据-取费表'!c"&amp;$G$1)="住宅",5%,IF(F49*F50*F51/12/(1+'数据-取费表'!C42)&gt;20000,12%,7%)))</f>
        <v/>
      </c>
      <c r="I59" s="1918" t="s">
        <v>1563</v>
      </c>
      <c r="J59" s="1919">
        <f ca="1">IF(OR(M47="住宅",J51&lt;L48,J56="是"),"——",ROUND(C29*J58,0))</f>
        <v>1157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2" t="s">
        <v>1564</v>
      </c>
      <c r="Q59" s="1893">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f ca="1">IF(OR(M47="住宅",J51&lt;L48,J56="是"),"0",ROUND(J59/(1+J52)^J53,0))</f>
        <v>94</v>
      </c>
      <c r="K60" s="1923" t="s">
        <v>1566</v>
      </c>
      <c r="L60" s="1922">
        <f ca="1">IF(OR(M47="住宅",L48&lt;J51),0,ROUND(L57*(L58/L59-1),0))</f>
        <v>0</v>
      </c>
      <c r="O60" s="1890"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234.19</v>
      </c>
      <c r="D61" s="1825" t="s">
        <v>1438</v>
      </c>
      <c r="E61" s="1167" t="s">
        <v>1494</v>
      </c>
      <c r="F61" s="366">
        <f t="shared" si="0"/>
        <v>0.12</v>
      </c>
      <c r="I61" s="1924"/>
      <c r="J61" s="1924"/>
      <c r="K61" s="1924"/>
      <c r="L61" s="1924"/>
      <c r="O61" s="1890" t="s">
        <v>1045</v>
      </c>
      <c r="P61" s="1882" t="str">
        <f>K59</f>
        <v>建筑物剩余耐用年限下的土地年期修正系数Kn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70">
        <f t="shared" si="0"/>
        <v>4</v>
      </c>
      <c r="I62" s="1925" t="s">
        <v>1570</v>
      </c>
      <c r="J62" s="1926" t="s">
        <v>1571</v>
      </c>
      <c r="K62" s="1926" t="s">
        <v>1572</v>
      </c>
      <c r="L62" s="1926" t="s">
        <v>1573</v>
      </c>
      <c r="M62" s="1927" t="s">
        <v>1574</v>
      </c>
      <c r="O62" s="1881" t="s">
        <v>1046</v>
      </c>
      <c r="P62" s="1882" t="s">
        <v>1575</v>
      </c>
      <c r="Q62" s="1883">
        <f ca="1">Q56+Q57</f>
        <v>7211</v>
      </c>
      <c r="R62" s="1883" t="s">
        <v>1047</v>
      </c>
    </row>
    <row r="63" spans="1:18" s="1839" customFormat="1" ht="13.5" thickBot="1">
      <c r="A63" s="371"/>
      <c r="B63" s="1173"/>
      <c r="C63" s="29"/>
      <c r="D63" s="1183"/>
      <c r="E63" s="1167" t="s">
        <v>1499</v>
      </c>
      <c r="F63" s="347">
        <f t="shared" ca="1" si="0"/>
        <v>0</v>
      </c>
      <c r="I63" s="1925" t="s">
        <v>1576</v>
      </c>
      <c r="J63" s="1926">
        <v>70</v>
      </c>
      <c r="K63" s="1926">
        <v>50</v>
      </c>
      <c r="L63" s="1926">
        <v>80</v>
      </c>
      <c r="M63" s="1928">
        <v>0.02</v>
      </c>
      <c r="O63" s="1866" t="s">
        <v>1577</v>
      </c>
      <c r="P63" s="1836"/>
      <c r="Q63" s="1836"/>
      <c r="R63" s="1836"/>
    </row>
    <row r="64" spans="1:18" s="1839" customFormat="1" ht="13.5" thickBot="1">
      <c r="A64" s="1199" t="s">
        <v>1500</v>
      </c>
      <c r="B64" s="1167" t="s">
        <v>1501</v>
      </c>
      <c r="C64" s="24">
        <f ca="1">ROUND(C57*F64,1)</f>
        <v>41.8</v>
      </c>
      <c r="D64" s="1181" t="s">
        <v>1502</v>
      </c>
      <c r="E64" s="1167" t="s">
        <v>1494</v>
      </c>
      <c r="F64" s="373">
        <f t="shared" ca="1" si="0"/>
        <v>1.4999999999999999E-2</v>
      </c>
      <c r="I64" s="1925" t="s">
        <v>1578</v>
      </c>
      <c r="J64" s="1926">
        <v>50</v>
      </c>
      <c r="K64" s="1926">
        <v>35</v>
      </c>
      <c r="L64" s="1926">
        <v>60</v>
      </c>
      <c r="M64" s="1927">
        <v>0</v>
      </c>
      <c r="O64" s="1874" t="s">
        <v>1522</v>
      </c>
      <c r="P64" s="1875" t="s">
        <v>1523</v>
      </c>
      <c r="Q64" s="1876" t="s">
        <v>1524</v>
      </c>
      <c r="R64" s="1876" t="s">
        <v>1525</v>
      </c>
    </row>
    <row r="65" spans="1:18" s="1839" customFormat="1" ht="13.5" thickBot="1">
      <c r="A65" s="1199" t="s">
        <v>1503</v>
      </c>
      <c r="B65" s="1167" t="s">
        <v>1453</v>
      </c>
      <c r="C65" s="24">
        <f ca="1">ROUND(C56*F65,1)</f>
        <v>3.8</v>
      </c>
      <c r="D65" s="1181" t="s">
        <v>1454</v>
      </c>
      <c r="E65" s="1167" t="s">
        <v>1455</v>
      </c>
      <c r="F65" s="375">
        <f t="shared" ca="1" si="0"/>
        <v>1.5E-3</v>
      </c>
      <c r="I65" s="1925" t="s">
        <v>1579</v>
      </c>
      <c r="J65" s="1926">
        <v>40</v>
      </c>
      <c r="K65" s="1926">
        <v>30</v>
      </c>
      <c r="L65" s="1926">
        <v>50</v>
      </c>
      <c r="M65" s="1928">
        <v>0.02</v>
      </c>
      <c r="O65" s="1881" t="s">
        <v>1040</v>
      </c>
      <c r="P65" s="1882" t="s">
        <v>1580</v>
      </c>
      <c r="Q65" s="1883">
        <f ca="1">C40+J29</f>
        <v>7211</v>
      </c>
      <c r="R65" s="1883" t="s">
        <v>1529</v>
      </c>
    </row>
    <row r="66" spans="1:18" s="1839" customFormat="1" ht="16.5" thickBot="1">
      <c r="A66" s="1199" t="s">
        <v>1504</v>
      </c>
      <c r="B66" s="1167" t="s">
        <v>1439</v>
      </c>
      <c r="C66" s="24">
        <f ca="1">ROUND(C48*F66,1)</f>
        <v>0</v>
      </c>
      <c r="D66" s="1181" t="s">
        <v>1505</v>
      </c>
      <c r="E66" s="1167" t="s">
        <v>1422</v>
      </c>
      <c r="F66" s="356">
        <f t="shared" ca="1" si="0"/>
        <v>0.01</v>
      </c>
      <c r="O66" s="1881" t="s">
        <v>1041</v>
      </c>
      <c r="P66" s="1882" t="s">
        <v>1558</v>
      </c>
      <c r="Q66" s="1883">
        <f ca="1">L60</f>
        <v>0</v>
      </c>
      <c r="R66" s="1883" t="s">
        <v>1581</v>
      </c>
    </row>
    <row r="67" spans="1:18" s="1839" customFormat="1" ht="16.5" thickBot="1">
      <c r="A67" s="1174" t="s">
        <v>1031</v>
      </c>
      <c r="B67" s="1184" t="s">
        <v>1463</v>
      </c>
      <c r="C67" s="360">
        <f ca="1">C48-C58</f>
        <v>-280</v>
      </c>
      <c r="D67" s="1180" t="s">
        <v>1464</v>
      </c>
      <c r="E67" s="1185"/>
      <c r="F67" s="1186"/>
      <c r="O67" s="1890" t="s">
        <v>1042</v>
      </c>
      <c r="P67" s="1882" t="s">
        <v>1562</v>
      </c>
      <c r="Q67" s="1929">
        <f ca="1">L51</f>
        <v>1649</v>
      </c>
      <c r="R67" s="1883" t="s">
        <v>1582</v>
      </c>
    </row>
    <row r="68" spans="1:18" s="1839" customFormat="1" ht="16.5" thickBot="1">
      <c r="A68" s="1164" t="s">
        <v>1032</v>
      </c>
      <c r="B68" s="1165" t="s">
        <v>1485</v>
      </c>
      <c r="C68" s="345">
        <f ca="1">ROUND(C67*(1-((1+F70)/(1+F68))^F69)/(F68-F70),0)</f>
        <v>-4247</v>
      </c>
      <c r="D68" s="1182" t="s">
        <v>1469</v>
      </c>
      <c r="E68" s="1167" t="s">
        <v>1470</v>
      </c>
      <c r="F68" s="356">
        <f ca="1">F40</f>
        <v>0.05</v>
      </c>
      <c r="O68" s="1890" t="s">
        <v>1043</v>
      </c>
      <c r="P68" s="1930" t="s">
        <v>1583</v>
      </c>
      <c r="Q68" s="1883">
        <f ca="1">ROUND(Q69-Q70*Q71,0)</f>
        <v>103</v>
      </c>
      <c r="R68" s="1883" t="s">
        <v>1051</v>
      </c>
    </row>
    <row r="69" spans="1:18" s="1839" customFormat="1" ht="13.5" thickBot="1">
      <c r="A69" s="1168"/>
      <c r="B69" s="1169"/>
      <c r="C69" s="350"/>
      <c r="D69" s="1187" t="s">
        <v>1473</v>
      </c>
      <c r="E69" s="1167" t="s">
        <v>1474</v>
      </c>
      <c r="F69" s="378">
        <f ca="1">F41</f>
        <v>29.12</v>
      </c>
      <c r="O69" s="1890" t="s">
        <v>1048</v>
      </c>
      <c r="P69" s="1930" t="s">
        <v>1584</v>
      </c>
      <c r="Q69" s="1883">
        <f ca="1">C39</f>
        <v>316</v>
      </c>
      <c r="R69" s="1883" t="s">
        <v>1529</v>
      </c>
    </row>
    <row r="70" spans="1:18" s="1839" customFormat="1" ht="13.5" thickBot="1">
      <c r="A70" s="1171"/>
      <c r="B70" s="1172"/>
      <c r="C70" s="354"/>
      <c r="D70" s="1183"/>
      <c r="E70" s="1167" t="s">
        <v>1477</v>
      </c>
      <c r="F70" s="1272"/>
      <c r="O70" s="1890" t="s">
        <v>1049</v>
      </c>
      <c r="P70" s="1930" t="s">
        <v>1585</v>
      </c>
      <c r="Q70" s="1883">
        <f ca="1">C13</f>
        <v>2509</v>
      </c>
      <c r="R70" s="1883" t="s">
        <v>1529</v>
      </c>
    </row>
    <row r="71" spans="1:18" s="1839" customFormat="1" ht="13.5" thickBot="1">
      <c r="A71" s="1188" t="s">
        <v>1033</v>
      </c>
      <c r="B71" s="1189" t="s">
        <v>1487</v>
      </c>
      <c r="C71" s="381">
        <f ca="1">ROUND(C68*10000/F71,0)</f>
        <v>-5363</v>
      </c>
      <c r="D71" s="1190" t="s">
        <v>1488</v>
      </c>
      <c r="E71" s="1191" t="s">
        <v>1489</v>
      </c>
      <c r="F71" s="384">
        <f ca="1">F43</f>
        <v>7918.4</v>
      </c>
      <c r="O71" s="1890" t="s">
        <v>1050</v>
      </c>
      <c r="P71" s="1930" t="s">
        <v>1586</v>
      </c>
      <c r="Q71" s="1893">
        <f ca="1">C76</f>
        <v>8.5000000000000006E-2</v>
      </c>
      <c r="R71" s="1883"/>
    </row>
    <row r="72" spans="1:18" s="1839" customFormat="1" ht="13.5" thickBot="1">
      <c r="B72" s="791"/>
      <c r="C72" s="791"/>
      <c r="O72" s="1890" t="s">
        <v>1044</v>
      </c>
      <c r="P72" s="1882" t="s">
        <v>1564</v>
      </c>
      <c r="Q72" s="1893">
        <f>L52</f>
        <v>0</v>
      </c>
      <c r="R72" s="1883"/>
    </row>
    <row r="73" spans="1:18" ht="16.5" thickBot="1">
      <c r="A73" s="1839"/>
      <c r="B73" s="791"/>
      <c r="C73" s="791"/>
      <c r="D73" s="1839"/>
      <c r="E73" s="1839"/>
      <c r="F73" s="1839"/>
      <c r="O73" s="1890" t="s">
        <v>1045</v>
      </c>
      <c r="P73" s="1882" t="s">
        <v>1567</v>
      </c>
      <c r="Q73" s="1883" t="e">
        <f ca="1">L58</f>
        <v>#DIV/0!</v>
      </c>
      <c r="R73" s="1883" t="s">
        <v>1568</v>
      </c>
    </row>
    <row r="74" spans="1:18" ht="13.5" thickBot="1">
      <c r="A74" s="1839"/>
      <c r="B74" s="316" t="s">
        <v>1587</v>
      </c>
      <c r="C74" s="1932"/>
      <c r="D74" s="1839"/>
      <c r="E74" s="1839"/>
      <c r="F74" s="1839"/>
      <c r="O74" s="1890" t="s">
        <v>1052</v>
      </c>
      <c r="P74" s="1882" t="str">
        <f>K59</f>
        <v>建筑物剩余耐用年限下的土地年期修正系数Kn</v>
      </c>
      <c r="Q74" s="1883" t="e">
        <f ca="1">L59</f>
        <v>#DIV/0!</v>
      </c>
      <c r="R74" s="1883" t="s">
        <v>1569</v>
      </c>
    </row>
    <row r="75" spans="1:18" ht="13.5" thickBot="1">
      <c r="A75" s="1839"/>
      <c r="B75" s="385" t="s">
        <v>1506</v>
      </c>
      <c r="C75" s="386">
        <f ca="1">ROUND(C13*C76,0)</f>
        <v>213</v>
      </c>
      <c r="D75" s="1839"/>
      <c r="E75" s="1839"/>
      <c r="F75" s="1839"/>
      <c r="K75" s="1865"/>
      <c r="L75" s="1839"/>
      <c r="O75" s="1881" t="s">
        <v>1046</v>
      </c>
      <c r="P75" s="1882" t="s">
        <v>1549</v>
      </c>
      <c r="Q75" s="1883">
        <f ca="1">Q65+Q66</f>
        <v>7211</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0.32599999999999996</v>
      </c>
    </row>
    <row r="80" spans="1:18">
      <c r="B80" s="385" t="s">
        <v>1511</v>
      </c>
      <c r="C80" s="317">
        <f ca="1">ROUND(C75/C39,3)</f>
        <v>0.67400000000000004</v>
      </c>
    </row>
    <row r="81" spans="2:3">
      <c r="B81" s="313" t="s">
        <v>1512</v>
      </c>
      <c r="C81" s="281"/>
    </row>
    <row r="82" spans="2:3">
      <c r="B82" s="316" t="s">
        <v>1513</v>
      </c>
      <c r="C82" s="318">
        <f ca="1">1-C83</f>
        <v>0.65200000000000002</v>
      </c>
    </row>
    <row r="83" spans="2:3">
      <c r="B83" s="316" t="s">
        <v>1514</v>
      </c>
      <c r="C83" s="317">
        <f ca="1">ROUND(C13/C40,3)</f>
        <v>0.34799999999999998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中信信托有限责任公司：</v>
      </c>
    </row>
    <row r="4" spans="1:1" ht="36">
      <c r="A4" s="1944"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5" t="s">
        <v>1612</v>
      </c>
    </row>
    <row r="6" spans="1:1" ht="18.75">
      <c r="A6" s="1946" t="s">
        <v>1613</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0平方米，建筑面积为7918.4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0平方米，规划建筑面积为7918.4平方米。</v>
      </c>
    </row>
    <row r="11" spans="1:1" ht="76.5">
      <c r="A11" s="1947" t="s">
        <v>1616</v>
      </c>
    </row>
    <row r="12" spans="1:1" ht="18.75">
      <c r="A12" s="1945" t="s">
        <v>1617</v>
      </c>
    </row>
    <row r="13" spans="1:1" ht="38.25" customHeight="1">
      <c r="A13" s="1948"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2018年9月3日（评估专业人员实地查勘之日）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本次评估采用的主估价方法为比较法和收益法。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E50" sqref="E50"/>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77"/>
      <c r="C1" s="1834" t="s">
        <v>3122</v>
      </c>
      <c r="D1" s="1817" t="s">
        <v>70</v>
      </c>
      <c r="E1" s="1818" t="s">
        <v>1387</v>
      </c>
      <c r="F1" s="1280">
        <f ca="1">J53</f>
        <v>29.12</v>
      </c>
      <c r="G1" s="1833">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1590</v>
      </c>
      <c r="B2" s="1841">
        <f ca="1">ROUND(D2/10000,0)</f>
        <v>7315</v>
      </c>
      <c r="C2" s="1842" t="s">
        <v>1591</v>
      </c>
      <c r="D2" s="1934">
        <f ca="1">C40+J29+L46</f>
        <v>73150838</v>
      </c>
      <c r="E2" s="1843" t="s">
        <v>1592</v>
      </c>
      <c r="F2" s="1844"/>
      <c r="G2" s="1845"/>
      <c r="H2" s="1837"/>
      <c r="I2" s="1837"/>
      <c r="J2" s="1837"/>
      <c r="K2" s="1838"/>
      <c r="L2" s="1837"/>
      <c r="M2" s="1837"/>
    </row>
    <row r="3" spans="1:37" ht="18" customHeight="1" thickBot="1">
      <c r="A3" s="1846" t="s">
        <v>1593</v>
      </c>
      <c r="B3" s="1847">
        <f ca="1">IF(ISERROR(D2/F43),0,ROUND(D2/F43,0))</f>
        <v>9238</v>
      </c>
      <c r="C3" s="1842" t="s">
        <v>1594</v>
      </c>
      <c r="D3" s="1842"/>
      <c r="E3" s="1843"/>
      <c r="F3" s="1844"/>
      <c r="G3" s="1845"/>
      <c r="H3" s="739" t="s">
        <v>1588</v>
      </c>
      <c r="I3" s="1837"/>
      <c r="J3" s="1837"/>
      <c r="K3" s="1838"/>
      <c r="L3" s="1837"/>
      <c r="M3" s="1837"/>
    </row>
    <row r="4" spans="1:37" ht="18" customHeight="1">
      <c r="A4" s="339" t="s">
        <v>1595</v>
      </c>
      <c r="B4" s="340" t="s">
        <v>1596</v>
      </c>
      <c r="C4" s="340" t="s">
        <v>1597</v>
      </c>
      <c r="D4" s="340" t="s">
        <v>1598</v>
      </c>
      <c r="E4" s="341" t="s">
        <v>1599</v>
      </c>
      <c r="F4" s="342"/>
      <c r="G4" s="1848"/>
      <c r="H4" s="339" t="s">
        <v>1595</v>
      </c>
      <c r="I4" s="340" t="s">
        <v>1596</v>
      </c>
      <c r="J4" s="340" t="s">
        <v>1597</v>
      </c>
      <c r="K4" s="340" t="s">
        <v>1598</v>
      </c>
      <c r="L4" s="341" t="s">
        <v>1599</v>
      </c>
      <c r="M4" s="342"/>
    </row>
    <row r="5" spans="1:37" ht="18" customHeight="1">
      <c r="A5" s="343">
        <v>1</v>
      </c>
      <c r="B5" s="344" t="s">
        <v>1600</v>
      </c>
      <c r="C5" s="1289">
        <f ca="1">C6+C10+C12</f>
        <v>4433085</v>
      </c>
      <c r="D5" s="1819" t="s">
        <v>1601</v>
      </c>
      <c r="E5" s="1290"/>
      <c r="F5" s="1291"/>
      <c r="G5" s="1848"/>
      <c r="H5" s="343">
        <v>1</v>
      </c>
      <c r="I5" s="344" t="s">
        <v>1600</v>
      </c>
      <c r="J5" s="1289">
        <f ca="1">J6+J10+J12</f>
        <v>0</v>
      </c>
      <c r="K5" s="1819" t="s">
        <v>1601</v>
      </c>
      <c r="L5" s="1290"/>
      <c r="M5" s="1291"/>
    </row>
    <row r="6" spans="1:37" ht="18" customHeight="1">
      <c r="A6" s="1288" t="s">
        <v>1035</v>
      </c>
      <c r="B6" s="3247" t="s">
        <v>1403</v>
      </c>
      <c r="C6" s="1293">
        <f ca="1">ROUND(F6*F8*F7*(1-F9),0)</f>
        <v>4422030</v>
      </c>
      <c r="D6" s="163" t="s">
        <v>3028</v>
      </c>
      <c r="E6" s="346" t="s">
        <v>1405</v>
      </c>
      <c r="F6" s="347">
        <f ca="1">INDIRECT("'数据-取费表'!u"&amp;$G$1)</f>
        <v>1.7</v>
      </c>
      <c r="G6" s="1848"/>
      <c r="H6" s="1288" t="s">
        <v>1035</v>
      </c>
      <c r="I6" s="3247" t="s">
        <v>1403</v>
      </c>
      <c r="J6" s="345">
        <f ca="1">ROUND(M6*M8*M7*(1-M9),0)</f>
        <v>0</v>
      </c>
      <c r="K6" s="1831" t="s">
        <v>3029</v>
      </c>
      <c r="L6" s="346" t="s">
        <v>1405</v>
      </c>
      <c r="M6" s="347">
        <f ca="1">INDIRECT("'数据-取费表'!z"&amp;$G$1)</f>
        <v>0</v>
      </c>
    </row>
    <row r="7" spans="1:37" ht="18" customHeight="1">
      <c r="A7" s="1292"/>
      <c r="B7" s="3248"/>
      <c r="C7" s="1294"/>
      <c r="D7" s="351"/>
      <c r="E7" s="1295" t="s">
        <v>1406</v>
      </c>
      <c r="F7" s="347">
        <f ca="1">IF(INDIRECT("'数据-取费表'!ah"&amp;$G$1)="",INDIRECT("'数据-取费表'!k"&amp;$G$1),INDIRECT("'数据-取费表'!ah"&amp;$G$1))</f>
        <v>7918.4</v>
      </c>
      <c r="G7" s="1848"/>
      <c r="H7" s="348"/>
      <c r="I7" s="3248"/>
      <c r="J7" s="350"/>
      <c r="K7" s="351"/>
      <c r="L7" s="346" t="s">
        <v>1406</v>
      </c>
      <c r="M7" s="347">
        <f ca="1">F7</f>
        <v>7918.4</v>
      </c>
    </row>
    <row r="8" spans="1:37" ht="18" customHeight="1">
      <c r="A8" s="348"/>
      <c r="B8" s="3248"/>
      <c r="C8" s="350"/>
      <c r="D8" s="351"/>
      <c r="E8" s="346" t="s">
        <v>1407</v>
      </c>
      <c r="F8" s="347">
        <f ca="1">INDIRECT("'数据-取费表'!ai"&amp;$G$1)</f>
        <v>365</v>
      </c>
      <c r="G8" s="1848"/>
      <c r="H8" s="348"/>
      <c r="I8" s="3248"/>
      <c r="J8" s="350"/>
      <c r="K8" s="351"/>
      <c r="L8" s="346" t="s">
        <v>1407</v>
      </c>
      <c r="M8" s="347">
        <f ca="1">INDIRECT("'数据-取费表'!ai"&amp;$G$1)</f>
        <v>365</v>
      </c>
    </row>
    <row r="9" spans="1:37" ht="18" customHeight="1">
      <c r="A9" s="348"/>
      <c r="B9" s="3249"/>
      <c r="C9" s="350"/>
      <c r="D9" s="351"/>
      <c r="E9" s="346" t="s">
        <v>1408</v>
      </c>
      <c r="F9" s="356">
        <f ca="1">INDIRECT("'数据-取费表'!w"&amp;$G$1)</f>
        <v>0.1</v>
      </c>
      <c r="G9" s="1848"/>
      <c r="H9" s="348"/>
      <c r="I9" s="3249"/>
      <c r="J9" s="350"/>
      <c r="K9" s="351"/>
      <c r="L9" s="357" t="s">
        <v>1408</v>
      </c>
      <c r="M9" s="358">
        <f ca="1">INDIRECT("'数据-取费表'!ab"&amp;$G$1)</f>
        <v>0</v>
      </c>
    </row>
    <row r="10" spans="1:37" ht="18" customHeight="1">
      <c r="A10" s="1288" t="s">
        <v>1039</v>
      </c>
      <c r="B10" s="1820" t="s">
        <v>1409</v>
      </c>
      <c r="C10" s="360">
        <f ca="1">ROUND(IF(F10="押一",C6/12*F11,IF(F10="押二",C6/12*2*F11,IF(F10="押三",C6/12*3*F11,C11*F11))),0)</f>
        <v>11055</v>
      </c>
      <c r="D10" s="1821" t="s">
        <v>3039</v>
      </c>
      <c r="E10" s="357" t="s">
        <v>1410</v>
      </c>
      <c r="F10" s="1363" t="s">
        <v>3087</v>
      </c>
      <c r="G10" s="1848"/>
      <c r="H10" s="1288" t="s">
        <v>1039</v>
      </c>
      <c r="I10" s="1820" t="s">
        <v>1409</v>
      </c>
      <c r="J10" s="345">
        <f ca="1">ROUND(IF(M10="押一",J6/12*M11,IF(M10="押二",J6/12*2*M11,IF(M10="押三",J6/12*3*M11,J11*M11))),0)</f>
        <v>0</v>
      </c>
      <c r="K10" s="1832" t="s">
        <v>3041</v>
      </c>
      <c r="L10" s="357" t="s">
        <v>1410</v>
      </c>
      <c r="M10" s="1363"/>
    </row>
    <row r="11" spans="1:37" ht="18" customHeight="1">
      <c r="A11" s="352"/>
      <c r="B11" s="1822" t="s">
        <v>1602</v>
      </c>
      <c r="C11" s="1176"/>
      <c r="D11" s="351"/>
      <c r="E11" s="357" t="s">
        <v>1412</v>
      </c>
      <c r="F11" s="358">
        <f ca="1">'数据-取费表'!B39</f>
        <v>1.4999999999999999E-2</v>
      </c>
      <c r="G11" s="1848"/>
      <c r="H11" s="1296"/>
      <c r="I11" s="1822" t="s">
        <v>1603</v>
      </c>
      <c r="J11" s="1176"/>
      <c r="K11" s="743"/>
      <c r="L11" s="357" t="s">
        <v>1412</v>
      </c>
      <c r="M11" s="1054">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25100678</v>
      </c>
      <c r="D13" s="1328" t="s">
        <v>1415</v>
      </c>
      <c r="E13" s="1328" t="s">
        <v>1416</v>
      </c>
      <c r="F13" s="1329">
        <f ca="1">INDIRECT("'数据-取费表'!y"&amp;$G$1)</f>
        <v>0.9</v>
      </c>
      <c r="G13" s="1848"/>
      <c r="H13" s="1326">
        <v>2</v>
      </c>
      <c r="I13" s="1327" t="s">
        <v>1414</v>
      </c>
      <c r="J13" s="1287">
        <f ca="1">ROUND(J14*J15,0)</f>
        <v>0</v>
      </c>
      <c r="K13" s="1334" t="s">
        <v>1415</v>
      </c>
      <c r="L13" s="1849"/>
      <c r="M13" s="1850"/>
    </row>
    <row r="14" spans="1:37" ht="18" customHeight="1">
      <c r="A14" s="1199" t="s">
        <v>1034</v>
      </c>
      <c r="B14" s="346" t="s">
        <v>1417</v>
      </c>
      <c r="C14" s="362">
        <f ca="1">ROUND(INDIRECT("'数据-取费表'!l"&amp;$G$1)*F43+'数据-取费表'!L14*INDIRECT("'数据-取费表'!S"&amp;$G$1),0)</f>
        <v>19796000</v>
      </c>
      <c r="D14" s="1797" t="s">
        <v>1418</v>
      </c>
      <c r="E14" s="1791"/>
      <c r="F14" s="363"/>
      <c r="G14" s="1848"/>
      <c r="H14" s="1199" t="s">
        <v>1035</v>
      </c>
      <c r="I14" s="346" t="s">
        <v>1419</v>
      </c>
      <c r="J14" s="24">
        <f ca="1">C29</f>
        <v>27889642</v>
      </c>
      <c r="K14" s="15"/>
      <c r="L14" s="977"/>
      <c r="M14" s="978"/>
    </row>
    <row r="15" spans="1:37" s="1855" customFormat="1" ht="18" customHeight="1" thickBot="1">
      <c r="A15" s="1199" t="s">
        <v>1036</v>
      </c>
      <c r="B15" s="346" t="s">
        <v>1420</v>
      </c>
      <c r="C15" s="24">
        <f ca="1">ROUND(C14*F15,0)</f>
        <v>989800</v>
      </c>
      <c r="D15" s="364" t="s">
        <v>1421</v>
      </c>
      <c r="E15" s="364" t="s">
        <v>1422</v>
      </c>
      <c r="F15" s="365">
        <f>'数据-取费表'!B33</f>
        <v>0.05</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652618</v>
      </c>
      <c r="K16" s="1334" t="s">
        <v>1425</v>
      </c>
      <c r="L16" s="1335"/>
      <c r="M16" s="1291"/>
    </row>
    <row r="17" spans="1:37" s="1855" customFormat="1" ht="18" customHeight="1">
      <c r="A17" s="1199" t="s">
        <v>1390</v>
      </c>
      <c r="B17" s="346" t="s">
        <v>1426</v>
      </c>
      <c r="C17" s="24">
        <f ca="1">ROUND(F17*(F43+INDIRECT("'数据-取费表'!S"&amp;$G$1)),0)</f>
        <v>1583680</v>
      </c>
      <c r="D17" s="346" t="s">
        <v>1427</v>
      </c>
      <c r="E17" s="346" t="s">
        <v>1428</v>
      </c>
      <c r="F17" s="26">
        <f>'数据-取费表'!B35</f>
        <v>200</v>
      </c>
      <c r="G17" s="1851"/>
      <c r="H17" s="1199" t="s">
        <v>1035</v>
      </c>
      <c r="I17" s="346" t="s">
        <v>1429</v>
      </c>
      <c r="J17" s="24">
        <f ca="1">ROUND(IF(项目基本情况!B11="自然人",J5*M17,J18+J19+J20),0)</f>
        <v>234273</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1432</v>
      </c>
      <c r="C18" s="24">
        <f ca="1">ROUND(C14*F18,0)</f>
        <v>296940</v>
      </c>
      <c r="D18" s="346" t="s">
        <v>1421</v>
      </c>
      <c r="E18" s="346" t="s">
        <v>1422</v>
      </c>
      <c r="F18" s="366">
        <f>'数据-取费表'!B36</f>
        <v>1.4999999999999999E-2</v>
      </c>
      <c r="G18" s="1851"/>
      <c r="H18" s="1199" t="s">
        <v>1034</v>
      </c>
      <c r="I18" s="346" t="s">
        <v>1433</v>
      </c>
      <c r="J18" s="24">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1435</v>
      </c>
      <c r="C19" s="24">
        <f ca="1">SUM(C14:C18)</f>
        <v>22666420</v>
      </c>
      <c r="D19" s="139" t="s">
        <v>1436</v>
      </c>
      <c r="E19" s="1815"/>
      <c r="F19" s="26"/>
      <c r="G19" s="1848"/>
      <c r="H19" s="1199" t="s">
        <v>1036</v>
      </c>
      <c r="I19" s="346" t="s">
        <v>1437</v>
      </c>
      <c r="J19" s="24">
        <f ca="1">IF(K19="按租金收入计税",ROUND(J5*M19,0),ROUND(C29*M19*0.7,0))</f>
        <v>234273</v>
      </c>
      <c r="K19" s="1825" t="s">
        <v>1438</v>
      </c>
      <c r="L19" s="346" t="s">
        <v>1422</v>
      </c>
      <c r="M19" s="366">
        <f>IF(K19="按租金收入计税",'数据-取费表'!B51,'数据-取费表'!B50)</f>
        <v>1.2E-2</v>
      </c>
    </row>
    <row r="20" spans="1:37" s="1855" customFormat="1" ht="18" customHeight="1">
      <c r="A20" s="1199" t="s">
        <v>1039</v>
      </c>
      <c r="B20" s="346" t="s">
        <v>1439</v>
      </c>
      <c r="C20" s="24">
        <f ca="1">ROUND(C19*F20,0)</f>
        <v>453328</v>
      </c>
      <c r="D20" s="368" t="s">
        <v>1440</v>
      </c>
      <c r="E20" s="346" t="s">
        <v>1422</v>
      </c>
      <c r="F20" s="366">
        <f>'数据-取费表'!B37</f>
        <v>0.02</v>
      </c>
      <c r="G20" s="1851"/>
      <c r="H20" s="1199" t="s">
        <v>1389</v>
      </c>
      <c r="I20" s="163" t="s">
        <v>1441</v>
      </c>
      <c r="J20" s="25">
        <f ca="1">ROUND(M20*M21,0)</f>
        <v>0</v>
      </c>
      <c r="K20" s="369" t="s">
        <v>1442</v>
      </c>
      <c r="L20" s="346" t="s">
        <v>1443</v>
      </c>
      <c r="M20" s="370">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1444</v>
      </c>
      <c r="C21" s="24" t="s">
        <v>1</v>
      </c>
      <c r="D21" s="368" t="s">
        <v>1445</v>
      </c>
      <c r="E21" s="346" t="s">
        <v>1446</v>
      </c>
      <c r="F21" s="366">
        <f>'数据-取费表'!B38</f>
        <v>1.4999999999999999E-2</v>
      </c>
      <c r="G21" s="1851"/>
      <c r="H21" s="371"/>
      <c r="I21" s="355"/>
      <c r="J21" s="29"/>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1448</v>
      </c>
      <c r="C22" s="24"/>
      <c r="D22" s="139" t="str">
        <f>IF(F23&lt;=1,"单利计息。","复利计息。")&amp;"建造成本、管理费用、销售费用产生的利息。"</f>
        <v>单利计息。建造成本、管理费用、销售费用产生的利息。</v>
      </c>
      <c r="E22" s="1815"/>
      <c r="F22" s="26"/>
      <c r="G22" s="1848"/>
      <c r="H22" s="1199" t="s">
        <v>1039</v>
      </c>
      <c r="I22" s="346" t="s">
        <v>1449</v>
      </c>
      <c r="J22" s="24">
        <f ca="1">ROUND(J14*M22,0)</f>
        <v>418345</v>
      </c>
      <c r="K22" s="1795" t="s">
        <v>1450</v>
      </c>
      <c r="L22" s="346" t="s">
        <v>1422</v>
      </c>
      <c r="M22" s="373">
        <f ca="1">INDIRECT("'数据-取费表'!Ak"&amp;$G$1)</f>
        <v>1.4999999999999999E-2</v>
      </c>
    </row>
    <row r="23" spans="1:37" s="1855" customFormat="1" ht="18" customHeight="1">
      <c r="A23" s="1199" t="s">
        <v>1034</v>
      </c>
      <c r="B23" s="346" t="s">
        <v>1451</v>
      </c>
      <c r="C23" s="24">
        <f ca="1">IF('数据-取费表'!B22&lt;=1,ROUND(C19*F24*F23/2,0)+ROUND(C20*F24*F23/2,0),ROUND(C19*(POWER((1+F24),F23/2)-1),0)+ROUND(C20*(POWER((1+F24),F23/2)-1),0))</f>
        <v>502855</v>
      </c>
      <c r="D23" s="374" t="str">
        <f>IF(F23&lt;=1,"(建造成本+管理费用)×利率×(建设周期÷2)","(建造成本+管理费用)×((1+利率)^(建设周期÷2)-1)")</f>
        <v>(建造成本+管理费用)×利率×(建设周期÷2)</v>
      </c>
      <c r="E23" s="346" t="s">
        <v>1452</v>
      </c>
      <c r="F23" s="370">
        <f>'数据-取费表'!B20</f>
        <v>1</v>
      </c>
      <c r="G23" s="1851"/>
      <c r="H23" s="1199" t="s">
        <v>1075</v>
      </c>
      <c r="I23" s="346" t="s">
        <v>1453</v>
      </c>
      <c r="J23" s="24">
        <f ca="1">ROUND(J13*M23,0)</f>
        <v>0</v>
      </c>
      <c r="K23" s="1795" t="s">
        <v>1454</v>
      </c>
      <c r="L23" s="346" t="s">
        <v>1455</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6" t="s">
        <v>1457</v>
      </c>
      <c r="C24" s="24">
        <f ca="1">ROUND(IF('数据-取费表'!B22&lt;=1,F21*F24*F23/2,F21*(POWER((1+F24),F23/2)-1)),4)</f>
        <v>2.9999999999999997E-4</v>
      </c>
      <c r="D24" s="374" t="str">
        <f>IF(F23&lt;=1,"销售费用×利率×(建设周期÷2)","销售费用×((1+利率)^(建设周期÷2)-1)")</f>
        <v>销售费用×利率×(建设周期÷2)</v>
      </c>
      <c r="E24" s="346" t="s">
        <v>1458</v>
      </c>
      <c r="F24" s="376">
        <f ca="1">'数据-取费表'!B40</f>
        <v>4.3499999999999997E-2</v>
      </c>
      <c r="G24" s="1851"/>
      <c r="H24" s="1336" t="s">
        <v>1393</v>
      </c>
      <c r="I24" s="1337" t="s">
        <v>1439</v>
      </c>
      <c r="J24" s="1338">
        <f ca="1">ROUND(J5*M24,0)</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6" t="s">
        <v>1461</v>
      </c>
      <c r="C25" s="24"/>
      <c r="D25" s="139" t="s">
        <v>1462</v>
      </c>
      <c r="E25" s="1815"/>
      <c r="F25" s="26"/>
      <c r="G25" s="1848"/>
      <c r="H25" s="1326" t="s">
        <v>1031</v>
      </c>
      <c r="I25" s="1341" t="s">
        <v>1463</v>
      </c>
      <c r="J25" s="354">
        <f ca="1">J5-J16</f>
        <v>-652618</v>
      </c>
      <c r="K25" s="1342" t="s">
        <v>1464</v>
      </c>
      <c r="L25" s="1343"/>
      <c r="M25" s="1344"/>
    </row>
    <row r="26" spans="1:37" ht="18" customHeight="1">
      <c r="A26" s="1199" t="s">
        <v>1034</v>
      </c>
      <c r="B26" s="346" t="s">
        <v>1465</v>
      </c>
      <c r="C26" s="24">
        <f ca="1">ROUND((C19+C20)*F26,0)</f>
        <v>2311975</v>
      </c>
      <c r="D26" s="368" t="s">
        <v>1466</v>
      </c>
      <c r="E26" s="357" t="s">
        <v>1467</v>
      </c>
      <c r="F26" s="356">
        <f ca="1">INDIRECT("'数据-取费表'!q"&amp;$G$1)</f>
        <v>0.1</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1.5E-3</v>
      </c>
      <c r="D27" s="368" t="s">
        <v>1472</v>
      </c>
      <c r="E27" s="364"/>
      <c r="F27" s="365"/>
      <c r="G27" s="1848"/>
      <c r="H27" s="348"/>
      <c r="I27" s="349"/>
      <c r="J27" s="350"/>
      <c r="K27" s="377" t="s">
        <v>1473</v>
      </c>
      <c r="L27" s="346" t="s">
        <v>1474</v>
      </c>
      <c r="M27" s="378">
        <f ca="1">INDIRECT("'数据-取费表'!ag"&amp;$G$1)</f>
        <v>0</v>
      </c>
    </row>
    <row r="28" spans="1:37" s="1855" customFormat="1" ht="18" customHeight="1">
      <c r="A28" s="1199"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27889642</v>
      </c>
      <c r="D29" s="1339"/>
      <c r="E29" s="1337"/>
      <c r="F29" s="1340"/>
      <c r="G29" s="1851"/>
      <c r="H29" s="379" t="s">
        <v>1033</v>
      </c>
      <c r="I29" s="380" t="s">
        <v>1479</v>
      </c>
      <c r="J29" s="381">
        <f ca="1">ROUND(J26/(1+F40)^F41,0)</f>
        <v>0</v>
      </c>
      <c r="K29" s="382" t="s">
        <v>1480</v>
      </c>
      <c r="L29" s="383"/>
      <c r="M29" s="384">
        <f ca="1">INDIRECT("'数据-取费表'!k"&amp;$G$1)</f>
        <v>7918.4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1268728</v>
      </c>
      <c r="D30" s="1334" t="s">
        <v>1425</v>
      </c>
      <c r="E30" s="1335"/>
      <c r="F30" s="1291"/>
      <c r="G30" s="1848"/>
      <c r="H30" s="740"/>
      <c r="I30" s="741"/>
      <c r="J30" s="742"/>
      <c r="K30" s="743"/>
      <c r="L30" s="744"/>
      <c r="M30" s="745"/>
    </row>
    <row r="31" spans="1:37" ht="18" customHeight="1">
      <c r="A31" s="1199" t="s">
        <v>1035</v>
      </c>
      <c r="B31" s="346" t="s">
        <v>1429</v>
      </c>
      <c r="C31" s="24">
        <f ca="1">ROUND(IF(项目基本情况!B11="自然人",C5*F31,C32+C33+C34),0)</f>
        <v>768401</v>
      </c>
      <c r="D31" s="1797" t="s">
        <v>1430</v>
      </c>
      <c r="E31" s="1795" t="s">
        <v>1481</v>
      </c>
      <c r="F31" s="367"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6" t="s">
        <v>1433</v>
      </c>
      <c r="C32" s="24">
        <f ca="1">IF(项目基本情况!B11="自然人","——",ROUND(C5*F32/(1+'数据-取费表'!C42),0))</f>
        <v>236431</v>
      </c>
      <c r="D32" s="1795" t="s">
        <v>1434</v>
      </c>
      <c r="E32" s="346" t="s">
        <v>1422</v>
      </c>
      <c r="F32" s="376">
        <f>'数据-取费表'!B41</f>
        <v>5.6000000000000001E-2</v>
      </c>
      <c r="G32" s="1848"/>
      <c r="H32" s="740"/>
      <c r="I32" s="741"/>
      <c r="J32" s="742"/>
      <c r="K32" s="743"/>
      <c r="L32" s="744"/>
      <c r="M32" s="745"/>
    </row>
    <row r="33" spans="1:18" ht="18" customHeight="1">
      <c r="A33" s="1199" t="s">
        <v>1036</v>
      </c>
      <c r="B33" s="346" t="s">
        <v>1437</v>
      </c>
      <c r="C33" s="24">
        <f ca="1">IF(项目基本情况!B11="自然人","——",IF(D33="按租金收入计税",ROUND(C5*F33,0),IF(D33="按房产原值计税",ROUND(C29*F33*0.7,0),INDIRECT("'数据-取费表'!Aj"&amp;$G$1))))</f>
        <v>531970</v>
      </c>
      <c r="D33" s="1825" t="s">
        <v>3054</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f>
        <v>0</v>
      </c>
      <c r="D34" s="369" t="s">
        <v>1442</v>
      </c>
      <c r="E34" s="346" t="s">
        <v>1443</v>
      </c>
      <c r="F34" s="370">
        <f>'数据-取费表'!B52</f>
        <v>4</v>
      </c>
      <c r="G34" s="1848"/>
      <c r="H34" s="740"/>
      <c r="I34" s="1857"/>
      <c r="J34" s="1858"/>
      <c r="K34" s="1860"/>
      <c r="L34" s="1861"/>
      <c r="M34" s="1861"/>
    </row>
    <row r="35" spans="1:18" ht="18" customHeight="1">
      <c r="A35" s="1350"/>
      <c r="B35" s="1348"/>
      <c r="C35" s="29"/>
      <c r="D35" s="372"/>
      <c r="E35" s="346" t="s">
        <v>1447</v>
      </c>
      <c r="F35" s="347">
        <f ca="1">INDIRECT("'数据-取费表'!r"&amp;$G$1)</f>
        <v>0</v>
      </c>
      <c r="G35" s="1848"/>
      <c r="H35" s="740"/>
      <c r="I35" s="1857"/>
      <c r="J35" s="1858"/>
      <c r="K35" s="1859"/>
      <c r="L35" s="1856"/>
      <c r="M35" s="1856"/>
    </row>
    <row r="36" spans="1:18" ht="18" customHeight="1">
      <c r="A36" s="1349" t="s">
        <v>1039</v>
      </c>
      <c r="B36" s="346" t="s">
        <v>1449</v>
      </c>
      <c r="C36" s="24">
        <f ca="1">ROUND(C29*F36,0)</f>
        <v>418345</v>
      </c>
      <c r="D36" s="1795" t="s">
        <v>1482</v>
      </c>
      <c r="E36" s="346" t="s">
        <v>1422</v>
      </c>
      <c r="F36" s="373">
        <f ca="1">INDIRECT("'数据-取费表'!Ak"&amp;$G$1)</f>
        <v>1.4999999999999999E-2</v>
      </c>
      <c r="G36" s="1848"/>
      <c r="H36" s="1856"/>
      <c r="I36" s="1857"/>
      <c r="J36" s="1858"/>
      <c r="K36" s="746"/>
      <c r="L36" s="1856"/>
      <c r="M36" s="1856"/>
    </row>
    <row r="37" spans="1:18" ht="18" customHeight="1">
      <c r="A37" s="1199" t="s">
        <v>1075</v>
      </c>
      <c r="B37" s="346" t="s">
        <v>1453</v>
      </c>
      <c r="C37" s="24">
        <f ca="1">ROUND(C13*F37,0)</f>
        <v>37651</v>
      </c>
      <c r="D37" s="1795" t="s">
        <v>1454</v>
      </c>
      <c r="E37" s="346" t="s">
        <v>1455</v>
      </c>
      <c r="F37" s="375">
        <f ca="1">INDIRECT("'数据-取费表'!Al"&amp;$G$1)</f>
        <v>1.5E-3</v>
      </c>
      <c r="G37" s="1848"/>
      <c r="H37" s="1856"/>
      <c r="I37" s="1857"/>
      <c r="J37" s="1858"/>
      <c r="K37" s="746"/>
      <c r="L37" s="1856"/>
      <c r="M37" s="1856"/>
    </row>
    <row r="38" spans="1:18" ht="18" customHeight="1" thickBot="1">
      <c r="A38" s="1336" t="s">
        <v>1393</v>
      </c>
      <c r="B38" s="1337" t="s">
        <v>1439</v>
      </c>
      <c r="C38" s="1338">
        <f ca="1">ROUND(C5*F38,1)</f>
        <v>44330.9</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4">
        <f ca="1">C5-C30</f>
        <v>3164357</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72209747</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29.12</v>
      </c>
      <c r="G41" s="1848"/>
      <c r="H41" s="727"/>
      <c r="I41" s="1857"/>
      <c r="J41" s="1858"/>
      <c r="K41" s="746"/>
      <c r="L41" s="727"/>
      <c r="M41" s="727"/>
    </row>
    <row r="42" spans="1:18" ht="18" customHeight="1">
      <c r="A42" s="352"/>
      <c r="B42" s="353"/>
      <c r="C42" s="354"/>
      <c r="D42" s="372"/>
      <c r="E42" s="346" t="s">
        <v>1477</v>
      </c>
      <c r="F42" s="356">
        <f ca="1">INDIRECT("'数据-取费表'!v"&amp;$G$1)</f>
        <v>3.5000000000000003E-2</v>
      </c>
      <c r="G42" s="1848"/>
      <c r="H42" s="727"/>
      <c r="I42" s="1857"/>
      <c r="J42" s="1858"/>
      <c r="K42" s="746"/>
      <c r="L42" s="727"/>
      <c r="M42" s="727"/>
    </row>
    <row r="43" spans="1:18" ht="18" customHeight="1" thickBot="1">
      <c r="A43" s="379" t="s">
        <v>1033</v>
      </c>
      <c r="B43" s="380" t="s">
        <v>1487</v>
      </c>
      <c r="C43" s="381">
        <f ca="1">ROUND(C40/F43,0)</f>
        <v>9119</v>
      </c>
      <c r="D43" s="382" t="s">
        <v>1488</v>
      </c>
      <c r="E43" s="383" t="s">
        <v>1489</v>
      </c>
      <c r="F43" s="384">
        <f ca="1">INDIRECT("'数据-取费表'!k"&amp;$G$1)</f>
        <v>7918.4</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5">
        <f ca="1">C68-C40</f>
        <v>-136075896</v>
      </c>
      <c r="D45" s="1936" t="s">
        <v>1604</v>
      </c>
      <c r="E45" s="1863"/>
      <c r="F45" s="1863"/>
      <c r="O45" s="1866" t="s">
        <v>1519</v>
      </c>
      <c r="P45" s="1836"/>
      <c r="Q45" s="1836"/>
      <c r="R45" s="1836"/>
    </row>
    <row r="46" spans="1:18" s="1839" customFormat="1" ht="13.5" thickBot="1">
      <c r="A46" s="1867" t="s">
        <v>1520</v>
      </c>
      <c r="C46" s="1868">
        <f ca="1">ROUND(C45/10000,0)</f>
        <v>-13608</v>
      </c>
      <c r="D46" s="1869" t="str">
        <f>C2</f>
        <v>万元</v>
      </c>
      <c r="I46" s="1870" t="s">
        <v>1521</v>
      </c>
      <c r="J46" s="1871"/>
      <c r="K46" s="1872"/>
      <c r="L46" s="1873">
        <f ca="1">IF(M47="住宅",0,IF(L48&gt;J51,L60,J60))</f>
        <v>941091</v>
      </c>
      <c r="O46" s="1874" t="s">
        <v>1522</v>
      </c>
      <c r="P46" s="1875" t="s">
        <v>1523</v>
      </c>
      <c r="Q46" s="1876" t="s">
        <v>1524</v>
      </c>
      <c r="R46" s="1876" t="s">
        <v>1525</v>
      </c>
    </row>
    <row r="47" spans="1:18" s="1839" customFormat="1" ht="13.5" thickBot="1">
      <c r="A47" s="1163" t="s">
        <v>1396</v>
      </c>
      <c r="B47" s="1195" t="s">
        <v>1397</v>
      </c>
      <c r="C47" s="1195" t="s">
        <v>1398</v>
      </c>
      <c r="D47" s="1195" t="s">
        <v>1399</v>
      </c>
      <c r="E47" s="1276" t="s">
        <v>1400</v>
      </c>
      <c r="F47" s="1277"/>
      <c r="G47" s="787"/>
      <c r="I47" s="1877" t="s">
        <v>1526</v>
      </c>
      <c r="J47" s="1878" t="s">
        <v>3055</v>
      </c>
      <c r="K47" s="1879" t="s">
        <v>1527</v>
      </c>
      <c r="L47" s="1880">
        <f ca="1">INDIRECT("'数据-取费表'!d"&amp;$G$1)</f>
        <v>40</v>
      </c>
      <c r="M47" s="1835" t="str">
        <f>IF(ISNUMBER(FIND("住宅",C1)),"住宅","非住宅")</f>
        <v>非住宅</v>
      </c>
      <c r="O47" s="1881" t="s">
        <v>1040</v>
      </c>
      <c r="P47" s="1882" t="s">
        <v>1528</v>
      </c>
      <c r="Q47" s="1883">
        <f ca="1">C40+J29</f>
        <v>72209747</v>
      </c>
      <c r="R47" s="1883" t="s">
        <v>1529</v>
      </c>
    </row>
    <row r="48" spans="1:18" s="1839" customFormat="1" ht="28.5" thickBot="1">
      <c r="A48" s="1357" t="s">
        <v>1135</v>
      </c>
      <c r="B48" s="344" t="s">
        <v>1401</v>
      </c>
      <c r="C48" s="1814">
        <f ca="1">C49+C53+C55</f>
        <v>0</v>
      </c>
      <c r="D48" s="1359"/>
      <c r="E48" s="1360"/>
      <c r="F48" s="1179"/>
      <c r="G48" s="787"/>
      <c r="H48" s="788"/>
      <c r="I48" s="1884" t="s">
        <v>1530</v>
      </c>
      <c r="J48" s="1885" t="s">
        <v>3056</v>
      </c>
      <c r="K48" s="1886" t="s">
        <v>1531</v>
      </c>
      <c r="L48" s="1887">
        <f ca="1">INDIRECT("'数据-取费表'!f"&amp;$G$1)</f>
        <v>29.12</v>
      </c>
      <c r="O48" s="1881" t="s">
        <v>1041</v>
      </c>
      <c r="P48" s="1882" t="s">
        <v>1532</v>
      </c>
      <c r="Q48" s="1883">
        <f ca="1">J60</f>
        <v>941091</v>
      </c>
      <c r="R48" s="1883" t="s">
        <v>1533</v>
      </c>
    </row>
    <row r="49" spans="1:18" s="1839" customFormat="1" ht="13.5" thickBot="1">
      <c r="A49" s="1192" t="s">
        <v>1136</v>
      </c>
      <c r="B49" s="1826" t="s">
        <v>1490</v>
      </c>
      <c r="C49" s="1361">
        <f ca="1">ROUND(F49*F51*F50*(1-F52),0)</f>
        <v>0</v>
      </c>
      <c r="D49" s="1273" t="s">
        <v>1404</v>
      </c>
      <c r="E49" s="1827" t="s">
        <v>1491</v>
      </c>
      <c r="F49" s="1278"/>
      <c r="G49" s="1888"/>
      <c r="H49" s="788"/>
      <c r="I49" s="1884" t="s">
        <v>1534</v>
      </c>
      <c r="J49" s="2967">
        <v>2012</v>
      </c>
      <c r="K49" s="1886" t="s">
        <v>1535</v>
      </c>
      <c r="L49" s="1889"/>
      <c r="O49" s="1890" t="s">
        <v>1042</v>
      </c>
      <c r="P49" s="1882" t="s">
        <v>1536</v>
      </c>
      <c r="Q49" s="1883">
        <f ca="1">C29</f>
        <v>27889642</v>
      </c>
      <c r="R49" s="1883" t="s">
        <v>1529</v>
      </c>
    </row>
    <row r="50" spans="1:18" s="1839" customFormat="1" ht="13.5" thickBot="1">
      <c r="A50" s="1193"/>
      <c r="B50" s="1196"/>
      <c r="C50" s="1197"/>
      <c r="D50" s="1170"/>
      <c r="E50" s="1274" t="s">
        <v>1406</v>
      </c>
      <c r="F50" s="1275">
        <f ca="1">F7</f>
        <v>7918.4</v>
      </c>
      <c r="H50" s="788"/>
      <c r="I50" s="1884" t="s">
        <v>1537</v>
      </c>
      <c r="J50" s="1891">
        <f>SUMPRODUCT((I63:I65=J47)*(J62:L62=J48)*(J63:L65))</f>
        <v>60</v>
      </c>
      <c r="K50" s="1886" t="s">
        <v>1538</v>
      </c>
      <c r="L50" s="1889"/>
      <c r="M50" s="1892"/>
      <c r="O50" s="1890" t="s">
        <v>1043</v>
      </c>
      <c r="P50" s="1882" t="s">
        <v>1539</v>
      </c>
      <c r="Q50" s="1893">
        <f ca="1">J58</f>
        <v>0.41499999999999998</v>
      </c>
      <c r="R50" s="1883"/>
    </row>
    <row r="51" spans="1:18" s="1839" customFormat="1" ht="13.5" thickBot="1">
      <c r="A51" s="1194"/>
      <c r="B51" s="1196"/>
      <c r="C51" s="1197"/>
      <c r="D51" s="1170"/>
      <c r="E51" s="1198" t="s">
        <v>1407</v>
      </c>
      <c r="F51" s="347">
        <f ca="1">F8</f>
        <v>365</v>
      </c>
      <c r="I51" s="1894" t="s">
        <v>1540</v>
      </c>
      <c r="J51" s="1895">
        <f>IF(J49="",J50,J49+J50-YEAR('数据-取费表'!B2))</f>
        <v>54</v>
      </c>
      <c r="K51" s="1896" t="s">
        <v>1541</v>
      </c>
      <c r="L51" s="1897">
        <f ca="1">ROUND(-PV(INDIRECT("'数据-取费表'!h"&amp;$G$1),L48,(C39-C13*C76),0),0)</f>
        <v>16549023</v>
      </c>
      <c r="M51" s="1898"/>
      <c r="O51" s="1890" t="s">
        <v>1044</v>
      </c>
      <c r="P51" s="1882" t="s">
        <v>1542</v>
      </c>
      <c r="Q51" s="1893">
        <f>J52</f>
        <v>0.09</v>
      </c>
      <c r="R51" s="1883"/>
    </row>
    <row r="52" spans="1:18" s="1839" customFormat="1" ht="13.5" thickBot="1">
      <c r="A52" s="1194"/>
      <c r="B52" s="1196"/>
      <c r="C52" s="1197"/>
      <c r="D52" s="1170"/>
      <c r="E52" s="1198" t="s">
        <v>1408</v>
      </c>
      <c r="F52" s="1272"/>
      <c r="I52" s="1899" t="s">
        <v>1543</v>
      </c>
      <c r="J52" s="1900">
        <v>0.09</v>
      </c>
      <c r="K52" s="1899" t="s">
        <v>1544</v>
      </c>
      <c r="L52" s="1900"/>
      <c r="O52" s="1890" t="s">
        <v>1045</v>
      </c>
      <c r="P52" s="1882" t="s">
        <v>1545</v>
      </c>
      <c r="Q52" s="1883">
        <f ca="1">J53</f>
        <v>29.12</v>
      </c>
      <c r="R52" s="1883" t="s">
        <v>1546</v>
      </c>
    </row>
    <row r="53" spans="1:18" s="1839" customFormat="1" ht="30.75" customHeight="1" thickBot="1">
      <c r="A53" s="1358" t="s">
        <v>1137</v>
      </c>
      <c r="B53" s="368" t="s">
        <v>1409</v>
      </c>
      <c r="C53" s="360">
        <f ca="1">ROUND(IF(F53="押一",C49/12*F11,IF(F53="押二",C49/12*2*F11,IF(F53="押三",C49/12*3*F11,C54*F11))),0)</f>
        <v>0</v>
      </c>
      <c r="D53" s="1821" t="s">
        <v>3042</v>
      </c>
      <c r="E53" s="357" t="s">
        <v>1410</v>
      </c>
      <c r="F53" s="1363"/>
      <c r="I53" s="1901" t="s">
        <v>1547</v>
      </c>
      <c r="J53" s="1902">
        <f ca="1">IF(M47="住宅",J51,IF(D1="——",MIN(J51,L48),IF(D1="在建（套用方法）",MIN(J51,L48-'数据-取费表'!B24),IF(D1="土地（套用方法）",MIN(J51,L48-'数据-取费表'!B20)))))</f>
        <v>29.12</v>
      </c>
      <c r="K53" s="3245" t="s">
        <v>1548</v>
      </c>
      <c r="L53" s="3246"/>
      <c r="O53" s="1881" t="s">
        <v>1046</v>
      </c>
      <c r="P53" s="1882" t="s">
        <v>1549</v>
      </c>
      <c r="Q53" s="1883">
        <f ca="1">Q47+Q48</f>
        <v>73150838</v>
      </c>
      <c r="R53" s="1883" t="s">
        <v>1047</v>
      </c>
    </row>
    <row r="54" spans="1:18" s="1839" customFormat="1" ht="13.5" thickBot="1">
      <c r="A54" s="1192"/>
      <c r="B54" s="1937" t="s">
        <v>1603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1550</v>
      </c>
      <c r="P54" s="1836"/>
      <c r="Q54" s="1836"/>
      <c r="R54" s="1836"/>
    </row>
    <row r="55" spans="1:18" s="1839" customFormat="1" ht="13.5" thickBot="1">
      <c r="A55" s="1330" t="s">
        <v>1075</v>
      </c>
      <c r="B55" s="1824" t="s">
        <v>1413</v>
      </c>
      <c r="C55" s="1331"/>
      <c r="D55" s="1821"/>
      <c r="E55" s="1829"/>
      <c r="F55" s="1903"/>
      <c r="I55" s="1906" t="s">
        <v>1551</v>
      </c>
      <c r="J55" s="1907">
        <f ca="1">ROUND(IF(J47="钢混",J57/J50,1-(1-2%)*(J50-J57)/J50),3)</f>
        <v>0.41499999999999998</v>
      </c>
      <c r="K55" s="1908" t="s">
        <v>1552</v>
      </c>
      <c r="L55" s="1909"/>
      <c r="O55" s="1874" t="s">
        <v>1522</v>
      </c>
      <c r="P55" s="1875" t="s">
        <v>1523</v>
      </c>
      <c r="Q55" s="1876" t="s">
        <v>1524</v>
      </c>
      <c r="R55" s="1876" t="s">
        <v>1525</v>
      </c>
    </row>
    <row r="56" spans="1:18" s="1839" customFormat="1" ht="36" customHeight="1" thickTop="1" thickBot="1">
      <c r="A56" s="1174">
        <v>2</v>
      </c>
      <c r="B56" s="1175" t="s">
        <v>1414</v>
      </c>
      <c r="C56" s="275">
        <f ca="1">C13</f>
        <v>25100678</v>
      </c>
      <c r="D56" s="1910"/>
      <c r="E56" s="1911"/>
      <c r="F56" s="1903"/>
      <c r="I56" s="1912" t="s">
        <v>1554</v>
      </c>
      <c r="J56" s="1913" t="s">
        <v>3057</v>
      </c>
      <c r="K56" s="1884" t="s">
        <v>1555</v>
      </c>
      <c r="L56" s="1887" t="str">
        <f ca="1">IF(L48&lt;J51,"——",L48-J51)</f>
        <v>——</v>
      </c>
      <c r="O56" s="1881" t="s">
        <v>1040</v>
      </c>
      <c r="P56" s="1882" t="s">
        <v>1528</v>
      </c>
      <c r="Q56" s="1883">
        <f ca="1">C40+J29</f>
        <v>72209747</v>
      </c>
      <c r="R56" s="1883" t="s">
        <v>1529</v>
      </c>
    </row>
    <row r="57" spans="1:18" s="1839" customFormat="1" ht="24.75" thickBot="1">
      <c r="A57" s="1914"/>
      <c r="B57" s="1167" t="s">
        <v>1478</v>
      </c>
      <c r="C57" s="281">
        <f ca="1">C29</f>
        <v>27889642</v>
      </c>
      <c r="D57" s="1915"/>
      <c r="E57" s="1916"/>
      <c r="F57" s="1917"/>
      <c r="I57" s="1918" t="s">
        <v>1556</v>
      </c>
      <c r="J57" s="1919">
        <f ca="1">IF(OR(M47="住宅",J51&lt;L48,J56="是"),"——",J51-L48)</f>
        <v>24.88</v>
      </c>
      <c r="K57" s="1884" t="s">
        <v>1605</v>
      </c>
      <c r="L57" s="1887" t="str">
        <f ca="1">IF(L48&lt;J51,"——",IF(L55="比较法",L49,IF(L55="基准地价",L50,L51)))</f>
        <v>——</v>
      </c>
      <c r="O57" s="1881" t="s">
        <v>1041</v>
      </c>
      <c r="P57" s="1882" t="s">
        <v>1606</v>
      </c>
      <c r="Q57" s="1883">
        <f ca="1">L60</f>
        <v>0</v>
      </c>
      <c r="R57" s="1883" t="s">
        <v>1607</v>
      </c>
    </row>
    <row r="58" spans="1:18" s="1839" customFormat="1" ht="24.75" thickBot="1">
      <c r="A58" s="359" t="s">
        <v>1030</v>
      </c>
      <c r="B58" s="1175" t="s">
        <v>1424</v>
      </c>
      <c r="C58" s="360">
        <f ca="1">ROUND(C59+C64+C65+C66,0)</f>
        <v>2798726</v>
      </c>
      <c r="D58" s="1177" t="s">
        <v>1425</v>
      </c>
      <c r="E58" s="1178"/>
      <c r="F58" s="1179"/>
      <c r="I58" s="1918" t="s">
        <v>1560</v>
      </c>
      <c r="J58" s="1920">
        <f ca="1">IF(J55&lt;0.4,0.4,J55)</f>
        <v>0.41499999999999998</v>
      </c>
      <c r="K58" s="1896" t="s">
        <v>1608</v>
      </c>
      <c r="L58" s="1887" t="e">
        <f ca="1">ROUND(POWER(1+L52,L47-L48)*(POWER(1+L52,L48)-1)/(POWER(1+L52,L47)-1),4)</f>
        <v>#DIV/0!</v>
      </c>
      <c r="O58" s="1890"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2342730</v>
      </c>
      <c r="D59" s="1180" t="s">
        <v>1430</v>
      </c>
      <c r="E59" s="1181" t="s">
        <v>1431</v>
      </c>
      <c r="F59" s="367" t="str">
        <f ca="1">IF(项目基本情况!B11="企业","",IF(INDIRECT("'数据-取费表'!c"&amp;$G$1)="住宅",5%,IF(F49*F50*F51/12/(1+'数据-取费表'!C42)&gt;20000,12%,7%)))</f>
        <v/>
      </c>
      <c r="I59" s="1918" t="s">
        <v>1563</v>
      </c>
      <c r="J59" s="1919">
        <f ca="1">IF(OR(M47="住宅",J51&lt;L48,J56="是"),"——",ROUND(C29*J58,0))</f>
        <v>11574201</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0" t="s">
        <v>1043</v>
      </c>
      <c r="P59" s="1882" t="s">
        <v>1564</v>
      </c>
      <c r="Q59" s="1893">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1" t="s">
        <v>1565</v>
      </c>
      <c r="J60" s="1922">
        <f ca="1">IF(OR(M47="住宅",J51&lt;L48,J56="是"),"0",ROUND(J59/(1+J52)^J53,0))</f>
        <v>941091</v>
      </c>
      <c r="K60" s="1923" t="s">
        <v>1566</v>
      </c>
      <c r="L60" s="1922">
        <f ca="1">IF(OR(M47="住宅",L48&lt;J51),0,ROUND(L57*(L58/L59-1),0))</f>
        <v>0</v>
      </c>
      <c r="O60" s="1890"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2342730</v>
      </c>
      <c r="D61" s="1825" t="s">
        <v>1438</v>
      </c>
      <c r="E61" s="1167" t="s">
        <v>1494</v>
      </c>
      <c r="F61" s="366">
        <f t="shared" si="0"/>
        <v>0.12</v>
      </c>
      <c r="I61" s="1924"/>
      <c r="J61" s="1924"/>
      <c r="K61" s="1924"/>
      <c r="L61" s="1924"/>
      <c r="O61" s="1890" t="s">
        <v>1045</v>
      </c>
      <c r="P61" s="1882" t="str">
        <f>K59</f>
        <v>建筑物剩余耐用年限下的土地年期修正系数Kn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0">
        <f t="shared" si="0"/>
        <v>4</v>
      </c>
      <c r="I62" s="1925" t="s">
        <v>1570</v>
      </c>
      <c r="J62" s="1926" t="s">
        <v>1571</v>
      </c>
      <c r="K62" s="1926" t="s">
        <v>1572</v>
      </c>
      <c r="L62" s="1926" t="s">
        <v>1573</v>
      </c>
      <c r="M62" s="1927" t="s">
        <v>1574</v>
      </c>
      <c r="O62" s="1881" t="s">
        <v>1046</v>
      </c>
      <c r="P62" s="1882" t="s">
        <v>1575</v>
      </c>
      <c r="Q62" s="1883">
        <f ca="1">Q56+Q57</f>
        <v>72209747</v>
      </c>
      <c r="R62" s="1883" t="s">
        <v>1047</v>
      </c>
    </row>
    <row r="63" spans="1:18" s="1839" customFormat="1" ht="13.5" thickBot="1">
      <c r="A63" s="371"/>
      <c r="B63" s="1173"/>
      <c r="C63" s="29"/>
      <c r="D63" s="1183"/>
      <c r="E63" s="1167" t="s">
        <v>1499</v>
      </c>
      <c r="F63" s="347">
        <f t="shared" ca="1" si="0"/>
        <v>0</v>
      </c>
      <c r="I63" s="1925" t="s">
        <v>1576</v>
      </c>
      <c r="J63" s="1926">
        <v>70</v>
      </c>
      <c r="K63" s="1926">
        <v>50</v>
      </c>
      <c r="L63" s="1926">
        <v>80</v>
      </c>
      <c r="M63" s="1928">
        <v>0.02</v>
      </c>
      <c r="O63" s="1866" t="s">
        <v>1577</v>
      </c>
      <c r="P63" s="1836"/>
      <c r="Q63" s="1836"/>
      <c r="R63" s="1836"/>
    </row>
    <row r="64" spans="1:18" s="1839" customFormat="1" ht="13.5" thickBot="1">
      <c r="A64" s="1199" t="s">
        <v>1500</v>
      </c>
      <c r="B64" s="1167" t="s">
        <v>1501</v>
      </c>
      <c r="C64" s="24">
        <f ca="1">ROUND(C57*F64,0)</f>
        <v>418345</v>
      </c>
      <c r="D64" s="1181" t="s">
        <v>1502</v>
      </c>
      <c r="E64" s="1167" t="s">
        <v>1494</v>
      </c>
      <c r="F64" s="373">
        <f t="shared" ca="1" si="0"/>
        <v>1.4999999999999999E-2</v>
      </c>
      <c r="I64" s="1925" t="s">
        <v>1578</v>
      </c>
      <c r="J64" s="1926">
        <v>50</v>
      </c>
      <c r="K64" s="1926">
        <v>35</v>
      </c>
      <c r="L64" s="1926">
        <v>60</v>
      </c>
      <c r="M64" s="1927">
        <v>0</v>
      </c>
      <c r="O64" s="1874" t="s">
        <v>1522</v>
      </c>
      <c r="P64" s="1875" t="s">
        <v>1523</v>
      </c>
      <c r="Q64" s="1876" t="s">
        <v>1524</v>
      </c>
      <c r="R64" s="1876" t="s">
        <v>1525</v>
      </c>
    </row>
    <row r="65" spans="1:18" s="1839" customFormat="1" ht="13.5" thickBot="1">
      <c r="A65" s="1199" t="s">
        <v>1503</v>
      </c>
      <c r="B65" s="1167" t="s">
        <v>1453</v>
      </c>
      <c r="C65" s="24">
        <f ca="1">ROUND(C56*F65,0)</f>
        <v>37651</v>
      </c>
      <c r="D65" s="1181" t="s">
        <v>1454</v>
      </c>
      <c r="E65" s="1167" t="s">
        <v>1455</v>
      </c>
      <c r="F65" s="375">
        <f t="shared" ca="1" si="0"/>
        <v>1.5E-3</v>
      </c>
      <c r="I65" s="1925" t="s">
        <v>1579</v>
      </c>
      <c r="J65" s="1926">
        <v>40</v>
      </c>
      <c r="K65" s="1926">
        <v>30</v>
      </c>
      <c r="L65" s="1926">
        <v>50</v>
      </c>
      <c r="M65" s="1928">
        <v>0.02</v>
      </c>
      <c r="O65" s="1881" t="s">
        <v>1040</v>
      </c>
      <c r="P65" s="1882" t="s">
        <v>1580</v>
      </c>
      <c r="Q65" s="1883">
        <f ca="1">C40+J29</f>
        <v>72209747</v>
      </c>
      <c r="R65" s="1883" t="s">
        <v>1529</v>
      </c>
    </row>
    <row r="66" spans="1:18" s="1839" customFormat="1" ht="16.5" thickBot="1">
      <c r="A66" s="1199" t="s">
        <v>1504</v>
      </c>
      <c r="B66" s="1167" t="s">
        <v>1439</v>
      </c>
      <c r="C66" s="24">
        <f ca="1">ROUND(C48*F66,0)</f>
        <v>0</v>
      </c>
      <c r="D66" s="1181" t="s">
        <v>1505</v>
      </c>
      <c r="E66" s="1167" t="s">
        <v>1422</v>
      </c>
      <c r="F66" s="356">
        <f t="shared" ca="1" si="0"/>
        <v>0.01</v>
      </c>
      <c r="O66" s="1881" t="s">
        <v>1041</v>
      </c>
      <c r="P66" s="1882" t="s">
        <v>1558</v>
      </c>
      <c r="Q66" s="1883">
        <f ca="1">L60</f>
        <v>0</v>
      </c>
      <c r="R66" s="1883" t="s">
        <v>1581</v>
      </c>
    </row>
    <row r="67" spans="1:18" s="1839" customFormat="1" ht="16.5" thickBot="1">
      <c r="A67" s="1174" t="s">
        <v>1031</v>
      </c>
      <c r="B67" s="1184" t="s">
        <v>1463</v>
      </c>
      <c r="C67" s="360">
        <f ca="1">C48-C58</f>
        <v>-2798726</v>
      </c>
      <c r="D67" s="1180" t="s">
        <v>1464</v>
      </c>
      <c r="E67" s="1185"/>
      <c r="F67" s="1186"/>
      <c r="O67" s="1890" t="s">
        <v>1042</v>
      </c>
      <c r="P67" s="1882" t="s">
        <v>1562</v>
      </c>
      <c r="Q67" s="1929">
        <f ca="1">L51</f>
        <v>16549023</v>
      </c>
      <c r="R67" s="1883" t="s">
        <v>1582</v>
      </c>
    </row>
    <row r="68" spans="1:18" s="1839" customFormat="1" ht="16.5" thickBot="1">
      <c r="A68" s="1164" t="s">
        <v>1032</v>
      </c>
      <c r="B68" s="1165" t="s">
        <v>1485</v>
      </c>
      <c r="C68" s="345">
        <f ca="1">ROUND(C67*(1-((1+F70)/(1+F68))^F69)/(F68-F70),0)</f>
        <v>-63866149</v>
      </c>
      <c r="D68" s="1182" t="s">
        <v>1469</v>
      </c>
      <c r="E68" s="1167" t="s">
        <v>1470</v>
      </c>
      <c r="F68" s="356">
        <f ca="1">F40</f>
        <v>0.05</v>
      </c>
      <c r="O68" s="1890" t="s">
        <v>1043</v>
      </c>
      <c r="P68" s="1930" t="s">
        <v>1583</v>
      </c>
      <c r="Q68" s="1883">
        <f ca="1">ROUND(Q69-Q70*Q71,0)</f>
        <v>1030799</v>
      </c>
      <c r="R68" s="1883" t="s">
        <v>1051</v>
      </c>
    </row>
    <row r="69" spans="1:18" s="1839" customFormat="1" ht="13.5" thickBot="1">
      <c r="A69" s="1168"/>
      <c r="B69" s="1169"/>
      <c r="C69" s="350"/>
      <c r="D69" s="1187" t="s">
        <v>1473</v>
      </c>
      <c r="E69" s="1167" t="s">
        <v>1474</v>
      </c>
      <c r="F69" s="378">
        <f ca="1">F41</f>
        <v>29.12</v>
      </c>
      <c r="O69" s="1890" t="s">
        <v>1048</v>
      </c>
      <c r="P69" s="1930" t="s">
        <v>1584</v>
      </c>
      <c r="Q69" s="1883">
        <f ca="1">C39</f>
        <v>3164357</v>
      </c>
      <c r="R69" s="1883" t="s">
        <v>1529</v>
      </c>
    </row>
    <row r="70" spans="1:18" s="1839" customFormat="1" ht="13.5" thickBot="1">
      <c r="A70" s="1171"/>
      <c r="B70" s="1172"/>
      <c r="C70" s="354"/>
      <c r="D70" s="1183"/>
      <c r="E70" s="1167" t="s">
        <v>1477</v>
      </c>
      <c r="F70" s="1272">
        <f ca="1">F42</f>
        <v>3.5000000000000003E-2</v>
      </c>
      <c r="O70" s="1890" t="s">
        <v>1049</v>
      </c>
      <c r="P70" s="1930" t="s">
        <v>1585</v>
      </c>
      <c r="Q70" s="1883">
        <f ca="1">C13</f>
        <v>25100678</v>
      </c>
      <c r="R70" s="1883" t="s">
        <v>1529</v>
      </c>
    </row>
    <row r="71" spans="1:18" s="1839" customFormat="1" ht="13.5" thickBot="1">
      <c r="A71" s="1188" t="s">
        <v>1033</v>
      </c>
      <c r="B71" s="1189" t="s">
        <v>1487</v>
      </c>
      <c r="C71" s="381">
        <f ca="1">ROUND(C68/F71,0)</f>
        <v>-8066</v>
      </c>
      <c r="D71" s="1190" t="s">
        <v>1488</v>
      </c>
      <c r="E71" s="1191" t="s">
        <v>1489</v>
      </c>
      <c r="F71" s="384">
        <f ca="1">F43</f>
        <v>7918.4</v>
      </c>
      <c r="O71" s="1890" t="s">
        <v>1050</v>
      </c>
      <c r="P71" s="1930" t="s">
        <v>1586</v>
      </c>
      <c r="Q71" s="1893">
        <f ca="1">C76</f>
        <v>8.5000000000000006E-2</v>
      </c>
      <c r="R71" s="1883"/>
    </row>
    <row r="72" spans="1:18" s="1839" customFormat="1" ht="13.5" thickBot="1">
      <c r="B72" s="791"/>
      <c r="C72" s="791"/>
      <c r="O72" s="1890" t="s">
        <v>1044</v>
      </c>
      <c r="P72" s="1882" t="s">
        <v>1564</v>
      </c>
      <c r="Q72" s="1893">
        <f>L52</f>
        <v>0</v>
      </c>
      <c r="R72" s="1883"/>
    </row>
    <row r="73" spans="1:18" ht="16.5" thickBot="1">
      <c r="A73" s="1839"/>
      <c r="B73" s="791"/>
      <c r="C73" s="791"/>
      <c r="D73" s="1839"/>
      <c r="E73" s="1839"/>
      <c r="F73" s="1839"/>
      <c r="O73" s="1890" t="s">
        <v>1045</v>
      </c>
      <c r="P73" s="1882" t="s">
        <v>1567</v>
      </c>
      <c r="Q73" s="1883" t="e">
        <f ca="1">L58</f>
        <v>#DIV/0!</v>
      </c>
      <c r="R73" s="1883" t="s">
        <v>1568</v>
      </c>
    </row>
    <row r="74" spans="1:18" ht="13.5" thickBot="1">
      <c r="A74" s="1839"/>
      <c r="B74" s="316" t="s">
        <v>1587</v>
      </c>
      <c r="C74" s="1932"/>
      <c r="D74" s="1839"/>
      <c r="E74" s="1839"/>
      <c r="F74" s="1839"/>
      <c r="O74" s="1890" t="s">
        <v>1052</v>
      </c>
      <c r="P74" s="1882" t="str">
        <f>K59</f>
        <v>建筑物剩余耐用年限下的土地年期修正系数Kn</v>
      </c>
      <c r="Q74" s="1883" t="e">
        <f ca="1">L59</f>
        <v>#DIV/0!</v>
      </c>
      <c r="R74" s="1883" t="s">
        <v>1569</v>
      </c>
    </row>
    <row r="75" spans="1:18" ht="13.5" thickBot="1">
      <c r="A75" s="1839"/>
      <c r="B75" s="385" t="s">
        <v>1506</v>
      </c>
      <c r="C75" s="386">
        <f ca="1">ROUND(C13*C76,0)</f>
        <v>2133558</v>
      </c>
      <c r="D75" s="1839"/>
      <c r="E75" s="1839"/>
      <c r="F75" s="1839"/>
      <c r="K75" s="1865"/>
      <c r="L75" s="1839"/>
      <c r="O75" s="1881" t="s">
        <v>1046</v>
      </c>
      <c r="P75" s="1882" t="s">
        <v>1549</v>
      </c>
      <c r="Q75" s="1883">
        <f ca="1">Q65+Q66</f>
        <v>72209747</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0.32599999999999996</v>
      </c>
    </row>
    <row r="80" spans="1:18">
      <c r="B80" s="385" t="s">
        <v>1511</v>
      </c>
      <c r="C80" s="317">
        <f ca="1">ROUND(C75/C39,3)</f>
        <v>0.67400000000000004</v>
      </c>
    </row>
    <row r="81" spans="2:3">
      <c r="B81" s="313" t="s">
        <v>1512</v>
      </c>
      <c r="C81" s="281"/>
    </row>
    <row r="82" spans="2:3">
      <c r="B82" s="316" t="s">
        <v>1513</v>
      </c>
      <c r="C82" s="318">
        <f ca="1">1-C83</f>
        <v>0.65200000000000002</v>
      </c>
    </row>
    <row r="83" spans="2:3">
      <c r="B83" s="316" t="s">
        <v>1514</v>
      </c>
      <c r="C83" s="317">
        <f ca="1">ROUND(C13/C40,3)</f>
        <v>0.34799999999999998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55" t="s">
        <v>1077</v>
      </c>
      <c r="B2" s="3256" t="s">
        <v>1078</v>
      </c>
      <c r="C2" s="3256"/>
      <c r="D2" s="1298" t="s">
        <v>1079</v>
      </c>
      <c r="E2" s="1298" t="s">
        <v>1080</v>
      </c>
      <c r="F2" s="1298" t="s">
        <v>1081</v>
      </c>
      <c r="G2" s="1298" t="s">
        <v>1082</v>
      </c>
      <c r="H2" s="1298" t="s">
        <v>1083</v>
      </c>
      <c r="I2" s="1299" t="s">
        <v>1084</v>
      </c>
    </row>
    <row r="3" spans="1:9">
      <c r="A3" s="3255"/>
      <c r="B3" s="3256" t="s">
        <v>1085</v>
      </c>
      <c r="C3" s="3256"/>
      <c r="D3" s="1300"/>
      <c r="E3" s="1298"/>
      <c r="F3" s="1301"/>
      <c r="G3" s="1301"/>
      <c r="H3" s="1302"/>
      <c r="I3" s="1303">
        <f>ROUND(D3*E3*F3*G3*H3/10000,0)</f>
        <v>0</v>
      </c>
    </row>
    <row r="4" spans="1:9">
      <c r="A4" s="3255"/>
      <c r="B4" s="3256" t="s">
        <v>1086</v>
      </c>
      <c r="C4" s="3256"/>
      <c r="D4" s="1300"/>
      <c r="E4" s="1298"/>
      <c r="F4" s="1301"/>
      <c r="G4" s="1301"/>
      <c r="H4" s="1302"/>
      <c r="I4" s="1303">
        <f t="shared" ref="I4:I9" si="0">ROUND(D4*E4*F4*G4*H4/10000,0)</f>
        <v>0</v>
      </c>
    </row>
    <row r="5" spans="1:9">
      <c r="A5" s="3255"/>
      <c r="B5" s="3256" t="s">
        <v>1087</v>
      </c>
      <c r="C5" s="3256"/>
      <c r="D5" s="1300"/>
      <c r="E5" s="1298"/>
      <c r="F5" s="1301"/>
      <c r="G5" s="1301"/>
      <c r="H5" s="1302"/>
      <c r="I5" s="1303">
        <f t="shared" si="0"/>
        <v>0</v>
      </c>
    </row>
    <row r="6" spans="1:9">
      <c r="A6" s="3255"/>
      <c r="B6" s="3256" t="s">
        <v>1088</v>
      </c>
      <c r="C6" s="3256"/>
      <c r="D6" s="1300"/>
      <c r="E6" s="1298"/>
      <c r="F6" s="1301"/>
      <c r="G6" s="1301"/>
      <c r="H6" s="1302"/>
      <c r="I6" s="1303">
        <f t="shared" si="0"/>
        <v>0</v>
      </c>
    </row>
    <row r="7" spans="1:9">
      <c r="A7" s="3255"/>
      <c r="B7" s="3256" t="s">
        <v>1089</v>
      </c>
      <c r="C7" s="3256"/>
      <c r="D7" s="1300"/>
      <c r="E7" s="1298"/>
      <c r="F7" s="1301"/>
      <c r="G7" s="1301"/>
      <c r="H7" s="1302"/>
      <c r="I7" s="1303">
        <f t="shared" si="0"/>
        <v>0</v>
      </c>
    </row>
    <row r="8" spans="1:9">
      <c r="A8" s="3255"/>
      <c r="B8" s="3256" t="s">
        <v>1090</v>
      </c>
      <c r="C8" s="3256"/>
      <c r="D8" s="1300"/>
      <c r="E8" s="1298"/>
      <c r="F8" s="1301"/>
      <c r="G8" s="1301"/>
      <c r="H8" s="1302"/>
      <c r="I8" s="1303">
        <f t="shared" si="0"/>
        <v>0</v>
      </c>
    </row>
    <row r="9" spans="1:9">
      <c r="A9" s="3255"/>
      <c r="B9" s="3256" t="s">
        <v>1091</v>
      </c>
      <c r="C9" s="3256"/>
      <c r="D9" s="1300"/>
      <c r="E9" s="1298"/>
      <c r="F9" s="1301"/>
      <c r="G9" s="1301"/>
      <c r="H9" s="1302"/>
      <c r="I9" s="1303">
        <f t="shared" si="0"/>
        <v>0</v>
      </c>
    </row>
    <row r="10" spans="1:9">
      <c r="A10" s="3255"/>
      <c r="B10" s="3257" t="s">
        <v>1092</v>
      </c>
      <c r="C10" s="3257"/>
      <c r="D10" s="1304"/>
      <c r="E10" s="1304" t="e">
        <f>ROUND(D1*10000/D10/H9,0)</f>
        <v>#DIV/0!</v>
      </c>
      <c r="F10" s="1305"/>
      <c r="G10" s="1305"/>
      <c r="H10" s="1306"/>
      <c r="I10" s="1307">
        <f>SUM(I3:I9)</f>
        <v>0</v>
      </c>
    </row>
    <row r="11" spans="1:9" ht="14.25">
      <c r="A11" s="3255" t="s">
        <v>1093</v>
      </c>
      <c r="B11" s="3256" t="s">
        <v>1094</v>
      </c>
      <c r="C11" s="3256"/>
      <c r="D11" s="1300" t="s">
        <v>1095</v>
      </c>
      <c r="E11" s="1300" t="s">
        <v>1096</v>
      </c>
      <c r="F11" s="1301" t="s">
        <v>1097</v>
      </c>
      <c r="G11" s="1301" t="s">
        <v>1083</v>
      </c>
      <c r="H11" s="1308" t="s">
        <v>1098</v>
      </c>
      <c r="I11" s="1299" t="s">
        <v>1084</v>
      </c>
    </row>
    <row r="12" spans="1:9">
      <c r="A12" s="3255"/>
      <c r="B12" s="3256" t="s">
        <v>1099</v>
      </c>
      <c r="C12" s="3256"/>
      <c r="D12" s="1300"/>
      <c r="E12" s="1300"/>
      <c r="F12" s="1301"/>
      <c r="G12" s="1302"/>
      <c r="H12" s="1309"/>
      <c r="I12" s="1299">
        <f>ROUND(D12*E12*F12*G12/10000,0)</f>
        <v>0</v>
      </c>
    </row>
    <row r="13" spans="1:9">
      <c r="A13" s="3255"/>
      <c r="B13" s="3256" t="s">
        <v>1100</v>
      </c>
      <c r="C13" s="3256"/>
      <c r="D13" s="1300"/>
      <c r="E13" s="1300"/>
      <c r="F13" s="1301"/>
      <c r="G13" s="1302"/>
      <c r="H13" s="1309"/>
      <c r="I13" s="1299">
        <f>ROUND(D13*E13*F13*G13/10000,0)</f>
        <v>0</v>
      </c>
    </row>
    <row r="14" spans="1:9">
      <c r="A14" s="3255"/>
      <c r="B14" s="3256" t="s">
        <v>1101</v>
      </c>
      <c r="C14" s="3256"/>
      <c r="D14" s="1300"/>
      <c r="E14" s="1300"/>
      <c r="F14" s="1301"/>
      <c r="G14" s="1302"/>
      <c r="H14" s="1309"/>
      <c r="I14" s="1299">
        <f>ROUND(D14*E14*F14*G14/10000,0)</f>
        <v>0</v>
      </c>
    </row>
    <row r="15" spans="1:9">
      <c r="A15" s="3255"/>
      <c r="B15" s="3257" t="s">
        <v>1092</v>
      </c>
      <c r="C15" s="3257"/>
      <c r="D15" s="1304"/>
      <c r="E15" s="1304">
        <f>SUM(E12:E14)</f>
        <v>0</v>
      </c>
      <c r="F15" s="1305"/>
      <c r="G15" s="1302"/>
      <c r="H15" s="1309"/>
      <c r="I15" s="1310">
        <f>SUM(I12:I14)</f>
        <v>0</v>
      </c>
    </row>
    <row r="16" spans="1:9" ht="24">
      <c r="A16" s="3255" t="s">
        <v>1102</v>
      </c>
      <c r="B16" s="3256" t="s">
        <v>1103</v>
      </c>
      <c r="C16" s="3256"/>
      <c r="D16" s="1300" t="s">
        <v>1079</v>
      </c>
      <c r="E16" s="1311" t="s">
        <v>1104</v>
      </c>
      <c r="F16" s="1301" t="s">
        <v>1105</v>
      </c>
      <c r="G16" s="1302" t="s">
        <v>1083</v>
      </c>
      <c r="H16" s="1308" t="s">
        <v>1098</v>
      </c>
      <c r="I16" s="1299" t="s">
        <v>1084</v>
      </c>
    </row>
    <row r="17" spans="1:9" ht="14.25">
      <c r="A17" s="3255"/>
      <c r="B17" s="3256" t="s">
        <v>1106</v>
      </c>
      <c r="C17" s="3256"/>
      <c r="D17" s="1300"/>
      <c r="E17" s="1300"/>
      <c r="F17" s="1301"/>
      <c r="G17" s="1302"/>
      <c r="H17" s="1312"/>
      <c r="I17" s="1313">
        <f>ROUND(D17*E17*F17*G17/10000,0)</f>
        <v>0</v>
      </c>
    </row>
    <row r="18" spans="1:9" ht="14.25">
      <c r="A18" s="3255"/>
      <c r="B18" s="3256" t="s">
        <v>1107</v>
      </c>
      <c r="C18" s="3256"/>
      <c r="D18" s="1300"/>
      <c r="E18" s="1300"/>
      <c r="F18" s="1301"/>
      <c r="G18" s="1302"/>
      <c r="H18" s="1312"/>
      <c r="I18" s="1313">
        <f>ROUND(D18*E18*F18*G18/10000,0)</f>
        <v>0</v>
      </c>
    </row>
    <row r="19" spans="1:9" ht="14.25">
      <c r="A19" s="3255"/>
      <c r="B19" s="3256" t="s">
        <v>1108</v>
      </c>
      <c r="C19" s="3256"/>
      <c r="D19" s="1300"/>
      <c r="E19" s="1300"/>
      <c r="F19" s="1301"/>
      <c r="G19" s="1302"/>
      <c r="H19" s="1312"/>
      <c r="I19" s="1313">
        <f>ROUND(D19*E19*F19*G19/10000,0)</f>
        <v>0</v>
      </c>
    </row>
    <row r="20" spans="1:9">
      <c r="A20" s="3255"/>
      <c r="B20" s="3257" t="s">
        <v>1092</v>
      </c>
      <c r="C20" s="3257"/>
      <c r="D20" s="1304">
        <f>SUM(D17:D19)</f>
        <v>0</v>
      </c>
      <c r="E20" s="1304"/>
      <c r="F20" s="1305"/>
      <c r="G20" s="1302"/>
      <c r="H20" s="1309"/>
      <c r="I20" s="1310">
        <f>SUM(I17:I19)</f>
        <v>0</v>
      </c>
    </row>
    <row r="21" spans="1:9">
      <c r="A21" s="3255" t="s">
        <v>1109</v>
      </c>
      <c r="B21" s="3259"/>
      <c r="C21" s="3259"/>
      <c r="D21" s="3259"/>
      <c r="E21" s="3259"/>
      <c r="F21" s="3259"/>
      <c r="G21" s="3259"/>
      <c r="H21" s="1762">
        <v>0.1</v>
      </c>
      <c r="I21" s="1307">
        <f>ROUND(I10*H21,0)</f>
        <v>0</v>
      </c>
    </row>
    <row r="22" spans="1:9" ht="14.25">
      <c r="A22" s="3260" t="s">
        <v>1110</v>
      </c>
      <c r="B22" s="3261"/>
      <c r="C22" s="3262"/>
      <c r="D22" s="1314" t="s">
        <v>1111</v>
      </c>
      <c r="E22" s="1314" t="s">
        <v>1112</v>
      </c>
      <c r="F22" s="1315" t="s">
        <v>1113</v>
      </c>
      <c r="G22" s="1315" t="s">
        <v>1114</v>
      </c>
      <c r="H22" s="1308" t="s">
        <v>1115</v>
      </c>
      <c r="I22" s="1299" t="s">
        <v>1116</v>
      </c>
    </row>
    <row r="23" spans="1:9" ht="14.25" thickBot="1">
      <c r="A23" s="3263"/>
      <c r="B23" s="3264"/>
      <c r="C23" s="3265"/>
      <c r="D23" s="1316"/>
      <c r="E23" s="1316"/>
      <c r="F23" s="1316"/>
      <c r="G23" s="1317"/>
      <c r="H23" s="1318"/>
      <c r="I23" s="1319">
        <f>ROUND(E23*D23*F23*(1-G23)/10000,0)</f>
        <v>0</v>
      </c>
    </row>
    <row r="26" spans="1:9">
      <c r="A26" s="1320" t="s">
        <v>1117</v>
      </c>
      <c r="B26" s="1320"/>
      <c r="C26" s="1320"/>
      <c r="D26" s="1320"/>
      <c r="E26" s="3266">
        <f>C27-C30-C31-C32</f>
        <v>0</v>
      </c>
      <c r="F26" s="3266"/>
      <c r="G26" s="3266"/>
      <c r="H26" s="1734" t="s">
        <v>1340</v>
      </c>
    </row>
    <row r="27" spans="1:9">
      <c r="A27" s="1321">
        <v>1</v>
      </c>
      <c r="B27" s="1322" t="s">
        <v>1118</v>
      </c>
      <c r="C27" s="1322">
        <f>C28+C29</f>
        <v>0</v>
      </c>
      <c r="D27" s="1322"/>
      <c r="E27" s="3267"/>
      <c r="F27" s="3267"/>
      <c r="G27" s="3267"/>
    </row>
    <row r="28" spans="1:9">
      <c r="A28" s="1323" t="s">
        <v>1119</v>
      </c>
      <c r="B28" s="1322" t="s">
        <v>1120</v>
      </c>
      <c r="C28" s="1322"/>
      <c r="D28" s="1322"/>
      <c r="E28" s="3267"/>
      <c r="F28" s="3267"/>
      <c r="G28" s="326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58"/>
      <c r="F32" s="3258"/>
      <c r="G32" s="3258"/>
    </row>
    <row r="33" spans="1:7" hidden="1">
      <c r="A33" s="3268" t="s">
        <v>1129</v>
      </c>
      <c r="B33" s="3269"/>
      <c r="C33" s="3269"/>
      <c r="D33" s="3270"/>
      <c r="E33" s="3266"/>
      <c r="F33" s="3266"/>
      <c r="G33" s="3266"/>
    </row>
    <row r="34" spans="1:7" hidden="1">
      <c r="A34" s="1325">
        <v>1</v>
      </c>
      <c r="B34" s="1322" t="s">
        <v>1130</v>
      </c>
      <c r="C34" s="1322"/>
      <c r="D34" s="1322"/>
      <c r="E34" s="3267"/>
      <c r="F34" s="3267"/>
      <c r="G34" s="3267"/>
    </row>
    <row r="35" spans="1:7" hidden="1">
      <c r="A35" s="1325">
        <v>2</v>
      </c>
      <c r="B35" s="1322" t="s">
        <v>1131</v>
      </c>
      <c r="C35" s="1322"/>
      <c r="D35" s="1322"/>
      <c r="E35" s="3267"/>
      <c r="F35" s="3267"/>
      <c r="G35" s="3267"/>
    </row>
    <row r="36" spans="1:7" hidden="1">
      <c r="A36" s="1325">
        <v>3</v>
      </c>
      <c r="B36" s="1322" t="s">
        <v>1132</v>
      </c>
      <c r="C36" s="1322"/>
      <c r="D36" s="1322"/>
      <c r="E36" s="3267"/>
      <c r="F36" s="3267"/>
      <c r="G36" s="3267"/>
    </row>
    <row r="37" spans="1:7" hidden="1">
      <c r="A37" s="1325">
        <v>4</v>
      </c>
      <c r="B37" s="1322" t="s">
        <v>1133</v>
      </c>
      <c r="C37" s="1322"/>
      <c r="D37" s="1322"/>
      <c r="E37" s="3267"/>
      <c r="F37" s="3267"/>
      <c r="G37" s="3267"/>
    </row>
    <row r="38" spans="1:7" hidden="1">
      <c r="A38" s="3268" t="s">
        <v>1134</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2527</v>
      </c>
      <c r="B1" s="2666" t="s">
        <v>2701</v>
      </c>
      <c r="C1" s="1617" t="s">
        <v>2529</v>
      </c>
      <c r="D1" s="1618"/>
      <c r="E1" s="1627"/>
      <c r="F1" s="2581"/>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IF(C2="——",ROUND(C43*D3/10000,0),ROUND(C43*D3/10000,0)-D2)</f>
        <v>#DIV/0!</v>
      </c>
      <c r="C2" s="2583"/>
      <c r="D2" s="1122" t="e">
        <f ca="1">SUMIF(INDIRECT("'"&amp;F2&amp;"'"&amp;"!A:A"),"承租人权益价值",INDIRECT("'"&amp;F2&amp;"'"&amp;"!c:c"))</f>
        <v>#REF!</v>
      </c>
      <c r="E2" s="2584" t="s">
        <v>2327</v>
      </c>
      <c r="F2" s="2585"/>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7" customFormat="1" ht="28.5" customHeight="1" thickBot="1">
      <c r="A3" s="246" t="s">
        <v>2328</v>
      </c>
      <c r="B3" s="608" t="e">
        <f ca="1">IF(C2="——",C43,ROUND(B2*10000/D3,0))</f>
        <v>#DIV/0!</v>
      </c>
      <c r="C3" s="399" t="s">
        <v>2643</v>
      </c>
      <c r="D3" s="398">
        <f>IF(D1="",'数据-汇总表'!E3,SUMIF('数据-汇总表'!$C19:$C33,D1,'数据-汇总表'!$E19:$E33))</f>
        <v>7918.4</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179" t="s">
        <v>2647</v>
      </c>
      <c r="AC4" s="3178" t="s">
        <v>2648</v>
      </c>
    </row>
    <row r="5" spans="1:29" ht="15">
      <c r="A5" s="403"/>
      <c r="B5" s="404"/>
      <c r="C5" s="3189" t="s">
        <v>2541</v>
      </c>
      <c r="D5" s="3190"/>
      <c r="E5" s="3187" t="s">
        <v>2542</v>
      </c>
      <c r="F5" s="3188"/>
      <c r="G5" s="3189" t="s">
        <v>2543</v>
      </c>
      <c r="H5" s="3190"/>
      <c r="I5" s="3189" t="s">
        <v>2544</v>
      </c>
      <c r="J5" s="3190"/>
      <c r="K5" s="609"/>
      <c r="L5" s="1128"/>
      <c r="M5" s="1129"/>
      <c r="N5" s="1129"/>
      <c r="O5" s="1129"/>
      <c r="P5" s="3202"/>
      <c r="Q5" s="3203"/>
      <c r="R5" s="3185"/>
      <c r="S5" s="3186"/>
      <c r="T5" s="3185"/>
      <c r="U5" s="3186"/>
      <c r="V5" s="3208"/>
      <c r="W5" s="3208"/>
      <c r="X5" s="1810"/>
      <c r="Y5" s="3185"/>
      <c r="Z5" s="3186"/>
      <c r="AA5" s="3179"/>
      <c r="AB5" s="3179"/>
      <c r="AC5" s="3179"/>
    </row>
    <row r="6" spans="1:29" ht="15.75" thickBot="1">
      <c r="A6" s="405"/>
      <c r="B6" s="406"/>
      <c r="C6" s="3191" t="s">
        <v>2545</v>
      </c>
      <c r="D6" s="3192"/>
      <c r="E6" s="3193" t="s">
        <v>2545</v>
      </c>
      <c r="F6" s="3194"/>
      <c r="G6" s="3191" t="s">
        <v>2545</v>
      </c>
      <c r="H6" s="3192"/>
      <c r="I6" s="3191" t="s">
        <v>2545</v>
      </c>
      <c r="J6" s="3192"/>
      <c r="K6" s="609" t="s">
        <v>2546</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7" t="s">
        <v>2547</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81" t="s">
        <v>2548</v>
      </c>
      <c r="Q7" s="3209"/>
      <c r="R7" s="765" t="s">
        <v>17</v>
      </c>
      <c r="S7" s="766">
        <f t="shared" ref="S7:S15" si="0">F7</f>
        <v>0</v>
      </c>
      <c r="T7" s="765" t="s">
        <v>17</v>
      </c>
      <c r="U7" s="766">
        <f t="shared" ref="U7:U15" si="1">H7</f>
        <v>0</v>
      </c>
      <c r="V7" s="765" t="s">
        <v>17</v>
      </c>
      <c r="W7" s="766">
        <f t="shared" ref="W7:W15" si="2">J7</f>
        <v>0</v>
      </c>
      <c r="X7" s="767"/>
      <c r="Y7" s="3181" t="s">
        <v>2548</v>
      </c>
      <c r="Z7" s="3182"/>
      <c r="AA7" s="768" t="e">
        <f>D7/F7</f>
        <v>#DIV/0!</v>
      </c>
      <c r="AB7" s="768" t="e">
        <f>D7/H7</f>
        <v>#DIV/0!</v>
      </c>
      <c r="AC7" s="768"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81" t="s">
        <v>2551</v>
      </c>
      <c r="Q8" s="3182"/>
      <c r="R8" s="765" t="s">
        <v>17</v>
      </c>
      <c r="S8" s="766">
        <f t="shared" si="0"/>
        <v>0</v>
      </c>
      <c r="T8" s="765" t="s">
        <v>17</v>
      </c>
      <c r="U8" s="766">
        <f t="shared" si="1"/>
        <v>0</v>
      </c>
      <c r="V8" s="765" t="s">
        <v>17</v>
      </c>
      <c r="W8" s="766">
        <f t="shared" si="2"/>
        <v>0</v>
      </c>
      <c r="X8" s="767"/>
      <c r="Y8" s="3181" t="s">
        <v>2551</v>
      </c>
      <c r="Z8" s="3182"/>
      <c r="AA8" s="768" t="e">
        <f t="shared" ref="AA8:AA40" si="3">D8/F8</f>
        <v>#DIV/0!</v>
      </c>
      <c r="AB8" s="768" t="e">
        <f t="shared" ref="AB8:AB40" si="4">D8/H8</f>
        <v>#DIV/0!</v>
      </c>
      <c r="AC8" s="768"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3"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768">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3"/>
      <c r="Q10" s="1792" t="str">
        <f t="shared" si="6"/>
        <v>土地使用年限（年）</v>
      </c>
      <c r="R10" s="765" t="s">
        <v>17</v>
      </c>
      <c r="S10" s="766">
        <f t="shared" si="0"/>
        <v>100</v>
      </c>
      <c r="T10" s="765" t="s">
        <v>17</v>
      </c>
      <c r="U10" s="766">
        <f t="shared" si="1"/>
        <v>100</v>
      </c>
      <c r="V10" s="765" t="s">
        <v>17</v>
      </c>
      <c r="W10" s="766">
        <f t="shared" si="2"/>
        <v>100</v>
      </c>
      <c r="X10" s="767"/>
      <c r="Y10" s="3052"/>
      <c r="Z10" s="55" t="str">
        <f t="shared" si="7"/>
        <v>土地使用年限（年）</v>
      </c>
      <c r="AA10" s="768">
        <f t="shared" si="3"/>
        <v>1</v>
      </c>
      <c r="AB10" s="768">
        <f t="shared" si="4"/>
        <v>1</v>
      </c>
      <c r="AC10" s="768">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3"/>
      <c r="Q11" s="1792" t="str">
        <f t="shared" si="6"/>
        <v>容积率</v>
      </c>
      <c r="R11" s="765" t="s">
        <v>17</v>
      </c>
      <c r="S11" s="766" t="e">
        <f t="shared" si="0"/>
        <v>#N/A</v>
      </c>
      <c r="T11" s="765" t="s">
        <v>17</v>
      </c>
      <c r="U11" s="766" t="e">
        <f t="shared" si="1"/>
        <v>#N/A</v>
      </c>
      <c r="V11" s="765" t="s">
        <v>17</v>
      </c>
      <c r="W11" s="766" t="e">
        <f t="shared" si="2"/>
        <v>#N/A</v>
      </c>
      <c r="X11" s="767"/>
      <c r="Y11" s="3052"/>
      <c r="Z11" s="55" t="str">
        <f t="shared" si="7"/>
        <v>容积率</v>
      </c>
      <c r="AA11" s="768" t="e">
        <f t="shared" si="3"/>
        <v>#N/A</v>
      </c>
      <c r="AB11" s="768" t="e">
        <f t="shared" si="4"/>
        <v>#N/A</v>
      </c>
      <c r="AC11" s="768" t="e">
        <f t="shared" si="5"/>
        <v>#N/A</v>
      </c>
    </row>
    <row r="12" spans="1:29" s="117"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13"/>
      <c r="Q12" s="1792">
        <f t="shared" si="6"/>
        <v>111</v>
      </c>
      <c r="R12" s="765" t="s">
        <v>17</v>
      </c>
      <c r="S12" s="766">
        <f t="shared" si="0"/>
        <v>100</v>
      </c>
      <c r="T12" s="765" t="s">
        <v>17</v>
      </c>
      <c r="U12" s="766">
        <f t="shared" si="1"/>
        <v>100</v>
      </c>
      <c r="V12" s="765" t="s">
        <v>17</v>
      </c>
      <c r="W12" s="766">
        <f t="shared" si="2"/>
        <v>100</v>
      </c>
      <c r="X12" s="767"/>
      <c r="Y12" s="3052"/>
      <c r="Z12" s="55">
        <f t="shared" si="7"/>
        <v>111</v>
      </c>
      <c r="AA12" s="768">
        <f>D12/F12</f>
        <v>1</v>
      </c>
      <c r="AB12" s="768">
        <f>D12/H12</f>
        <v>1</v>
      </c>
      <c r="AC12" s="768">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13"/>
      <c r="Q13" s="1792">
        <f t="shared" si="6"/>
        <v>111</v>
      </c>
      <c r="R13" s="765" t="s">
        <v>17</v>
      </c>
      <c r="S13" s="766">
        <f t="shared" si="0"/>
        <v>100</v>
      </c>
      <c r="T13" s="765" t="s">
        <v>17</v>
      </c>
      <c r="U13" s="766">
        <f t="shared" si="1"/>
        <v>100</v>
      </c>
      <c r="V13" s="765" t="s">
        <v>17</v>
      </c>
      <c r="W13" s="766">
        <f t="shared" si="2"/>
        <v>100</v>
      </c>
      <c r="X13" s="767"/>
      <c r="Y13" s="3052"/>
      <c r="Z13" s="55">
        <f t="shared" si="7"/>
        <v>111</v>
      </c>
      <c r="AA13" s="768">
        <f t="shared" si="3"/>
        <v>1</v>
      </c>
      <c r="AB13" s="768">
        <f t="shared" si="4"/>
        <v>1</v>
      </c>
      <c r="AC13" s="768">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13"/>
      <c r="Q14" s="1792">
        <f t="shared" si="6"/>
        <v>111</v>
      </c>
      <c r="R14" s="765" t="s">
        <v>17</v>
      </c>
      <c r="S14" s="766">
        <f t="shared" si="0"/>
        <v>100</v>
      </c>
      <c r="T14" s="765" t="s">
        <v>17</v>
      </c>
      <c r="U14" s="766">
        <f t="shared" si="1"/>
        <v>100</v>
      </c>
      <c r="V14" s="765" t="s">
        <v>17</v>
      </c>
      <c r="W14" s="766">
        <f t="shared" si="2"/>
        <v>100</v>
      </c>
      <c r="X14" s="767"/>
      <c r="Y14" s="3052"/>
      <c r="Z14" s="55">
        <f t="shared" si="7"/>
        <v>111</v>
      </c>
      <c r="AA14" s="768">
        <f t="shared" si="3"/>
        <v>1</v>
      </c>
      <c r="AB14" s="768">
        <f t="shared" si="4"/>
        <v>1</v>
      </c>
      <c r="AC14" s="768">
        <f t="shared" si="5"/>
        <v>1</v>
      </c>
    </row>
    <row r="15" spans="1:29" ht="57">
      <c r="A15" s="439" t="s">
        <v>2558</v>
      </c>
      <c r="B15" s="69" t="s">
        <v>2702</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5" t="s">
        <v>2559</v>
      </c>
      <c r="Q15" s="1807" t="str">
        <f t="shared" si="6"/>
        <v>产业集聚程度</v>
      </c>
      <c r="R15" s="769" t="s">
        <v>17</v>
      </c>
      <c r="S15" s="770">
        <f t="shared" si="0"/>
        <v>100</v>
      </c>
      <c r="T15" s="769" t="s">
        <v>17</v>
      </c>
      <c r="U15" s="770">
        <f t="shared" si="1"/>
        <v>100</v>
      </c>
      <c r="V15" s="769" t="s">
        <v>17</v>
      </c>
      <c r="W15" s="770">
        <f t="shared" si="2"/>
        <v>100</v>
      </c>
      <c r="X15" s="1810"/>
      <c r="Y15" s="3215" t="s">
        <v>2559</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16"/>
      <c r="Q16" s="1807"/>
      <c r="R16" s="769"/>
      <c r="S16" s="770"/>
      <c r="T16" s="769"/>
      <c r="U16" s="770"/>
      <c r="V16" s="769"/>
      <c r="W16" s="770"/>
      <c r="X16" s="1810"/>
      <c r="Y16" s="3216"/>
      <c r="Z16" s="1811"/>
      <c r="AA16" s="1808">
        <v>1</v>
      </c>
      <c r="AB16" s="1808">
        <v>1</v>
      </c>
      <c r="AC16" s="1808">
        <v>1</v>
      </c>
    </row>
    <row r="17" spans="1:29" ht="85.5">
      <c r="A17" s="427"/>
      <c r="B17" s="450" t="s">
        <v>2098</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6"/>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37"/>
      <c r="P18" s="3216"/>
      <c r="Q18" s="1807"/>
      <c r="R18" s="769"/>
      <c r="S18" s="770"/>
      <c r="T18" s="769"/>
      <c r="U18" s="770"/>
      <c r="V18" s="769"/>
      <c r="W18" s="770"/>
      <c r="X18" s="1810"/>
      <c r="Y18" s="3216"/>
      <c r="Z18" s="1811"/>
      <c r="AA18" s="1808">
        <v>1</v>
      </c>
      <c r="AB18" s="1808">
        <v>1</v>
      </c>
      <c r="AC18" s="1808">
        <v>1</v>
      </c>
    </row>
    <row r="19" spans="1:29" ht="42.75">
      <c r="A19" s="427"/>
      <c r="B19" s="450" t="s">
        <v>2687</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6"/>
      <c r="Q19" s="1807" t="str">
        <f>B19</f>
        <v>公共配套设施</v>
      </c>
      <c r="R19" s="769" t="s">
        <v>17</v>
      </c>
      <c r="S19" s="770">
        <f>F19</f>
        <v>100</v>
      </c>
      <c r="T19" s="769" t="s">
        <v>17</v>
      </c>
      <c r="U19" s="770">
        <f>H19</f>
        <v>100</v>
      </c>
      <c r="V19" s="769" t="s">
        <v>17</v>
      </c>
      <c r="W19" s="770">
        <f>J19</f>
        <v>100</v>
      </c>
      <c r="X19" s="1810"/>
      <c r="Y19" s="3216"/>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37"/>
      <c r="P20" s="3216"/>
      <c r="Q20" s="1807"/>
      <c r="R20" s="769"/>
      <c r="S20" s="770"/>
      <c r="T20" s="769"/>
      <c r="U20" s="770"/>
      <c r="V20" s="769"/>
      <c r="W20" s="770"/>
      <c r="X20" s="1810"/>
      <c r="Y20" s="3216"/>
      <c r="Z20" s="1811"/>
      <c r="AA20" s="1808">
        <v>1</v>
      </c>
      <c r="AB20" s="1808">
        <v>1</v>
      </c>
      <c r="AC20" s="1808">
        <v>1</v>
      </c>
    </row>
    <row r="21" spans="1:29" ht="28.5">
      <c r="A21" s="427"/>
      <c r="B21" s="1381" t="s">
        <v>2688</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6"/>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1808">
        <f t="shared" ref="AC21" si="10">D21/J21</f>
        <v>1</v>
      </c>
    </row>
    <row r="22" spans="1:29" ht="15">
      <c r="A22" s="427"/>
      <c r="B22" s="1381"/>
      <c r="C22" s="2605"/>
      <c r="D22" s="447"/>
      <c r="E22" s="446"/>
      <c r="F22" s="448"/>
      <c r="G22" s="446"/>
      <c r="H22" s="447"/>
      <c r="I22" s="446"/>
      <c r="J22" s="447"/>
      <c r="K22" s="1380"/>
      <c r="L22" s="1138"/>
      <c r="M22" s="1129"/>
      <c r="N22" s="1129"/>
      <c r="O22" s="1137"/>
      <c r="P22" s="3216"/>
      <c r="Q22" s="1807"/>
      <c r="R22" s="769"/>
      <c r="S22" s="770"/>
      <c r="T22" s="769"/>
      <c r="U22" s="770"/>
      <c r="V22" s="769"/>
      <c r="W22" s="770"/>
      <c r="X22" s="1810"/>
      <c r="Y22" s="3216"/>
      <c r="Z22" s="1811"/>
      <c r="AA22" s="1808">
        <v>1</v>
      </c>
      <c r="AB22" s="1808">
        <v>1</v>
      </c>
      <c r="AC22" s="1808">
        <v>1</v>
      </c>
    </row>
    <row r="23" spans="1:29" ht="71.25">
      <c r="A23" s="427"/>
      <c r="B23" s="450" t="s">
        <v>2689</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6"/>
      <c r="Q23" s="1807" t="str">
        <f>B23</f>
        <v>环境质量</v>
      </c>
      <c r="R23" s="769" t="s">
        <v>17</v>
      </c>
      <c r="S23" s="770">
        <f>F23</f>
        <v>100</v>
      </c>
      <c r="T23" s="769" t="s">
        <v>17</v>
      </c>
      <c r="U23" s="770">
        <f>H23</f>
        <v>100</v>
      </c>
      <c r="V23" s="769" t="s">
        <v>17</v>
      </c>
      <c r="W23" s="770">
        <f>J23</f>
        <v>100</v>
      </c>
      <c r="X23" s="1810"/>
      <c r="Y23" s="3216"/>
      <c r="Z23" s="1811" t="str">
        <f>Q23</f>
        <v>环境质量</v>
      </c>
      <c r="AA23" s="1808">
        <f t="shared" si="3"/>
        <v>1</v>
      </c>
      <c r="AB23" s="1808">
        <f t="shared" si="4"/>
        <v>1</v>
      </c>
      <c r="AC23" s="1808">
        <f t="shared" si="5"/>
        <v>1</v>
      </c>
    </row>
    <row r="24" spans="1:29" ht="15">
      <c r="A24" s="427"/>
      <c r="B24" s="1381"/>
      <c r="C24" s="446"/>
      <c r="D24" s="447"/>
      <c r="E24" s="2602"/>
      <c r="F24" s="448"/>
      <c r="G24" s="2601"/>
      <c r="H24" s="447"/>
      <c r="I24" s="2602"/>
      <c r="J24" s="447"/>
      <c r="K24" s="614"/>
      <c r="L24" s="1138"/>
      <c r="M24" s="1129"/>
      <c r="N24" s="1129"/>
      <c r="O24" s="1137"/>
      <c r="P24" s="3216"/>
      <c r="Q24" s="1807"/>
      <c r="R24" s="769"/>
      <c r="S24" s="770"/>
      <c r="T24" s="769"/>
      <c r="U24" s="770"/>
      <c r="V24" s="769"/>
      <c r="W24" s="770"/>
      <c r="X24" s="1810"/>
      <c r="Y24" s="3216"/>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6"/>
      <c r="Q25" s="1807">
        <f>B25</f>
        <v>111</v>
      </c>
      <c r="R25" s="769" t="s">
        <v>17</v>
      </c>
      <c r="S25" s="770">
        <f>F25</f>
        <v>100</v>
      </c>
      <c r="T25" s="769" t="s">
        <v>17</v>
      </c>
      <c r="U25" s="770">
        <f>H25</f>
        <v>100</v>
      </c>
      <c r="V25" s="769" t="s">
        <v>17</v>
      </c>
      <c r="W25" s="770">
        <f>J25</f>
        <v>100</v>
      </c>
      <c r="X25" s="1810"/>
      <c r="Y25" s="3216"/>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6"/>
      <c r="Q26" s="1807">
        <f t="shared" ref="Q26:Q40" si="11">B26</f>
        <v>111</v>
      </c>
      <c r="R26" s="769" t="s">
        <v>17</v>
      </c>
      <c r="S26" s="770">
        <f>F26</f>
        <v>100</v>
      </c>
      <c r="T26" s="769" t="s">
        <v>17</v>
      </c>
      <c r="U26" s="770">
        <f>H26</f>
        <v>100</v>
      </c>
      <c r="V26" s="769" t="s">
        <v>17</v>
      </c>
      <c r="W26" s="770">
        <f>J26</f>
        <v>100</v>
      </c>
      <c r="X26" s="1810"/>
      <c r="Y26" s="3216"/>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6"/>
      <c r="Q27" s="1792">
        <f t="shared" si="11"/>
        <v>111</v>
      </c>
      <c r="R27" s="765" t="s">
        <v>17</v>
      </c>
      <c r="S27" s="766">
        <f>F27</f>
        <v>100</v>
      </c>
      <c r="T27" s="765" t="s">
        <v>17</v>
      </c>
      <c r="U27" s="766">
        <f>H27</f>
        <v>100</v>
      </c>
      <c r="V27" s="765" t="s">
        <v>17</v>
      </c>
      <c r="W27" s="766">
        <f>J27</f>
        <v>100</v>
      </c>
      <c r="X27" s="767"/>
      <c r="Y27" s="3216"/>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6"/>
      <c r="Q28" s="1807">
        <f t="shared" si="11"/>
        <v>111</v>
      </c>
      <c r="R28" s="769" t="s">
        <v>17</v>
      </c>
      <c r="S28" s="770">
        <f t="shared" ref="S28:S40" si="12">F28</f>
        <v>100</v>
      </c>
      <c r="T28" s="769" t="s">
        <v>17</v>
      </c>
      <c r="U28" s="770">
        <f t="shared" ref="U28:U40" si="13">H28</f>
        <v>100</v>
      </c>
      <c r="V28" s="769" t="s">
        <v>17</v>
      </c>
      <c r="W28" s="770">
        <f t="shared" ref="W28:W40" si="14">J28</f>
        <v>100</v>
      </c>
      <c r="X28" s="1810"/>
      <c r="Y28" s="3216"/>
      <c r="Z28" s="1811">
        <f t="shared" ref="Z28:Z40" si="15">Q28</f>
        <v>111</v>
      </c>
      <c r="AA28" s="1808">
        <f t="shared" si="3"/>
        <v>1</v>
      </c>
      <c r="AB28" s="1808">
        <f t="shared" si="4"/>
        <v>1</v>
      </c>
      <c r="AC28" s="1808">
        <f t="shared" si="5"/>
        <v>1</v>
      </c>
    </row>
    <row r="29" spans="1:29" ht="15">
      <c r="A29" s="465" t="s">
        <v>2562</v>
      </c>
      <c r="B29" s="71" t="s">
        <v>2692</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243" t="s">
        <v>2564</v>
      </c>
      <c r="Q29" s="1807" t="str">
        <f t="shared" si="11"/>
        <v>建筑类型</v>
      </c>
      <c r="R29" s="769" t="s">
        <v>17</v>
      </c>
      <c r="S29" s="770">
        <f t="shared" si="12"/>
        <v>100</v>
      </c>
      <c r="T29" s="769" t="s">
        <v>17</v>
      </c>
      <c r="U29" s="770">
        <f t="shared" si="13"/>
        <v>100</v>
      </c>
      <c r="V29" s="769" t="s">
        <v>17</v>
      </c>
      <c r="W29" s="770">
        <f t="shared" si="14"/>
        <v>100</v>
      </c>
      <c r="X29" s="1810"/>
      <c r="Y29" s="3220" t="s">
        <v>2564</v>
      </c>
      <c r="Z29" s="1811" t="str">
        <f t="shared" si="15"/>
        <v>建筑类型</v>
      </c>
      <c r="AA29" s="1808">
        <f t="shared" si="3"/>
        <v>1</v>
      </c>
      <c r="AB29" s="1808">
        <f t="shared" si="4"/>
        <v>1</v>
      </c>
      <c r="AC29" s="1808">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0"/>
      <c r="Q30" s="771" t="str">
        <f t="shared" si="11"/>
        <v>项目建筑规模</v>
      </c>
      <c r="R30" s="772" t="s">
        <v>17</v>
      </c>
      <c r="S30" s="773" t="e">
        <f t="shared" si="12"/>
        <v>#N/A</v>
      </c>
      <c r="T30" s="772" t="s">
        <v>17</v>
      </c>
      <c r="U30" s="773" t="e">
        <f t="shared" si="13"/>
        <v>#N/A</v>
      </c>
      <c r="V30" s="772" t="s">
        <v>17</v>
      </c>
      <c r="W30" s="773" t="e">
        <f t="shared" si="14"/>
        <v>#N/A</v>
      </c>
      <c r="X30" s="774"/>
      <c r="Y30" s="3220"/>
      <c r="Z30" s="775" t="str">
        <f t="shared" si="15"/>
        <v>项目建筑规模</v>
      </c>
      <c r="AA30" s="1808" t="e">
        <f t="shared" si="3"/>
        <v>#N/A</v>
      </c>
      <c r="AB30" s="1808" t="e">
        <f t="shared" si="4"/>
        <v>#N/A</v>
      </c>
      <c r="AC30" s="1808"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0"/>
      <c r="Q31" s="1807" t="str">
        <f t="shared" si="11"/>
        <v>建筑结构</v>
      </c>
      <c r="R31" s="769" t="s">
        <v>17</v>
      </c>
      <c r="S31" s="770">
        <f t="shared" si="12"/>
        <v>100</v>
      </c>
      <c r="T31" s="769" t="s">
        <v>17</v>
      </c>
      <c r="U31" s="770">
        <f t="shared" si="13"/>
        <v>100</v>
      </c>
      <c r="V31" s="769" t="s">
        <v>17</v>
      </c>
      <c r="W31" s="770">
        <f t="shared" si="14"/>
        <v>100</v>
      </c>
      <c r="X31" s="1810"/>
      <c r="Y31" s="3220"/>
      <c r="Z31" s="1811" t="str">
        <f t="shared" si="15"/>
        <v>建筑结构</v>
      </c>
      <c r="AA31" s="1808">
        <f t="shared" si="3"/>
        <v>1</v>
      </c>
      <c r="AB31" s="1808">
        <f t="shared" si="4"/>
        <v>1</v>
      </c>
      <c r="AC31" s="1808">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0"/>
      <c r="Q32" s="1807" t="str">
        <f t="shared" si="11"/>
        <v>公共部分装修</v>
      </c>
      <c r="R32" s="769" t="s">
        <v>17</v>
      </c>
      <c r="S32" s="770">
        <f t="shared" si="12"/>
        <v>100</v>
      </c>
      <c r="T32" s="769" t="s">
        <v>17</v>
      </c>
      <c r="U32" s="770">
        <f t="shared" si="13"/>
        <v>100</v>
      </c>
      <c r="V32" s="769" t="s">
        <v>17</v>
      </c>
      <c r="W32" s="770">
        <f t="shared" si="14"/>
        <v>100</v>
      </c>
      <c r="X32" s="1810"/>
      <c r="Y32" s="3220"/>
      <c r="Z32" s="1811" t="str">
        <f t="shared" si="15"/>
        <v>公共部分装修</v>
      </c>
      <c r="AA32" s="1808">
        <f t="shared" si="3"/>
        <v>1</v>
      </c>
      <c r="AB32" s="1808">
        <f t="shared" si="4"/>
        <v>1</v>
      </c>
      <c r="AC32" s="1808">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0"/>
      <c r="Q33" s="1807" t="str">
        <f t="shared" si="11"/>
        <v>成新度</v>
      </c>
      <c r="R33" s="769" t="s">
        <v>17</v>
      </c>
      <c r="S33" s="770" t="e">
        <f t="shared" si="12"/>
        <v>#N/A</v>
      </c>
      <c r="T33" s="769" t="s">
        <v>17</v>
      </c>
      <c r="U33" s="770" t="e">
        <f t="shared" si="13"/>
        <v>#N/A</v>
      </c>
      <c r="V33" s="769" t="s">
        <v>17</v>
      </c>
      <c r="W33" s="770" t="e">
        <f t="shared" si="14"/>
        <v>#N/A</v>
      </c>
      <c r="X33" s="1810"/>
      <c r="Y33" s="3220"/>
      <c r="Z33" s="1811" t="str">
        <f t="shared" si="15"/>
        <v>成新度</v>
      </c>
      <c r="AA33" s="1808" t="e">
        <f t="shared" si="3"/>
        <v>#N/A</v>
      </c>
      <c r="AB33" s="1808" t="e">
        <f t="shared" si="4"/>
        <v>#N/A</v>
      </c>
      <c r="AC33" s="1808"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0"/>
      <c r="Q34" s="1792" t="str">
        <f t="shared" si="11"/>
        <v>物业管理</v>
      </c>
      <c r="R34" s="765" t="s">
        <v>17</v>
      </c>
      <c r="S34" s="766">
        <f t="shared" si="12"/>
        <v>100</v>
      </c>
      <c r="T34" s="765" t="s">
        <v>17</v>
      </c>
      <c r="U34" s="766">
        <f t="shared" si="13"/>
        <v>100</v>
      </c>
      <c r="V34" s="765" t="s">
        <v>17</v>
      </c>
      <c r="W34" s="766">
        <f t="shared" si="14"/>
        <v>100</v>
      </c>
      <c r="X34" s="767"/>
      <c r="Y34" s="3220"/>
      <c r="Z34" s="55" t="str">
        <f t="shared" si="15"/>
        <v>物业管理</v>
      </c>
      <c r="AA34" s="768">
        <f t="shared" si="3"/>
        <v>1</v>
      </c>
      <c r="AB34" s="768">
        <f t="shared" si="4"/>
        <v>1</v>
      </c>
      <c r="AC34" s="768">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0" t="s">
        <v>2564</v>
      </c>
      <c r="Q35" s="1807" t="str">
        <f t="shared" si="11"/>
        <v>市政基础设施</v>
      </c>
      <c r="R35" s="769" t="s">
        <v>17</v>
      </c>
      <c r="S35" s="770">
        <f t="shared" si="12"/>
        <v>100</v>
      </c>
      <c r="T35" s="769" t="s">
        <v>17</v>
      </c>
      <c r="U35" s="770">
        <f t="shared" si="13"/>
        <v>100</v>
      </c>
      <c r="V35" s="769" t="s">
        <v>17</v>
      </c>
      <c r="W35" s="770">
        <f t="shared" si="14"/>
        <v>100</v>
      </c>
      <c r="X35" s="1810"/>
      <c r="Y35" s="3220" t="s">
        <v>2564</v>
      </c>
      <c r="Z35" s="1811" t="str">
        <f t="shared" si="15"/>
        <v>市政基础设施</v>
      </c>
      <c r="AA35" s="1808">
        <f t="shared" si="3"/>
        <v>1</v>
      </c>
      <c r="AB35" s="1808">
        <f t="shared" si="4"/>
        <v>1</v>
      </c>
      <c r="AC35" s="1808">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0"/>
      <c r="Q36" s="1807" t="str">
        <f t="shared" si="11"/>
        <v>内部装修</v>
      </c>
      <c r="R36" s="769" t="s">
        <v>17</v>
      </c>
      <c r="S36" s="770">
        <f t="shared" si="12"/>
        <v>100</v>
      </c>
      <c r="T36" s="769" t="s">
        <v>17</v>
      </c>
      <c r="U36" s="770">
        <f t="shared" si="13"/>
        <v>100</v>
      </c>
      <c r="V36" s="769" t="s">
        <v>17</v>
      </c>
      <c r="W36" s="770">
        <f t="shared" si="14"/>
        <v>100</v>
      </c>
      <c r="X36" s="1810"/>
      <c r="Y36" s="3220"/>
      <c r="Z36" s="1811" t="str">
        <f t="shared" si="15"/>
        <v>内部装修</v>
      </c>
      <c r="AA36" s="1808">
        <f t="shared" si="3"/>
        <v>1</v>
      </c>
      <c r="AB36" s="1808">
        <f t="shared" si="4"/>
        <v>1</v>
      </c>
      <c r="AC36" s="1808">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0"/>
      <c r="Q37" s="1807" t="str">
        <f t="shared" si="11"/>
        <v>内部装修状况</v>
      </c>
      <c r="R37" s="769" t="s">
        <v>17</v>
      </c>
      <c r="S37" s="770">
        <f t="shared" si="12"/>
        <v>100</v>
      </c>
      <c r="T37" s="769" t="s">
        <v>17</v>
      </c>
      <c r="U37" s="770">
        <f t="shared" si="13"/>
        <v>100</v>
      </c>
      <c r="V37" s="769" t="s">
        <v>17</v>
      </c>
      <c r="W37" s="770">
        <f t="shared" si="14"/>
        <v>100</v>
      </c>
      <c r="X37" s="1810"/>
      <c r="Y37" s="3220"/>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0"/>
      <c r="Q38" s="771">
        <f t="shared" si="11"/>
        <v>111</v>
      </c>
      <c r="R38" s="772" t="s">
        <v>17</v>
      </c>
      <c r="S38" s="773">
        <f t="shared" si="12"/>
        <v>100</v>
      </c>
      <c r="T38" s="772" t="s">
        <v>17</v>
      </c>
      <c r="U38" s="773">
        <f t="shared" si="13"/>
        <v>100</v>
      </c>
      <c r="V38" s="772" t="s">
        <v>17</v>
      </c>
      <c r="W38" s="773">
        <f t="shared" si="14"/>
        <v>100</v>
      </c>
      <c r="X38" s="774"/>
      <c r="Y38" s="3220"/>
      <c r="Z38" s="775">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0"/>
      <c r="Q39" s="1807">
        <f t="shared" si="11"/>
        <v>111</v>
      </c>
      <c r="R39" s="769" t="s">
        <v>17</v>
      </c>
      <c r="S39" s="770">
        <f t="shared" si="12"/>
        <v>100</v>
      </c>
      <c r="T39" s="769" t="s">
        <v>17</v>
      </c>
      <c r="U39" s="770">
        <f t="shared" si="13"/>
        <v>100</v>
      </c>
      <c r="V39" s="769" t="s">
        <v>17</v>
      </c>
      <c r="W39" s="770">
        <f t="shared" si="14"/>
        <v>100</v>
      </c>
      <c r="X39" s="1810"/>
      <c r="Y39" s="3220"/>
      <c r="Z39" s="1811">
        <f t="shared" si="15"/>
        <v>111</v>
      </c>
      <c r="AA39" s="1808">
        <f t="shared" si="3"/>
        <v>1</v>
      </c>
      <c r="AB39" s="1808">
        <f t="shared" si="4"/>
        <v>1</v>
      </c>
      <c r="AC39" s="1808">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1"/>
      <c r="Q40" s="1807">
        <f t="shared" si="11"/>
        <v>111</v>
      </c>
      <c r="R40" s="769" t="s">
        <v>17</v>
      </c>
      <c r="S40" s="770">
        <f t="shared" si="12"/>
        <v>100</v>
      </c>
      <c r="T40" s="769" t="s">
        <v>17</v>
      </c>
      <c r="U40" s="770">
        <f t="shared" si="13"/>
        <v>100</v>
      </c>
      <c r="V40" s="769" t="s">
        <v>17</v>
      </c>
      <c r="W40" s="770">
        <f t="shared" si="14"/>
        <v>100</v>
      </c>
      <c r="X40" s="1810"/>
      <c r="Y40" s="3221"/>
      <c r="Z40" s="1811">
        <f t="shared" si="15"/>
        <v>111</v>
      </c>
      <c r="AA40" s="1808">
        <f t="shared" si="3"/>
        <v>1</v>
      </c>
      <c r="AB40" s="1808">
        <f t="shared" si="4"/>
        <v>1</v>
      </c>
      <c r="AC40" s="1808">
        <f t="shared" si="5"/>
        <v>1</v>
      </c>
    </row>
    <row r="41" spans="1:29" ht="15">
      <c r="A41" s="478" t="s">
        <v>2576</v>
      </c>
      <c r="B41" s="479"/>
      <c r="C41" s="1404" t="s">
        <v>1</v>
      </c>
      <c r="D41" s="1405"/>
      <c r="E41" s="1406"/>
      <c r="F41" s="1407"/>
      <c r="G41" s="1408"/>
      <c r="H41" s="1409"/>
      <c r="I41" s="1406"/>
      <c r="J41" s="1409"/>
      <c r="K41" s="778"/>
      <c r="L41" s="1141"/>
      <c r="M41" s="1142"/>
      <c r="N41" s="1129"/>
      <c r="O41" s="1142"/>
      <c r="P41" s="3213" t="str">
        <f>A41</f>
        <v>成交单价（元/平方米）</v>
      </c>
      <c r="Q41" s="3213"/>
      <c r="R41" s="3214">
        <f>E41</f>
        <v>0</v>
      </c>
      <c r="S41" s="3214"/>
      <c r="T41" s="3214">
        <f>G41</f>
        <v>0</v>
      </c>
      <c r="U41" s="3214"/>
      <c r="V41" s="3214">
        <f>I41</f>
        <v>0</v>
      </c>
      <c r="W41" s="3214"/>
      <c r="X41" s="754"/>
      <c r="Y41" s="776"/>
      <c r="Z41" s="754"/>
      <c r="AA41" s="754"/>
      <c r="AB41" s="754"/>
      <c r="AC41" s="754"/>
    </row>
    <row r="42" spans="1:29" ht="15.75" thickBot="1">
      <c r="A42" s="485" t="s">
        <v>2668</v>
      </c>
      <c r="B42" s="486"/>
      <c r="C42" s="1410" t="e">
        <f>R43</f>
        <v>#DIV/0!</v>
      </c>
      <c r="D42" s="1411"/>
      <c r="E42" s="1412" t="e">
        <f>R42</f>
        <v>#DIV/0!</v>
      </c>
      <c r="F42" s="1412"/>
      <c r="G42" s="1410" t="e">
        <f>T42</f>
        <v>#DIV/0!</v>
      </c>
      <c r="H42" s="1411"/>
      <c r="I42" s="1412" t="e">
        <f>V42</f>
        <v>#DIV/0!</v>
      </c>
      <c r="J42" s="1411"/>
      <c r="K42" s="779"/>
      <c r="L42" s="1141"/>
      <c r="M42" s="1142"/>
      <c r="N42" s="1129"/>
      <c r="O42" s="1142"/>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4"/>
      <c r="Y42" s="754"/>
      <c r="Z42" s="754"/>
      <c r="AA42" s="754"/>
      <c r="AB42" s="754"/>
      <c r="AC42" s="754"/>
    </row>
    <row r="43" spans="1:29" ht="15.75" thickBot="1">
      <c r="A43" s="491" t="s">
        <v>2669</v>
      </c>
      <c r="B43" s="492"/>
      <c r="C43" s="1414" t="e">
        <f>R43</f>
        <v>#DIV/0!</v>
      </c>
      <c r="D43" s="1414"/>
      <c r="E43" s="1414"/>
      <c r="F43" s="1414"/>
      <c r="G43" s="1414"/>
      <c r="H43" s="1414"/>
      <c r="I43" s="1414"/>
      <c r="J43" s="1414"/>
      <c r="K43" s="780"/>
      <c r="L43" s="1141"/>
      <c r="M43" s="1142"/>
      <c r="N43" s="1142"/>
      <c r="O43" s="1142"/>
      <c r="P43" s="3210" t="str">
        <f>A43</f>
        <v>估价对象XX用房的比较价值（楼面单价，元/平方米）</v>
      </c>
      <c r="Q43" s="3211"/>
      <c r="R43" s="3212" t="e">
        <f>IF(F1="售价",ROUND(AVERAGE(R42:V42),0),ROUND(AVERAGE(R42:V42),1))</f>
        <v>#DIV/0!</v>
      </c>
      <c r="S43" s="3212"/>
      <c r="T43" s="3212"/>
      <c r="U43" s="3212"/>
      <c r="V43" s="3212"/>
      <c r="W43" s="3212"/>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2673</v>
      </c>
      <c r="B51" s="754"/>
      <c r="C51" s="759"/>
      <c r="D51" s="759"/>
      <c r="E51" s="759"/>
      <c r="F51" s="760"/>
      <c r="G51" s="760"/>
      <c r="H51" s="759"/>
      <c r="I51" s="759"/>
      <c r="J51" s="759"/>
      <c r="K51" s="1158"/>
      <c r="L51" s="1159"/>
      <c r="M51" s="1157"/>
      <c r="N51" s="1157"/>
      <c r="O51" s="1157"/>
      <c r="P51" s="502"/>
      <c r="Q51" s="503"/>
    </row>
    <row r="52" spans="1:17" s="507" customFormat="1" ht="15">
      <c r="A52" s="504" t="s">
        <v>2547</v>
      </c>
      <c r="B52" s="505"/>
      <c r="C52" s="1571" t="str">
        <f>YEAR(C7)&amp;"-"&amp;MONTH(C7)</f>
        <v>2018-9</v>
      </c>
      <c r="D52" s="1572">
        <f>EDATE(C52,-1)</f>
        <v>43313</v>
      </c>
      <c r="E52" s="1572">
        <f t="shared" ref="E52:O52" si="16">EDATE(D52,-1)</f>
        <v>43282</v>
      </c>
      <c r="F52" s="1572">
        <f t="shared" si="16"/>
        <v>43252</v>
      </c>
      <c r="G52" s="1572">
        <f t="shared" si="16"/>
        <v>43221</v>
      </c>
      <c r="H52" s="1572">
        <f t="shared" si="16"/>
        <v>43191</v>
      </c>
      <c r="I52" s="1572">
        <f t="shared" si="16"/>
        <v>43160</v>
      </c>
      <c r="J52" s="1572">
        <f t="shared" si="16"/>
        <v>43132</v>
      </c>
      <c r="K52" s="1572">
        <f t="shared" si="16"/>
        <v>43101</v>
      </c>
      <c r="L52" s="1572">
        <f t="shared" si="16"/>
        <v>43070</v>
      </c>
      <c r="M52" s="1572">
        <f t="shared" si="16"/>
        <v>43040</v>
      </c>
      <c r="N52" s="1572">
        <f t="shared" si="16"/>
        <v>43009</v>
      </c>
      <c r="O52" s="1572">
        <f t="shared" si="16"/>
        <v>42979</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49"/>
      <c r="O55" s="1149"/>
      <c r="P55" s="525"/>
      <c r="Q55" s="503"/>
    </row>
    <row r="56" spans="1:17" s="117" customFormat="1" ht="15.75" thickBot="1">
      <c r="A56" s="520"/>
      <c r="B56" s="509"/>
      <c r="C56" s="636">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7" t="s">
        <v>2674</v>
      </c>
      <c r="D76" s="657" t="s">
        <v>2675</v>
      </c>
      <c r="E76" s="657" t="s">
        <v>2676</v>
      </c>
      <c r="F76" s="657" t="s">
        <v>2677</v>
      </c>
      <c r="G76" s="657" t="s">
        <v>2678</v>
      </c>
      <c r="H76" s="538"/>
      <c r="I76" s="538"/>
      <c r="J76" s="538"/>
      <c r="K76" s="538"/>
      <c r="L76" s="538"/>
      <c r="M76" s="1379"/>
      <c r="N76" s="1151"/>
      <c r="O76" s="1151"/>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3"/>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0"/>
      <c r="J98" s="620"/>
      <c r="K98" s="621"/>
      <c r="L98" s="622"/>
      <c r="M98" s="623"/>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3" t="s">
        <v>2705</v>
      </c>
      <c r="C106" s="577" t="s">
        <v>2596</v>
      </c>
      <c r="D106" s="577" t="s">
        <v>2597</v>
      </c>
      <c r="E106" s="577" t="s">
        <v>2598</v>
      </c>
      <c r="F106" s="577" t="s">
        <v>2599</v>
      </c>
      <c r="G106" s="577" t="s">
        <v>2600</v>
      </c>
      <c r="H106" s="538"/>
      <c r="I106" s="538"/>
      <c r="J106" s="538"/>
      <c r="K106" s="539"/>
      <c r="L106" s="540"/>
      <c r="M106" s="541"/>
      <c r="N106" s="1151"/>
      <c r="O106" s="1151"/>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3"/>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2706</v>
      </c>
      <c r="B1" s="1616"/>
      <c r="C1" s="1617" t="s">
        <v>2529</v>
      </c>
      <c r="D1" s="1618"/>
      <c r="E1" s="1627"/>
      <c r="F1" s="2581"/>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IF(C2="——",ROUND(C37*D3/10000,0),ROUND(C37*D3/10000,0)-D2)</f>
        <v>#DIV/0!</v>
      </c>
      <c r="C2" s="2583"/>
      <c r="D2" s="1122" t="e">
        <f ca="1">SUMIF(INDIRECT("'"&amp;F2&amp;"'"&amp;"!A:A"),"承租人权益价值",INDIRECT("'"&amp;F2&amp;"'"&amp;"!c:c"))</f>
        <v>#REF!</v>
      </c>
      <c r="E2" s="2584" t="s">
        <v>2327</v>
      </c>
      <c r="F2" s="2585"/>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179" t="s">
        <v>2647</v>
      </c>
      <c r="AC4" s="3178" t="s">
        <v>2648</v>
      </c>
    </row>
    <row r="5" spans="1:29" ht="15">
      <c r="A5" s="403"/>
      <c r="B5" s="404"/>
      <c r="C5" s="3189" t="s">
        <v>2541</v>
      </c>
      <c r="D5" s="3190"/>
      <c r="E5" s="3187" t="s">
        <v>2542</v>
      </c>
      <c r="F5" s="3188"/>
      <c r="G5" s="3189" t="s">
        <v>2543</v>
      </c>
      <c r="H5" s="3190"/>
      <c r="I5" s="3189" t="s">
        <v>2544</v>
      </c>
      <c r="J5" s="3190"/>
      <c r="K5" s="609"/>
      <c r="L5" s="1128"/>
      <c r="M5" s="1129"/>
      <c r="N5" s="1129"/>
      <c r="O5" s="1129"/>
      <c r="P5" s="3202"/>
      <c r="Q5" s="3203"/>
      <c r="R5" s="3185"/>
      <c r="S5" s="3186"/>
      <c r="T5" s="3185"/>
      <c r="U5" s="3186"/>
      <c r="V5" s="3208"/>
      <c r="W5" s="3208"/>
      <c r="X5" s="1810"/>
      <c r="Y5" s="3185"/>
      <c r="Z5" s="3186"/>
      <c r="AA5" s="3179"/>
      <c r="AB5" s="3179"/>
      <c r="AC5" s="3179"/>
    </row>
    <row r="6" spans="1:29" ht="15.75" thickBot="1">
      <c r="A6" s="405"/>
      <c r="B6" s="406"/>
      <c r="C6" s="3191" t="s">
        <v>2545</v>
      </c>
      <c r="D6" s="3192"/>
      <c r="E6" s="3193" t="s">
        <v>2545</v>
      </c>
      <c r="F6" s="3194"/>
      <c r="G6" s="3191" t="s">
        <v>2545</v>
      </c>
      <c r="H6" s="3192"/>
      <c r="I6" s="3191" t="s">
        <v>2545</v>
      </c>
      <c r="J6" s="3192"/>
      <c r="K6" s="609" t="s">
        <v>2546</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7" t="s">
        <v>2547</v>
      </c>
      <c r="B7" s="408"/>
      <c r="C7" s="409">
        <f>'数据-取费表'!B2</f>
        <v>43346</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181" t="s">
        <v>2548</v>
      </c>
      <c r="Q7" s="3209"/>
      <c r="R7" s="765" t="s">
        <v>17</v>
      </c>
      <c r="S7" s="766">
        <f t="shared" ref="S7:S14" si="0">F7</f>
        <v>0</v>
      </c>
      <c r="T7" s="765" t="s">
        <v>17</v>
      </c>
      <c r="U7" s="766">
        <f t="shared" ref="U7:U14" si="1">H7</f>
        <v>0</v>
      </c>
      <c r="V7" s="765" t="s">
        <v>17</v>
      </c>
      <c r="W7" s="766">
        <f t="shared" ref="W7:W14" si="2">J7</f>
        <v>0</v>
      </c>
      <c r="X7" s="767"/>
      <c r="Y7" s="3181" t="s">
        <v>2548</v>
      </c>
      <c r="Z7" s="3182"/>
      <c r="AA7" s="768" t="e">
        <f>D7/F7</f>
        <v>#DIV/0!</v>
      </c>
      <c r="AB7" s="768" t="e">
        <f>D7/H7</f>
        <v>#DIV/0!</v>
      </c>
      <c r="AC7" s="768"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81" t="s">
        <v>2551</v>
      </c>
      <c r="Q8" s="3182"/>
      <c r="R8" s="765" t="s">
        <v>17</v>
      </c>
      <c r="S8" s="766">
        <f t="shared" si="0"/>
        <v>0</v>
      </c>
      <c r="T8" s="765" t="s">
        <v>17</v>
      </c>
      <c r="U8" s="766">
        <f t="shared" si="1"/>
        <v>0</v>
      </c>
      <c r="V8" s="765" t="s">
        <v>17</v>
      </c>
      <c r="W8" s="766">
        <f t="shared" si="2"/>
        <v>0</v>
      </c>
      <c r="X8" s="767"/>
      <c r="Y8" s="3181" t="s">
        <v>2551</v>
      </c>
      <c r="Z8" s="3182"/>
      <c r="AA8" s="768" t="e">
        <f t="shared" ref="AA8:AA34" si="3">D8/F8</f>
        <v>#DIV/0!</v>
      </c>
      <c r="AB8" s="768" t="e">
        <f t="shared" ref="AB8:AB34" si="4">D8/H8</f>
        <v>#DIV/0!</v>
      </c>
      <c r="AC8" s="768"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3" t="s">
        <v>2554</v>
      </c>
      <c r="Q9" s="1792" t="str">
        <f t="shared" ref="Q9:Q14" si="6">B9</f>
        <v>用途</v>
      </c>
      <c r="R9" s="765" t="s">
        <v>17</v>
      </c>
      <c r="S9" s="766">
        <f t="shared" si="0"/>
        <v>100</v>
      </c>
      <c r="T9" s="765" t="s">
        <v>17</v>
      </c>
      <c r="U9" s="766">
        <f t="shared" si="1"/>
        <v>100</v>
      </c>
      <c r="V9" s="765" t="s">
        <v>17</v>
      </c>
      <c r="W9" s="766">
        <f t="shared" si="2"/>
        <v>100</v>
      </c>
      <c r="X9" s="767"/>
      <c r="Y9" s="3052" t="s">
        <v>2555</v>
      </c>
      <c r="Z9" s="55" t="str">
        <f t="shared" ref="Z9:Z14" si="7">Q9</f>
        <v>用途</v>
      </c>
      <c r="AA9" s="768">
        <f t="shared" si="3"/>
        <v>1</v>
      </c>
      <c r="AB9" s="768">
        <f t="shared" si="4"/>
        <v>1</v>
      </c>
      <c r="AC9" s="768">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3"/>
      <c r="Q10" s="1792" t="str">
        <f t="shared" si="6"/>
        <v>土地使用年限（年）</v>
      </c>
      <c r="R10" s="765" t="s">
        <v>17</v>
      </c>
      <c r="S10" s="766">
        <f t="shared" si="0"/>
        <v>100</v>
      </c>
      <c r="T10" s="765" t="s">
        <v>17</v>
      </c>
      <c r="U10" s="766">
        <f t="shared" si="1"/>
        <v>100</v>
      </c>
      <c r="V10" s="765" t="s">
        <v>17</v>
      </c>
      <c r="W10" s="766">
        <f t="shared" si="2"/>
        <v>100</v>
      </c>
      <c r="X10" s="767"/>
      <c r="Y10" s="3052"/>
      <c r="Z10" s="55" t="str">
        <f t="shared" si="7"/>
        <v>土地使用年限（年）</v>
      </c>
      <c r="AA10" s="768">
        <f t="shared" si="3"/>
        <v>1</v>
      </c>
      <c r="AB10" s="768">
        <f t="shared" si="4"/>
        <v>1</v>
      </c>
      <c r="AC10" s="768">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3"/>
      <c r="Q11" s="1792">
        <f t="shared" si="6"/>
        <v>111</v>
      </c>
      <c r="R11" s="765" t="s">
        <v>17</v>
      </c>
      <c r="S11" s="766">
        <f t="shared" si="0"/>
        <v>100</v>
      </c>
      <c r="T11" s="765" t="s">
        <v>17</v>
      </c>
      <c r="U11" s="766">
        <f t="shared" si="1"/>
        <v>100</v>
      </c>
      <c r="V11" s="765" t="s">
        <v>17</v>
      </c>
      <c r="W11" s="766">
        <f t="shared" si="2"/>
        <v>100</v>
      </c>
      <c r="X11" s="767"/>
      <c r="Y11" s="3052"/>
      <c r="Z11" s="55">
        <f t="shared" si="7"/>
        <v>111</v>
      </c>
      <c r="AA11" s="768">
        <f t="shared" si="3"/>
        <v>1</v>
      </c>
      <c r="AB11" s="768">
        <f t="shared" si="4"/>
        <v>1</v>
      </c>
      <c r="AC11" s="768">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3"/>
      <c r="Q12" s="1792">
        <f t="shared" si="6"/>
        <v>111</v>
      </c>
      <c r="R12" s="765" t="s">
        <v>17</v>
      </c>
      <c r="S12" s="766">
        <f t="shared" si="0"/>
        <v>100</v>
      </c>
      <c r="T12" s="765" t="s">
        <v>17</v>
      </c>
      <c r="U12" s="766">
        <f t="shared" si="1"/>
        <v>100</v>
      </c>
      <c r="V12" s="765" t="s">
        <v>17</v>
      </c>
      <c r="W12" s="766">
        <f t="shared" si="2"/>
        <v>100</v>
      </c>
      <c r="X12" s="767"/>
      <c r="Y12" s="3052"/>
      <c r="Z12" s="55">
        <f t="shared" si="7"/>
        <v>111</v>
      </c>
      <c r="AA12" s="768">
        <f>D12/F12</f>
        <v>1</v>
      </c>
      <c r="AB12" s="768">
        <f>D12/H12</f>
        <v>1</v>
      </c>
      <c r="AC12" s="768">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13"/>
      <c r="Q13" s="1792">
        <f t="shared" si="6"/>
        <v>111</v>
      </c>
      <c r="R13" s="765" t="s">
        <v>17</v>
      </c>
      <c r="S13" s="766">
        <f t="shared" si="0"/>
        <v>100</v>
      </c>
      <c r="T13" s="765" t="s">
        <v>17</v>
      </c>
      <c r="U13" s="766">
        <f t="shared" si="1"/>
        <v>100</v>
      </c>
      <c r="V13" s="765" t="s">
        <v>17</v>
      </c>
      <c r="W13" s="766">
        <f t="shared" si="2"/>
        <v>100</v>
      </c>
      <c r="X13" s="767"/>
      <c r="Y13" s="3052"/>
      <c r="Z13" s="55">
        <f t="shared" si="7"/>
        <v>111</v>
      </c>
      <c r="AA13" s="768">
        <f t="shared" si="3"/>
        <v>1</v>
      </c>
      <c r="AB13" s="768">
        <f t="shared" si="4"/>
        <v>1</v>
      </c>
      <c r="AC13" s="768">
        <f t="shared" si="5"/>
        <v>1</v>
      </c>
    </row>
    <row r="14" spans="1:29" ht="85.5">
      <c r="A14" s="439" t="s">
        <v>2558</v>
      </c>
      <c r="B14" s="69" t="s">
        <v>2708</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5" t="s">
        <v>2559</v>
      </c>
      <c r="Q14" s="1807" t="str">
        <f t="shared" si="6"/>
        <v>交通便捷度</v>
      </c>
      <c r="R14" s="769" t="s">
        <v>17</v>
      </c>
      <c r="S14" s="770">
        <f t="shared" si="0"/>
        <v>100</v>
      </c>
      <c r="T14" s="769" t="s">
        <v>17</v>
      </c>
      <c r="U14" s="770">
        <f t="shared" si="1"/>
        <v>100</v>
      </c>
      <c r="V14" s="769" t="s">
        <v>17</v>
      </c>
      <c r="W14" s="770">
        <f t="shared" si="2"/>
        <v>100</v>
      </c>
      <c r="X14" s="1810"/>
      <c r="Y14" s="3215" t="s">
        <v>2559</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16"/>
      <c r="Q15" s="1807"/>
      <c r="R15" s="769"/>
      <c r="S15" s="770"/>
      <c r="T15" s="769"/>
      <c r="U15" s="770"/>
      <c r="V15" s="769"/>
      <c r="W15" s="770"/>
      <c r="X15" s="1810"/>
      <c r="Y15" s="3216"/>
      <c r="Z15" s="1811"/>
      <c r="AA15" s="1808">
        <v>1</v>
      </c>
      <c r="AB15" s="1808">
        <v>1</v>
      </c>
      <c r="AC15" s="1808">
        <v>1</v>
      </c>
    </row>
    <row r="16" spans="1:29" ht="42.75">
      <c r="A16" s="427"/>
      <c r="B16" s="450" t="s">
        <v>2687</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6"/>
      <c r="Q16" s="1807" t="str">
        <f>B16</f>
        <v>公共配套设施</v>
      </c>
      <c r="R16" s="769" t="s">
        <v>17</v>
      </c>
      <c r="S16" s="770">
        <f>F16</f>
        <v>100</v>
      </c>
      <c r="T16" s="769" t="s">
        <v>17</v>
      </c>
      <c r="U16" s="770">
        <f>H16</f>
        <v>100</v>
      </c>
      <c r="V16" s="769" t="s">
        <v>17</v>
      </c>
      <c r="W16" s="770">
        <f>J16</f>
        <v>100</v>
      </c>
      <c r="X16" s="1810"/>
      <c r="Y16" s="3216"/>
      <c r="Z16" s="1811" t="str">
        <f>Q16</f>
        <v>公共配套设施</v>
      </c>
      <c r="AA16" s="1808">
        <f t="shared" si="3"/>
        <v>1</v>
      </c>
      <c r="AB16" s="1808">
        <f t="shared" si="4"/>
        <v>1</v>
      </c>
      <c r="AC16" s="1808">
        <f t="shared" si="5"/>
        <v>1</v>
      </c>
    </row>
    <row r="17" spans="1:29" ht="15">
      <c r="A17" s="427"/>
      <c r="B17" s="455"/>
      <c r="C17" s="2605"/>
      <c r="D17" s="447"/>
      <c r="E17" s="446"/>
      <c r="F17" s="448"/>
      <c r="G17" s="446"/>
      <c r="H17" s="447"/>
      <c r="I17" s="446"/>
      <c r="J17" s="447"/>
      <c r="K17" s="614"/>
      <c r="L17" s="1138"/>
      <c r="M17" s="1129"/>
      <c r="N17" s="1129"/>
      <c r="O17" s="1137"/>
      <c r="P17" s="3216"/>
      <c r="Q17" s="1807"/>
      <c r="R17" s="769"/>
      <c r="S17" s="770"/>
      <c r="T17" s="769"/>
      <c r="U17" s="770"/>
      <c r="V17" s="769"/>
      <c r="W17" s="770"/>
      <c r="X17" s="1810"/>
      <c r="Y17" s="3216"/>
      <c r="Z17" s="1811"/>
      <c r="AA17" s="1808">
        <v>1</v>
      </c>
      <c r="AB17" s="1808">
        <v>1</v>
      </c>
      <c r="AC17" s="1808">
        <v>1</v>
      </c>
    </row>
    <row r="18" spans="1:29" ht="28.5">
      <c r="A18" s="427"/>
      <c r="B18" s="1381" t="s">
        <v>2688</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6"/>
      <c r="Q18" s="1807" t="str">
        <f>B18</f>
        <v>基础设施水平</v>
      </c>
      <c r="R18" s="769" t="s">
        <v>17</v>
      </c>
      <c r="S18" s="770">
        <f>F18</f>
        <v>100</v>
      </c>
      <c r="T18" s="769" t="s">
        <v>17</v>
      </c>
      <c r="U18" s="770">
        <f>H18</f>
        <v>100</v>
      </c>
      <c r="V18" s="769" t="s">
        <v>17</v>
      </c>
      <c r="W18" s="770">
        <f>J18</f>
        <v>100</v>
      </c>
      <c r="X18" s="1810"/>
      <c r="Y18" s="3216"/>
      <c r="Z18" s="1811" t="str">
        <f>Q18</f>
        <v>基础设施水平</v>
      </c>
      <c r="AA18" s="1808">
        <f t="shared" ref="AA18" si="8">D18/F18</f>
        <v>1</v>
      </c>
      <c r="AB18" s="1808">
        <f t="shared" ref="AB18" si="9">D18/H18</f>
        <v>1</v>
      </c>
      <c r="AC18" s="1808">
        <f t="shared" ref="AC18" si="10">D18/J18</f>
        <v>1</v>
      </c>
    </row>
    <row r="19" spans="1:29" ht="15">
      <c r="A19" s="427"/>
      <c r="B19" s="1381"/>
      <c r="C19" s="2605"/>
      <c r="D19" s="449"/>
      <c r="E19" s="2605"/>
      <c r="F19" s="452"/>
      <c r="G19" s="2605"/>
      <c r="H19" s="447"/>
      <c r="I19" s="446"/>
      <c r="J19" s="447"/>
      <c r="K19" s="1380"/>
      <c r="L19" s="1138"/>
      <c r="M19" s="1129"/>
      <c r="N19" s="1129"/>
      <c r="O19" s="1137"/>
      <c r="P19" s="3216"/>
      <c r="Q19" s="1807"/>
      <c r="R19" s="769"/>
      <c r="S19" s="770"/>
      <c r="T19" s="769"/>
      <c r="U19" s="770"/>
      <c r="V19" s="769"/>
      <c r="W19" s="770"/>
      <c r="X19" s="1810"/>
      <c r="Y19" s="3216"/>
      <c r="Z19" s="1811"/>
      <c r="AA19" s="1808">
        <v>1</v>
      </c>
      <c r="AB19" s="1808">
        <v>1</v>
      </c>
      <c r="AC19" s="1808">
        <v>1</v>
      </c>
    </row>
    <row r="20" spans="1:29" ht="57">
      <c r="A20" s="427"/>
      <c r="B20" s="450" t="s">
        <v>2709</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6"/>
      <c r="Q20" s="1807" t="str">
        <f>B20</f>
        <v>自然及人文环境</v>
      </c>
      <c r="R20" s="769" t="s">
        <v>17</v>
      </c>
      <c r="S20" s="770">
        <f>F20</f>
        <v>100</v>
      </c>
      <c r="T20" s="769" t="s">
        <v>17</v>
      </c>
      <c r="U20" s="770">
        <f>H20</f>
        <v>100</v>
      </c>
      <c r="V20" s="769" t="s">
        <v>17</v>
      </c>
      <c r="W20" s="770">
        <f>J20</f>
        <v>100</v>
      </c>
      <c r="X20" s="1810"/>
      <c r="Y20" s="3216"/>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16"/>
      <c r="Q21" s="1807"/>
      <c r="R21" s="769"/>
      <c r="S21" s="770"/>
      <c r="T21" s="769"/>
      <c r="U21" s="770"/>
      <c r="V21" s="769"/>
      <c r="W21" s="770"/>
      <c r="X21" s="1810"/>
      <c r="Y21" s="3216"/>
      <c r="Z21" s="1811"/>
      <c r="AA21" s="1808">
        <v>1</v>
      </c>
      <c r="AB21" s="1808">
        <v>1</v>
      </c>
      <c r="AC21" s="1808">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6"/>
      <c r="Q22" s="1807" t="str">
        <f>B22</f>
        <v>楼层</v>
      </c>
      <c r="R22" s="769" t="s">
        <v>17</v>
      </c>
      <c r="S22" s="770">
        <f>F22</f>
        <v>100</v>
      </c>
      <c r="T22" s="769" t="s">
        <v>17</v>
      </c>
      <c r="U22" s="770">
        <f>H22</f>
        <v>100</v>
      </c>
      <c r="V22" s="769" t="s">
        <v>17</v>
      </c>
      <c r="W22" s="770">
        <f>J22</f>
        <v>100</v>
      </c>
      <c r="X22" s="1810"/>
      <c r="Y22" s="3216"/>
      <c r="Z22" s="1811" t="str">
        <f>Q22</f>
        <v>楼层</v>
      </c>
      <c r="AA22" s="1808">
        <f t="shared" si="3"/>
        <v>1</v>
      </c>
      <c r="AB22" s="1808">
        <f t="shared" si="4"/>
        <v>1</v>
      </c>
      <c r="AC22" s="1808">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6"/>
      <c r="Q23" s="1807">
        <f>B23</f>
        <v>111</v>
      </c>
      <c r="R23" s="769" t="s">
        <v>17</v>
      </c>
      <c r="S23" s="770">
        <f>F23</f>
        <v>100</v>
      </c>
      <c r="T23" s="769" t="s">
        <v>17</v>
      </c>
      <c r="U23" s="770">
        <f>H23</f>
        <v>100</v>
      </c>
      <c r="V23" s="769" t="s">
        <v>17</v>
      </c>
      <c r="W23" s="770">
        <f>J23</f>
        <v>100</v>
      </c>
      <c r="X23" s="1810"/>
      <c r="Y23" s="3216"/>
      <c r="Z23" s="1811">
        <f>Q23</f>
        <v>111</v>
      </c>
      <c r="AA23" s="1808">
        <f t="shared" si="3"/>
        <v>1</v>
      </c>
      <c r="AB23" s="1808">
        <f t="shared" si="4"/>
        <v>1</v>
      </c>
      <c r="AC23" s="1808">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6"/>
      <c r="Q24" s="1807">
        <f t="shared" ref="Q24:Q34" si="11">B24</f>
        <v>111</v>
      </c>
      <c r="R24" s="769" t="s">
        <v>17</v>
      </c>
      <c r="S24" s="770">
        <f>F24</f>
        <v>100</v>
      </c>
      <c r="T24" s="769" t="s">
        <v>17</v>
      </c>
      <c r="U24" s="770">
        <f>H24</f>
        <v>100</v>
      </c>
      <c r="V24" s="769" t="s">
        <v>17</v>
      </c>
      <c r="W24" s="770">
        <f>J24</f>
        <v>100</v>
      </c>
      <c r="X24" s="1810"/>
      <c r="Y24" s="3216"/>
      <c r="Z24" s="1811">
        <f>Q24</f>
        <v>111</v>
      </c>
      <c r="AA24" s="1808">
        <f t="shared" si="3"/>
        <v>1</v>
      </c>
      <c r="AB24" s="1808">
        <f t="shared" si="4"/>
        <v>1</v>
      </c>
      <c r="AC24" s="1808">
        <f t="shared" si="5"/>
        <v>1</v>
      </c>
    </row>
    <row r="25" spans="1:29" s="117" customFormat="1" ht="15.75" thickBot="1">
      <c r="A25" s="430"/>
      <c r="B25" s="2597">
        <v>111</v>
      </c>
      <c r="C25" s="2695"/>
      <c r="D25" s="662">
        <v>100</v>
      </c>
      <c r="E25" s="2695"/>
      <c r="F25" s="663">
        <f>SUMIF(75:75,E25,76:76)-SUMIF(75:75,C25,76:76)+100</f>
        <v>100</v>
      </c>
      <c r="G25" s="2695"/>
      <c r="H25" s="662">
        <f>SUMIF(75:75,G25,76:76)-SUMIF(75:75,C25,76:76)+100</f>
        <v>100</v>
      </c>
      <c r="I25" s="2695"/>
      <c r="J25" s="662">
        <f>SUMIF(75:75,I25,76:76)-SUMIF(75:75,C25,76:76)+100</f>
        <v>100</v>
      </c>
      <c r="K25" s="612"/>
      <c r="L25" s="1130"/>
      <c r="M25" s="1131"/>
      <c r="N25" s="1131"/>
      <c r="O25" s="1132"/>
      <c r="P25" s="3216"/>
      <c r="Q25" s="1792">
        <f t="shared" si="11"/>
        <v>111</v>
      </c>
      <c r="R25" s="765" t="s">
        <v>17</v>
      </c>
      <c r="S25" s="766">
        <f>F25</f>
        <v>100</v>
      </c>
      <c r="T25" s="765" t="s">
        <v>17</v>
      </c>
      <c r="U25" s="766">
        <f>H25</f>
        <v>100</v>
      </c>
      <c r="V25" s="765" t="s">
        <v>17</v>
      </c>
      <c r="W25" s="766">
        <f>J25</f>
        <v>100</v>
      </c>
      <c r="X25" s="767"/>
      <c r="Y25" s="3216"/>
      <c r="Z25" s="55">
        <f>Q25</f>
        <v>111</v>
      </c>
      <c r="AA25" s="1808">
        <f>D25/F25</f>
        <v>1</v>
      </c>
      <c r="AB25" s="1808">
        <f>D25/H25</f>
        <v>1</v>
      </c>
      <c r="AC25" s="1808">
        <f>D25/J25</f>
        <v>1</v>
      </c>
    </row>
    <row r="26" spans="1:29" ht="15">
      <c r="A26" s="465" t="s">
        <v>2562</v>
      </c>
      <c r="B26" s="71" t="s">
        <v>2713</v>
      </c>
      <c r="C26" s="2676"/>
      <c r="D26" s="466">
        <v>100</v>
      </c>
      <c r="E26" s="2676"/>
      <c r="F26" s="664">
        <f>SUMIF(77:77,E26,78:78)-SUMIF(77:77,C26,78:78)+100</f>
        <v>100</v>
      </c>
      <c r="G26" s="2676"/>
      <c r="H26" s="466">
        <f>SUMIF(77:77,G26,78:78)-SUMIF(77:77,C26,78:78)+100</f>
        <v>100</v>
      </c>
      <c r="I26" s="2676"/>
      <c r="J26" s="466">
        <f>SUMIF(77:77,I26,78:78)-SUMIF(77:77,C26,78:78)+100</f>
        <v>100</v>
      </c>
      <c r="K26" s="611"/>
      <c r="L26" s="1138"/>
      <c r="M26" s="1129"/>
      <c r="N26" s="1129"/>
      <c r="O26" s="1137"/>
      <c r="P26" s="3243" t="s">
        <v>2564</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220" t="s">
        <v>2564</v>
      </c>
      <c r="Z26" s="1811" t="str">
        <f t="shared" ref="Z26:Z34" si="15">Q26</f>
        <v>公共部分装修</v>
      </c>
      <c r="AA26" s="1808">
        <f t="shared" si="3"/>
        <v>1</v>
      </c>
      <c r="AB26" s="1808">
        <f t="shared" si="4"/>
        <v>1</v>
      </c>
      <c r="AC26" s="1808">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0"/>
      <c r="Q27" s="771" t="str">
        <f t="shared" si="11"/>
        <v>成新率</v>
      </c>
      <c r="R27" s="772" t="s">
        <v>17</v>
      </c>
      <c r="S27" s="773" t="e">
        <f t="shared" si="12"/>
        <v>#N/A</v>
      </c>
      <c r="T27" s="772" t="s">
        <v>17</v>
      </c>
      <c r="U27" s="773" t="e">
        <f t="shared" si="13"/>
        <v>#N/A</v>
      </c>
      <c r="V27" s="772" t="s">
        <v>17</v>
      </c>
      <c r="W27" s="773" t="e">
        <f t="shared" si="14"/>
        <v>#N/A</v>
      </c>
      <c r="X27" s="774"/>
      <c r="Y27" s="3220"/>
      <c r="Z27" s="775" t="str">
        <f t="shared" si="15"/>
        <v>成新率</v>
      </c>
      <c r="AA27" s="1808" t="e">
        <f t="shared" si="3"/>
        <v>#N/A</v>
      </c>
      <c r="AB27" s="1808" t="e">
        <f t="shared" si="4"/>
        <v>#N/A</v>
      </c>
      <c r="AC27" s="1808"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0"/>
      <c r="Q28" s="1807" t="str">
        <f t="shared" si="11"/>
        <v>物业等级</v>
      </c>
      <c r="R28" s="769" t="s">
        <v>17</v>
      </c>
      <c r="S28" s="770">
        <f t="shared" si="12"/>
        <v>100</v>
      </c>
      <c r="T28" s="769" t="s">
        <v>17</v>
      </c>
      <c r="U28" s="770">
        <f t="shared" si="13"/>
        <v>100</v>
      </c>
      <c r="V28" s="769" t="s">
        <v>17</v>
      </c>
      <c r="W28" s="770">
        <f t="shared" si="14"/>
        <v>100</v>
      </c>
      <c r="X28" s="1810"/>
      <c r="Y28" s="3220"/>
      <c r="Z28" s="1811" t="str">
        <f t="shared" si="15"/>
        <v>物业等级</v>
      </c>
      <c r="AA28" s="1808">
        <f t="shared" si="3"/>
        <v>1</v>
      </c>
      <c r="AB28" s="1808">
        <f t="shared" si="4"/>
        <v>1</v>
      </c>
      <c r="AC28" s="1808">
        <f t="shared" si="5"/>
        <v>1</v>
      </c>
    </row>
    <row r="29" spans="1:29" ht="15">
      <c r="A29" s="471"/>
      <c r="B29" s="421" t="s">
        <v>2736</v>
      </c>
      <c r="C29" s="654"/>
      <c r="D29" s="434">
        <v>100</v>
      </c>
      <c r="E29" s="654"/>
      <c r="F29" s="460">
        <f>SUMIF(84:84,E29,85:85)-SUMIF(84:84,C29,85:85)+100</f>
        <v>100</v>
      </c>
      <c r="G29" s="654"/>
      <c r="H29" s="434">
        <f>SUMIF(84:84,G29,85:85)-SUMIF(84:84,C29,85:85)+100</f>
        <v>100</v>
      </c>
      <c r="I29" s="654"/>
      <c r="J29" s="434">
        <f>SUMIF(84:84,I29,85:85)-SUMIF(84:84,C29,85:85)+100</f>
        <v>100</v>
      </c>
      <c r="K29" s="611"/>
      <c r="L29" s="1138"/>
      <c r="M29" s="1129"/>
      <c r="N29" s="1129"/>
      <c r="O29" s="1137"/>
      <c r="P29" s="3220"/>
      <c r="Q29" s="1807" t="str">
        <f t="shared" si="11"/>
        <v>有无电梯</v>
      </c>
      <c r="R29" s="769" t="s">
        <v>17</v>
      </c>
      <c r="S29" s="770">
        <f t="shared" si="12"/>
        <v>100</v>
      </c>
      <c r="T29" s="769" t="s">
        <v>17</v>
      </c>
      <c r="U29" s="770">
        <f t="shared" si="13"/>
        <v>100</v>
      </c>
      <c r="V29" s="769" t="s">
        <v>17</v>
      </c>
      <c r="W29" s="770">
        <f t="shared" si="14"/>
        <v>100</v>
      </c>
      <c r="X29" s="1810"/>
      <c r="Y29" s="3220"/>
      <c r="Z29" s="1811" t="str">
        <f t="shared" si="15"/>
        <v>有无电梯</v>
      </c>
      <c r="AA29" s="1808">
        <f t="shared" si="3"/>
        <v>1</v>
      </c>
      <c r="AB29" s="1808">
        <f t="shared" si="4"/>
        <v>1</v>
      </c>
      <c r="AC29" s="1808">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0"/>
      <c r="Q30" s="1807" t="str">
        <f t="shared" si="11"/>
        <v>建筑面积</v>
      </c>
      <c r="R30" s="769" t="s">
        <v>17</v>
      </c>
      <c r="S30" s="770" t="e">
        <f t="shared" si="12"/>
        <v>#N/A</v>
      </c>
      <c r="T30" s="769" t="s">
        <v>17</v>
      </c>
      <c r="U30" s="770" t="e">
        <f t="shared" si="13"/>
        <v>#N/A</v>
      </c>
      <c r="V30" s="769" t="s">
        <v>17</v>
      </c>
      <c r="W30" s="770" t="e">
        <f t="shared" si="14"/>
        <v>#N/A</v>
      </c>
      <c r="X30" s="1810"/>
      <c r="Y30" s="3220"/>
      <c r="Z30" s="1811" t="str">
        <f t="shared" si="15"/>
        <v>建筑面积</v>
      </c>
      <c r="AA30" s="1808" t="e">
        <f t="shared" si="3"/>
        <v>#N/A</v>
      </c>
      <c r="AB30" s="1808" t="e">
        <f t="shared" si="4"/>
        <v>#N/A</v>
      </c>
      <c r="AC30" s="1808" t="e">
        <f t="shared" si="5"/>
        <v>#N/A</v>
      </c>
    </row>
    <row r="31" spans="1:29" s="117" customFormat="1" ht="15">
      <c r="A31" s="472"/>
      <c r="B31" s="421" t="s">
        <v>2738</v>
      </c>
      <c r="C31" s="654"/>
      <c r="D31" s="135">
        <v>100</v>
      </c>
      <c r="E31" s="654"/>
      <c r="F31" s="460">
        <f>SUMIF(89:89,E31,90:90)-SUMIF(89:89,C31,90:90)+100</f>
        <v>100</v>
      </c>
      <c r="G31" s="654"/>
      <c r="H31" s="434">
        <f>SUMIF(89:89,G31,90:90)-SUMIF(89:89,C31,90:90)+100</f>
        <v>100</v>
      </c>
      <c r="I31" s="654"/>
      <c r="J31" s="434">
        <f>SUMIF(89:89,I31,90:90)-SUMIF(89:89,C31,90:90)+100</f>
        <v>100</v>
      </c>
      <c r="K31" s="611"/>
      <c r="L31" s="1130"/>
      <c r="M31" s="1131"/>
      <c r="N31" s="1131"/>
      <c r="O31" s="1132"/>
      <c r="P31" s="3220"/>
      <c r="Q31" s="1792" t="str">
        <f t="shared" si="11"/>
        <v>是否封闭</v>
      </c>
      <c r="R31" s="765" t="s">
        <v>17</v>
      </c>
      <c r="S31" s="766">
        <f t="shared" si="12"/>
        <v>100</v>
      </c>
      <c r="T31" s="765" t="s">
        <v>17</v>
      </c>
      <c r="U31" s="766">
        <f t="shared" si="13"/>
        <v>100</v>
      </c>
      <c r="V31" s="765" t="s">
        <v>17</v>
      </c>
      <c r="W31" s="766">
        <f t="shared" si="14"/>
        <v>100</v>
      </c>
      <c r="X31" s="767"/>
      <c r="Y31" s="3220"/>
      <c r="Z31" s="55" t="str">
        <f t="shared" si="15"/>
        <v>是否封闭</v>
      </c>
      <c r="AA31" s="768">
        <f t="shared" si="3"/>
        <v>1</v>
      </c>
      <c r="AB31" s="768">
        <f t="shared" si="4"/>
        <v>1</v>
      </c>
      <c r="AC31" s="768">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0" t="s">
        <v>2564</v>
      </c>
      <c r="Q32" s="1807">
        <f t="shared" si="11"/>
        <v>111</v>
      </c>
      <c r="R32" s="769" t="s">
        <v>17</v>
      </c>
      <c r="S32" s="770">
        <f t="shared" si="12"/>
        <v>100</v>
      </c>
      <c r="T32" s="769" t="s">
        <v>17</v>
      </c>
      <c r="U32" s="770">
        <f t="shared" si="13"/>
        <v>100</v>
      </c>
      <c r="V32" s="769" t="s">
        <v>17</v>
      </c>
      <c r="W32" s="770">
        <f t="shared" si="14"/>
        <v>100</v>
      </c>
      <c r="X32" s="1810"/>
      <c r="Y32" s="3220" t="s">
        <v>2564</v>
      </c>
      <c r="Z32" s="1811">
        <f t="shared" si="15"/>
        <v>111</v>
      </c>
      <c r="AA32" s="1808">
        <f t="shared" si="3"/>
        <v>1</v>
      </c>
      <c r="AB32" s="1808">
        <f t="shared" si="4"/>
        <v>1</v>
      </c>
      <c r="AC32" s="1808">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0"/>
      <c r="Q33" s="1807">
        <f t="shared" si="11"/>
        <v>111</v>
      </c>
      <c r="R33" s="769" t="s">
        <v>17</v>
      </c>
      <c r="S33" s="770">
        <f t="shared" si="12"/>
        <v>100</v>
      </c>
      <c r="T33" s="769" t="s">
        <v>17</v>
      </c>
      <c r="U33" s="770">
        <f t="shared" si="13"/>
        <v>100</v>
      </c>
      <c r="V33" s="769" t="s">
        <v>17</v>
      </c>
      <c r="W33" s="770">
        <f t="shared" si="14"/>
        <v>100</v>
      </c>
      <c r="X33" s="1810"/>
      <c r="Y33" s="3220"/>
      <c r="Z33" s="1811">
        <f t="shared" si="15"/>
        <v>111</v>
      </c>
      <c r="AA33" s="1808">
        <f t="shared" si="3"/>
        <v>1</v>
      </c>
      <c r="AB33" s="1808">
        <f t="shared" si="4"/>
        <v>1</v>
      </c>
      <c r="AC33" s="1808">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20"/>
      <c r="Q34" s="1807">
        <f t="shared" si="11"/>
        <v>111</v>
      </c>
      <c r="R34" s="769" t="s">
        <v>17</v>
      </c>
      <c r="S34" s="770">
        <f t="shared" si="12"/>
        <v>100</v>
      </c>
      <c r="T34" s="769" t="s">
        <v>17</v>
      </c>
      <c r="U34" s="770">
        <f t="shared" si="13"/>
        <v>100</v>
      </c>
      <c r="V34" s="769" t="s">
        <v>17</v>
      </c>
      <c r="W34" s="770">
        <f t="shared" si="14"/>
        <v>100</v>
      </c>
      <c r="X34" s="1810"/>
      <c r="Y34" s="3220"/>
      <c r="Z34" s="1811">
        <f t="shared" si="15"/>
        <v>111</v>
      </c>
      <c r="AA34" s="1808">
        <f t="shared" si="3"/>
        <v>1</v>
      </c>
      <c r="AB34" s="1808">
        <f t="shared" si="4"/>
        <v>1</v>
      </c>
      <c r="AC34" s="1808">
        <f t="shared" si="5"/>
        <v>1</v>
      </c>
    </row>
    <row r="35" spans="1:29" ht="15">
      <c r="A35" s="478" t="s">
        <v>2576</v>
      </c>
      <c r="B35" s="479"/>
      <c r="C35" s="1404" t="s">
        <v>1</v>
      </c>
      <c r="D35" s="1405"/>
      <c r="E35" s="1406"/>
      <c r="F35" s="1407"/>
      <c r="G35" s="1408"/>
      <c r="H35" s="1409"/>
      <c r="I35" s="1406"/>
      <c r="J35" s="1409"/>
      <c r="K35" s="778"/>
      <c r="L35" s="1141"/>
      <c r="M35" s="1142"/>
      <c r="N35" s="1129"/>
      <c r="O35" s="1142"/>
      <c r="P35" s="3213" t="str">
        <f>A35</f>
        <v>成交单价（元/平方米）</v>
      </c>
      <c r="Q35" s="3213"/>
      <c r="R35" s="3214">
        <f>E35</f>
        <v>0</v>
      </c>
      <c r="S35" s="3214"/>
      <c r="T35" s="3214">
        <f>G35</f>
        <v>0</v>
      </c>
      <c r="U35" s="3214"/>
      <c r="V35" s="3214">
        <f>I35</f>
        <v>0</v>
      </c>
      <c r="W35" s="3214"/>
      <c r="X35" s="754"/>
      <c r="Y35" s="776"/>
      <c r="Z35" s="754"/>
      <c r="AA35" s="754"/>
      <c r="AB35" s="754"/>
      <c r="AC35" s="754"/>
    </row>
    <row r="36" spans="1:29" ht="15.75" thickBot="1">
      <c r="A36" s="485" t="s">
        <v>2668</v>
      </c>
      <c r="B36" s="486"/>
      <c r="C36" s="1410" t="e">
        <f>R37</f>
        <v>#DIV/0!</v>
      </c>
      <c r="D36" s="1411"/>
      <c r="E36" s="1412" t="e">
        <f>R36</f>
        <v>#DIV/0!</v>
      </c>
      <c r="F36" s="1412"/>
      <c r="G36" s="1410" t="e">
        <f>T36</f>
        <v>#DIV/0!</v>
      </c>
      <c r="H36" s="1411"/>
      <c r="I36" s="1412" t="e">
        <f>V36</f>
        <v>#DIV/0!</v>
      </c>
      <c r="J36" s="1411"/>
      <c r="K36" s="779"/>
      <c r="L36" s="1141"/>
      <c r="M36" s="1142"/>
      <c r="N36" s="1129"/>
      <c r="O36" s="1142"/>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4"/>
      <c r="Y36" s="754"/>
      <c r="Z36" s="754"/>
      <c r="AA36" s="754"/>
      <c r="AB36" s="754"/>
      <c r="AC36" s="754"/>
    </row>
    <row r="37" spans="1:29" ht="15.75" thickBot="1">
      <c r="A37" s="491" t="s">
        <v>2669</v>
      </c>
      <c r="B37" s="492"/>
      <c r="C37" s="1414" t="e">
        <f>R37</f>
        <v>#DIV/0!</v>
      </c>
      <c r="D37" s="1414"/>
      <c r="E37" s="1414"/>
      <c r="F37" s="1414"/>
      <c r="G37" s="1414"/>
      <c r="H37" s="1414"/>
      <c r="I37" s="1414"/>
      <c r="J37" s="1414"/>
      <c r="K37" s="780"/>
      <c r="L37" s="1141"/>
      <c r="M37" s="1142"/>
      <c r="N37" s="1142"/>
      <c r="O37" s="1142"/>
      <c r="P37" s="3210" t="str">
        <f>A37</f>
        <v>估价对象XX用房的比较价值（楼面单价，元/平方米）</v>
      </c>
      <c r="Q37" s="3211"/>
      <c r="R37" s="3212" t="e">
        <f>IF(F1="售价",ROUND(AVERAGE(R36:V36),0),ROUND(AVERAGE(R36:V36),1))</f>
        <v>#DIV/0!</v>
      </c>
      <c r="S37" s="3212"/>
      <c r="T37" s="3212"/>
      <c r="U37" s="3212"/>
      <c r="V37" s="3212"/>
      <c r="W37" s="3212"/>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2673</v>
      </c>
      <c r="B45" s="754"/>
      <c r="C45" s="759"/>
      <c r="D45" s="759"/>
      <c r="E45" s="759"/>
      <c r="F45" s="760"/>
      <c r="G45" s="760"/>
      <c r="H45" s="759"/>
      <c r="I45" s="759"/>
      <c r="J45" s="759"/>
      <c r="K45" s="761"/>
      <c r="L45" s="762"/>
      <c r="M45" s="759"/>
      <c r="N45" s="759"/>
      <c r="O45" s="759"/>
      <c r="P45" s="502"/>
      <c r="Q45" s="503"/>
    </row>
    <row r="46" spans="1:29" s="507" customFormat="1" ht="15">
      <c r="A46" s="504" t="s">
        <v>2547</v>
      </c>
      <c r="B46" s="505"/>
      <c r="C46" s="1571" t="str">
        <f>YEAR(C7)&amp;"-"&amp;MONTH(C7)</f>
        <v>2018-9</v>
      </c>
      <c r="D46" s="1572">
        <f>EDATE(C46,-1)</f>
        <v>43313</v>
      </c>
      <c r="E46" s="1572">
        <f t="shared" ref="E46:O46" si="16">EDATE(D46,-1)</f>
        <v>43282</v>
      </c>
      <c r="F46" s="1572">
        <f t="shared" si="16"/>
        <v>43252</v>
      </c>
      <c r="G46" s="1572">
        <f t="shared" si="16"/>
        <v>43221</v>
      </c>
      <c r="H46" s="1572">
        <f t="shared" si="16"/>
        <v>43191</v>
      </c>
      <c r="I46" s="1572">
        <f t="shared" si="16"/>
        <v>43160</v>
      </c>
      <c r="J46" s="1572">
        <f t="shared" si="16"/>
        <v>43132</v>
      </c>
      <c r="K46" s="1572">
        <f t="shared" si="16"/>
        <v>43101</v>
      </c>
      <c r="L46" s="1572">
        <f t="shared" si="16"/>
        <v>43070</v>
      </c>
      <c r="M46" s="1572">
        <f t="shared" si="16"/>
        <v>43040</v>
      </c>
      <c r="N46" s="1572">
        <f t="shared" si="16"/>
        <v>43009</v>
      </c>
      <c r="O46" s="1572">
        <f t="shared" si="16"/>
        <v>42979</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49"/>
      <c r="O49" s="1149"/>
      <c r="P49" s="525"/>
      <c r="Q49" s="503"/>
    </row>
    <row r="50" spans="1:17" s="117" customFormat="1" ht="15.75" thickBot="1">
      <c r="A50" s="520"/>
      <c r="B50" s="509"/>
      <c r="C50" s="636">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7">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7" t="s">
        <v>2674</v>
      </c>
      <c r="D65" s="657" t="s">
        <v>2675</v>
      </c>
      <c r="E65" s="657" t="s">
        <v>2676</v>
      </c>
      <c r="F65" s="657" t="s">
        <v>2677</v>
      </c>
      <c r="G65" s="657" t="s">
        <v>2678</v>
      </c>
      <c r="H65" s="538"/>
      <c r="I65" s="538"/>
      <c r="J65" s="538"/>
      <c r="K65" s="538"/>
      <c r="L65" s="538"/>
      <c r="M65" s="1379"/>
      <c r="N65" s="1151"/>
      <c r="O65" s="1151"/>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2728</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7"/>
      <c r="J80" s="657"/>
      <c r="K80" s="665"/>
      <c r="L80" s="666"/>
      <c r="M80" s="667"/>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3">
        <f>B34</f>
        <v>111</v>
      </c>
      <c r="C95" s="548"/>
      <c r="D95" s="548"/>
      <c r="E95" s="548"/>
      <c r="F95" s="548"/>
      <c r="G95" s="553"/>
      <c r="H95" s="554"/>
      <c r="I95" s="554"/>
      <c r="J95" s="554"/>
      <c r="K95" s="554"/>
      <c r="L95" s="555"/>
      <c r="M95" s="556"/>
      <c r="N95" s="1151"/>
      <c r="O95" s="1151"/>
      <c r="P95" s="634"/>
      <c r="Q95" s="635"/>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7" sqref="C117:J11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2326</v>
      </c>
      <c r="B2" s="668">
        <f>F66</f>
        <v>835</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6"/>
    </row>
    <row r="3" spans="1:30" s="397" customFormat="1" ht="28.5" customHeight="1" thickBot="1">
      <c r="A3" s="246" t="s">
        <v>2328</v>
      </c>
      <c r="B3" s="608">
        <f>ROUND(IF(D3="",B2*10000/'数据-汇总表'!E3,B2*10000/D3),0)</f>
        <v>1055</v>
      </c>
      <c r="C3" s="246" t="s">
        <v>2745</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179" t="s">
        <v>2647</v>
      </c>
      <c r="AC4" s="3178" t="s">
        <v>2648</v>
      </c>
    </row>
    <row r="5" spans="1:30" ht="15">
      <c r="A5" s="403"/>
      <c r="B5" s="404"/>
      <c r="C5" s="3189" t="s">
        <v>2541</v>
      </c>
      <c r="D5" s="3190"/>
      <c r="E5" s="3224" t="s">
        <v>3125</v>
      </c>
      <c r="F5" s="3188"/>
      <c r="G5" s="3189" t="s">
        <v>2543</v>
      </c>
      <c r="H5" s="3190"/>
      <c r="I5" s="3189" t="s">
        <v>2544</v>
      </c>
      <c r="J5" s="3190"/>
      <c r="K5" s="609"/>
      <c r="L5" s="1128"/>
      <c r="M5" s="1129"/>
      <c r="N5" s="1129"/>
      <c r="O5" s="1129"/>
      <c r="P5" s="3202"/>
      <c r="Q5" s="3203"/>
      <c r="R5" s="3185"/>
      <c r="S5" s="3186"/>
      <c r="T5" s="3185"/>
      <c r="U5" s="3186"/>
      <c r="V5" s="3208"/>
      <c r="W5" s="3208"/>
      <c r="X5" s="1810"/>
      <c r="Y5" s="3185"/>
      <c r="Z5" s="3186"/>
      <c r="AA5" s="3179"/>
      <c r="AB5" s="3179"/>
      <c r="AC5" s="3179"/>
    </row>
    <row r="6" spans="1:30" ht="15.75" thickBot="1">
      <c r="A6" s="405"/>
      <c r="B6" s="406"/>
      <c r="C6" s="3191" t="s">
        <v>2545</v>
      </c>
      <c r="D6" s="3192"/>
      <c r="E6" s="3193" t="s">
        <v>2545</v>
      </c>
      <c r="F6" s="3194"/>
      <c r="G6" s="3191" t="s">
        <v>2545</v>
      </c>
      <c r="H6" s="3192"/>
      <c r="I6" s="3191" t="s">
        <v>2545</v>
      </c>
      <c r="J6" s="3192"/>
      <c r="K6" s="609" t="s">
        <v>2546</v>
      </c>
      <c r="L6" s="1128"/>
      <c r="M6" s="1129"/>
      <c r="N6" s="1129"/>
      <c r="O6" s="1129"/>
      <c r="P6" s="3204"/>
      <c r="Q6" s="3205"/>
      <c r="R6" s="3185"/>
      <c r="S6" s="3186"/>
      <c r="T6" s="3206"/>
      <c r="U6" s="3207"/>
      <c r="V6" s="3208"/>
      <c r="W6" s="3208"/>
      <c r="X6" s="1810"/>
      <c r="Y6" s="3206"/>
      <c r="Z6" s="3207"/>
      <c r="AA6" s="3180"/>
      <c r="AB6" s="3180"/>
      <c r="AC6" s="3180"/>
    </row>
    <row r="7" spans="1:30" s="117" customFormat="1" ht="15.75" thickBot="1">
      <c r="A7" s="407" t="s">
        <v>2547</v>
      </c>
      <c r="B7" s="408"/>
      <c r="C7" s="409">
        <f>'数据-取费表'!B2</f>
        <v>43346</v>
      </c>
      <c r="D7" s="410">
        <v>100</v>
      </c>
      <c r="E7" s="411">
        <v>43133</v>
      </c>
      <c r="F7" s="412">
        <f>SUMIF(70:70,YEAR(E7)&amp;"-"&amp;INT((MONTH(E7)+2)/3),71:71)</f>
        <v>99</v>
      </c>
      <c r="G7" s="411">
        <v>43133</v>
      </c>
      <c r="H7" s="410">
        <f>SUMIF(70:70,YEAR(G7)&amp;"-"&amp;INT((MONTH(G7)+2)/3),71:71)</f>
        <v>99</v>
      </c>
      <c r="I7" s="411">
        <v>43133</v>
      </c>
      <c r="J7" s="410">
        <f>SUMIF(70:70,YEAR(I7)&amp;"-"&amp;INT((MONTH(I7)+2)/3),71:71)</f>
        <v>99</v>
      </c>
      <c r="K7" s="610"/>
      <c r="L7" s="1130"/>
      <c r="M7" s="1131"/>
      <c r="N7" s="1131"/>
      <c r="O7" s="1131"/>
      <c r="P7" s="3181" t="s">
        <v>2548</v>
      </c>
      <c r="Q7" s="3209"/>
      <c r="R7" s="765" t="s">
        <v>17</v>
      </c>
      <c r="S7" s="766">
        <f t="shared" ref="S7:S15" si="0">F7</f>
        <v>99</v>
      </c>
      <c r="T7" s="765" t="s">
        <v>17</v>
      </c>
      <c r="U7" s="766">
        <f t="shared" ref="U7:U15" si="1">H7</f>
        <v>99</v>
      </c>
      <c r="V7" s="765" t="s">
        <v>17</v>
      </c>
      <c r="W7" s="766">
        <f t="shared" ref="W7:W15" si="2">J7</f>
        <v>99</v>
      </c>
      <c r="X7" s="767"/>
      <c r="Y7" s="3181" t="s">
        <v>2548</v>
      </c>
      <c r="Z7" s="3182"/>
      <c r="AA7" s="768">
        <f>D7/F7</f>
        <v>1.0101010101010102</v>
      </c>
      <c r="AB7" s="768">
        <f>D7/H7</f>
        <v>1.0101010101010102</v>
      </c>
      <c r="AC7" s="768">
        <f>D7/J7</f>
        <v>1.0101010101010102</v>
      </c>
    </row>
    <row r="8" spans="1:30" s="117" customFormat="1" ht="15.75" thickBot="1">
      <c r="A8" s="407" t="s">
        <v>2549</v>
      </c>
      <c r="B8" s="408"/>
      <c r="C8" s="413" t="s">
        <v>2550</v>
      </c>
      <c r="D8" s="410">
        <v>100</v>
      </c>
      <c r="E8" s="413" t="s">
        <v>3053</v>
      </c>
      <c r="F8" s="412">
        <f>SUMIF(73:73,E8,74:74)-SUMIF(73:73,C8,74:74)+100</f>
        <v>100</v>
      </c>
      <c r="G8" s="413" t="s">
        <v>3053</v>
      </c>
      <c r="H8" s="410">
        <f>SUMIF(73:73,G8,74:74)-SUMIF(73:73,C8,74:74)+100</f>
        <v>100</v>
      </c>
      <c r="I8" s="413" t="s">
        <v>3053</v>
      </c>
      <c r="J8" s="410">
        <f>SUMIF(73:73,I8,74:74)-SUMIF(73:73,C8,74:74)+100</f>
        <v>100</v>
      </c>
      <c r="K8" s="610"/>
      <c r="L8" s="1130"/>
      <c r="M8" s="1131"/>
      <c r="N8" s="1131"/>
      <c r="O8" s="1131"/>
      <c r="P8" s="3181" t="s">
        <v>2551</v>
      </c>
      <c r="Q8" s="3182"/>
      <c r="R8" s="765" t="s">
        <v>17</v>
      </c>
      <c r="S8" s="766">
        <f t="shared" si="0"/>
        <v>100</v>
      </c>
      <c r="T8" s="765" t="s">
        <v>17</v>
      </c>
      <c r="U8" s="766">
        <f t="shared" si="1"/>
        <v>100</v>
      </c>
      <c r="V8" s="765" t="s">
        <v>17</v>
      </c>
      <c r="W8" s="766">
        <f t="shared" si="2"/>
        <v>100</v>
      </c>
      <c r="X8" s="767"/>
      <c r="Y8" s="3181" t="s">
        <v>2551</v>
      </c>
      <c r="Z8" s="3182"/>
      <c r="AA8" s="768">
        <f t="shared" ref="AA8:AA45" si="3">D8/F8</f>
        <v>1</v>
      </c>
      <c r="AB8" s="768">
        <f t="shared" ref="AB8:AB45" si="4">D8/H8</f>
        <v>1</v>
      </c>
      <c r="AC8" s="768">
        <f t="shared" ref="AC8:AC45" si="5">D8/J8</f>
        <v>1</v>
      </c>
    </row>
    <row r="9" spans="1:30" s="117" customFormat="1">
      <c r="A9" s="414" t="s">
        <v>2552</v>
      </c>
      <c r="B9" s="71" t="s">
        <v>2553</v>
      </c>
      <c r="C9" s="2696" t="s">
        <v>1377</v>
      </c>
      <c r="D9" s="134">
        <v>100</v>
      </c>
      <c r="E9" s="2696" t="s">
        <v>1377</v>
      </c>
      <c r="F9" s="134">
        <f>SUMIF(75:75,E9,76:76)-SUMIF(75:75,C9,76:76)+100</f>
        <v>100</v>
      </c>
      <c r="G9" s="2696" t="s">
        <v>1377</v>
      </c>
      <c r="H9" s="134">
        <f>SUMIF(75:75,G9,76:76)-SUMIF(75:75,C9,76:76)+100</f>
        <v>100</v>
      </c>
      <c r="I9" s="2696" t="s">
        <v>1377</v>
      </c>
      <c r="J9" s="134">
        <f>SUMIF(75:75,I9,76:76)-SUMIF(75:75,C9,76:76)+100</f>
        <v>100</v>
      </c>
      <c r="K9" s="610"/>
      <c r="L9" s="1130"/>
      <c r="M9" s="1131"/>
      <c r="N9" s="1131"/>
      <c r="O9" s="1132"/>
      <c r="P9" s="3213"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768">
        <f t="shared" si="5"/>
        <v>1</v>
      </c>
    </row>
    <row r="10" spans="1:30" s="426" customFormat="1" ht="27">
      <c r="A10" s="420"/>
      <c r="B10" s="421" t="s">
        <v>2556</v>
      </c>
      <c r="C10" s="431">
        <f>项目基本情况!E15</f>
        <v>29.12</v>
      </c>
      <c r="D10" s="135">
        <v>100</v>
      </c>
      <c r="E10" s="464" t="s">
        <v>3135</v>
      </c>
      <c r="F10" s="135">
        <f>ROUND(100/'数据-取费表'!G16,0)</f>
        <v>115</v>
      </c>
      <c r="G10" s="464" t="s">
        <v>3135</v>
      </c>
      <c r="H10" s="135">
        <f>ROUND(100/'数据-取费表'!G16,0)</f>
        <v>115</v>
      </c>
      <c r="I10" s="464" t="s">
        <v>3135</v>
      </c>
      <c r="J10" s="135">
        <f>ROUND(100/'数据-取费表'!G16,0)</f>
        <v>115</v>
      </c>
      <c r="K10" s="669"/>
      <c r="L10" s="1133"/>
      <c r="M10" s="1134"/>
      <c r="N10" s="1134"/>
      <c r="O10" s="1135"/>
      <c r="P10" s="3213"/>
      <c r="Q10" s="1792" t="str">
        <f t="shared" si="6"/>
        <v>土地使用年限（年）</v>
      </c>
      <c r="R10" s="765" t="s">
        <v>17</v>
      </c>
      <c r="S10" s="766">
        <f t="shared" si="0"/>
        <v>115</v>
      </c>
      <c r="T10" s="765" t="s">
        <v>17</v>
      </c>
      <c r="U10" s="766">
        <f t="shared" si="1"/>
        <v>115</v>
      </c>
      <c r="V10" s="765" t="s">
        <v>17</v>
      </c>
      <c r="W10" s="766">
        <f t="shared" si="2"/>
        <v>115</v>
      </c>
      <c r="X10" s="767"/>
      <c r="Y10" s="3052"/>
      <c r="Z10" s="55" t="str">
        <f t="shared" si="7"/>
        <v>土地使用年限（年）</v>
      </c>
      <c r="AA10" s="768">
        <f t="shared" si="3"/>
        <v>0.86956521739130432</v>
      </c>
      <c r="AB10" s="768">
        <f t="shared" si="4"/>
        <v>0.86956521739130432</v>
      </c>
      <c r="AC10" s="768">
        <f t="shared" si="5"/>
        <v>0.86956521739130432</v>
      </c>
    </row>
    <row r="11" spans="1:30" ht="15">
      <c r="A11" s="427"/>
      <c r="B11" s="421" t="s">
        <v>2557</v>
      </c>
      <c r="C11" s="428"/>
      <c r="D11" s="135">
        <v>100</v>
      </c>
      <c r="E11" s="428">
        <v>3.5</v>
      </c>
      <c r="F11" s="135">
        <f>LOOKUP(E11,80:80,81:81)-LOOKUP(C11,80:80,81:81)+100</f>
        <v>100</v>
      </c>
      <c r="G11" s="428">
        <v>3.5</v>
      </c>
      <c r="H11" s="135">
        <f>LOOKUP(G11,80:80,81:81)-LOOKUP(C11,80:80,81:81)+100</f>
        <v>100</v>
      </c>
      <c r="I11" s="428">
        <v>3.5</v>
      </c>
      <c r="J11" s="135">
        <f>LOOKUP(I11,80:80,81:81)-LOOKUP(C11,80:80,81:81)+100</f>
        <v>100</v>
      </c>
      <c r="K11" s="670"/>
      <c r="L11" s="1136"/>
      <c r="M11" s="1129"/>
      <c r="N11" s="1129"/>
      <c r="O11" s="1137"/>
      <c r="P11" s="3213"/>
      <c r="Q11" s="1792" t="str">
        <f t="shared" si="6"/>
        <v>容积率</v>
      </c>
      <c r="R11" s="765" t="s">
        <v>17</v>
      </c>
      <c r="S11" s="766">
        <f t="shared" si="0"/>
        <v>100</v>
      </c>
      <c r="T11" s="765" t="s">
        <v>17</v>
      </c>
      <c r="U11" s="766">
        <f t="shared" si="1"/>
        <v>100</v>
      </c>
      <c r="V11" s="765" t="s">
        <v>17</v>
      </c>
      <c r="W11" s="766">
        <f t="shared" si="2"/>
        <v>100</v>
      </c>
      <c r="X11" s="767"/>
      <c r="Y11" s="3052"/>
      <c r="Z11" s="55" t="str">
        <f t="shared" si="7"/>
        <v>容积率</v>
      </c>
      <c r="AA11" s="768">
        <f t="shared" si="3"/>
        <v>1</v>
      </c>
      <c r="AB11" s="768">
        <f t="shared" si="4"/>
        <v>1</v>
      </c>
      <c r="AC11" s="768">
        <f t="shared" si="5"/>
        <v>1</v>
      </c>
    </row>
    <row r="12" spans="1:30" s="117" customFormat="1" ht="15">
      <c r="A12" s="430"/>
      <c r="B12" s="2597" t="s">
        <v>2746</v>
      </c>
      <c r="C12" s="431"/>
      <c r="D12" s="432">
        <v>100</v>
      </c>
      <c r="E12" s="464"/>
      <c r="F12" s="135">
        <f>SUMIF(82:82,E12,83:83)-SUMIF(82:82,C12,83:83)+100</f>
        <v>100</v>
      </c>
      <c r="G12" s="462"/>
      <c r="H12" s="135">
        <f>SUMIF(82:82,G12,83:83)-SUMIF(82:82,C12,83:83)+100</f>
        <v>100</v>
      </c>
      <c r="I12" s="464"/>
      <c r="J12" s="135">
        <f>SUMIF(82:82,I12,83:83)-SUMIF(82:82,C12,83:83)+100</f>
        <v>100</v>
      </c>
      <c r="K12" s="669"/>
      <c r="L12" s="1130"/>
      <c r="M12" s="1131"/>
      <c r="N12" s="1131"/>
      <c r="O12" s="1132"/>
      <c r="P12" s="3213"/>
      <c r="Q12" s="1792" t="str">
        <f t="shared" si="6"/>
        <v>配建</v>
      </c>
      <c r="R12" s="765" t="s">
        <v>17</v>
      </c>
      <c r="S12" s="766">
        <f t="shared" si="0"/>
        <v>100</v>
      </c>
      <c r="T12" s="765" t="s">
        <v>17</v>
      </c>
      <c r="U12" s="766">
        <f t="shared" si="1"/>
        <v>100</v>
      </c>
      <c r="V12" s="765" t="s">
        <v>17</v>
      </c>
      <c r="W12" s="766">
        <f t="shared" si="2"/>
        <v>100</v>
      </c>
      <c r="X12" s="767"/>
      <c r="Y12" s="3052"/>
      <c r="Z12" s="55" t="str">
        <f t="shared" si="7"/>
        <v>配建</v>
      </c>
      <c r="AA12" s="768">
        <f>D12/F12</f>
        <v>1</v>
      </c>
      <c r="AB12" s="768">
        <f>D12/H12</f>
        <v>1</v>
      </c>
      <c r="AC12" s="768">
        <f>D12/J12</f>
        <v>1</v>
      </c>
    </row>
    <row r="13" spans="1:30" ht="15">
      <c r="A13" s="427"/>
      <c r="B13" s="2597">
        <v>111</v>
      </c>
      <c r="C13" s="433"/>
      <c r="D13" s="434">
        <v>100</v>
      </c>
      <c r="E13" s="548"/>
      <c r="F13" s="135">
        <f>SUMIF(84:84,E13,85:85)-SUMIF(84:84,C13,85:85)+100</f>
        <v>100</v>
      </c>
      <c r="G13" s="671"/>
      <c r="H13" s="434">
        <f>SUMIF(84:84,G13,85:85)-SUMIF(84:84,C13,85:85)+100</f>
        <v>100</v>
      </c>
      <c r="I13" s="671"/>
      <c r="J13" s="434">
        <f>SUMIF(84:84,I13,85:85)-SUMIF(84:84,C13,85:85)+100</f>
        <v>100</v>
      </c>
      <c r="K13" s="669"/>
      <c r="L13" s="1138"/>
      <c r="M13" s="1129"/>
      <c r="N13" s="1129"/>
      <c r="O13" s="1137"/>
      <c r="P13" s="3213"/>
      <c r="Q13" s="1792">
        <f t="shared" si="6"/>
        <v>111</v>
      </c>
      <c r="R13" s="765" t="s">
        <v>17</v>
      </c>
      <c r="S13" s="766">
        <f t="shared" si="0"/>
        <v>100</v>
      </c>
      <c r="T13" s="765" t="s">
        <v>17</v>
      </c>
      <c r="U13" s="766">
        <f t="shared" si="1"/>
        <v>100</v>
      </c>
      <c r="V13" s="765" t="s">
        <v>17</v>
      </c>
      <c r="W13" s="766">
        <f t="shared" si="2"/>
        <v>100</v>
      </c>
      <c r="X13" s="767"/>
      <c r="Y13" s="3052"/>
      <c r="Z13" s="55">
        <f t="shared" si="7"/>
        <v>111</v>
      </c>
      <c r="AA13" s="768">
        <f>D13/F13</f>
        <v>1</v>
      </c>
      <c r="AB13" s="768">
        <f>D13/H13</f>
        <v>1</v>
      </c>
      <c r="AC13" s="768">
        <f>D13/J13</f>
        <v>1</v>
      </c>
    </row>
    <row r="14" spans="1:30" ht="15.75" thickBot="1">
      <c r="A14" s="435"/>
      <c r="B14" s="2599">
        <v>111</v>
      </c>
      <c r="C14" s="436"/>
      <c r="D14" s="437">
        <v>100</v>
      </c>
      <c r="E14" s="548"/>
      <c r="F14" s="437">
        <f>SUMIF(86:86,E14,87:87)-SUMIF(86:86,C14,87:87)+100</f>
        <v>100</v>
      </c>
      <c r="G14" s="671"/>
      <c r="H14" s="437">
        <f>SUMIF(86:86,G14,87:87)-SUMIF(86:86,C14,87:87)+100</f>
        <v>100</v>
      </c>
      <c r="I14" s="671"/>
      <c r="J14" s="437">
        <f>SUMIF(86:86,I14,87:87)-SUMIF(86:86,C14,87:87)+100</f>
        <v>100</v>
      </c>
      <c r="K14" s="669"/>
      <c r="L14" s="1138"/>
      <c r="M14" s="1129"/>
      <c r="N14" s="1129"/>
      <c r="O14" s="1137"/>
      <c r="P14" s="3213"/>
      <c r="Q14" s="1792">
        <f t="shared" si="6"/>
        <v>111</v>
      </c>
      <c r="R14" s="765" t="s">
        <v>17</v>
      </c>
      <c r="S14" s="766">
        <f t="shared" si="0"/>
        <v>100</v>
      </c>
      <c r="T14" s="765" t="s">
        <v>17</v>
      </c>
      <c r="U14" s="766">
        <f t="shared" si="1"/>
        <v>100</v>
      </c>
      <c r="V14" s="765" t="s">
        <v>17</v>
      </c>
      <c r="W14" s="766">
        <f t="shared" si="2"/>
        <v>100</v>
      </c>
      <c r="X14" s="767"/>
      <c r="Y14" s="3052"/>
      <c r="Z14" s="55">
        <f t="shared" si="7"/>
        <v>111</v>
      </c>
      <c r="AA14" s="768">
        <f>D14/F14</f>
        <v>1</v>
      </c>
      <c r="AB14" s="768">
        <f>D14/H14</f>
        <v>1</v>
      </c>
      <c r="AC14" s="768">
        <f>D14/J14</f>
        <v>1</v>
      </c>
    </row>
    <row r="15" spans="1:30" ht="99.75">
      <c r="A15" s="439" t="s">
        <v>2558</v>
      </c>
      <c r="B15" s="69" t="s">
        <v>2086</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38"/>
      <c r="M15" s="1129"/>
      <c r="N15" s="1129"/>
      <c r="O15" s="1137"/>
      <c r="P15" s="3215" t="s">
        <v>2559</v>
      </c>
      <c r="Q15" s="1807" t="str">
        <f t="shared" si="6"/>
        <v>居住社区成熟度</v>
      </c>
      <c r="R15" s="769" t="s">
        <v>17</v>
      </c>
      <c r="S15" s="770">
        <f t="shared" si="0"/>
        <v>100</v>
      </c>
      <c r="T15" s="769" t="s">
        <v>17</v>
      </c>
      <c r="U15" s="770">
        <f t="shared" si="1"/>
        <v>100</v>
      </c>
      <c r="V15" s="769" t="s">
        <v>17</v>
      </c>
      <c r="W15" s="770">
        <f t="shared" si="2"/>
        <v>100</v>
      </c>
      <c r="X15" s="1810"/>
      <c r="Y15" s="3215" t="s">
        <v>2559</v>
      </c>
      <c r="Z15" s="1811" t="str">
        <f t="shared" si="7"/>
        <v>居住社区成熟度</v>
      </c>
      <c r="AA15" s="1808">
        <f t="shared" si="3"/>
        <v>1</v>
      </c>
      <c r="AB15" s="1808">
        <f t="shared" si="4"/>
        <v>1</v>
      </c>
      <c r="AC15" s="1808">
        <f t="shared" si="5"/>
        <v>1</v>
      </c>
    </row>
    <row r="16" spans="1:30" ht="15">
      <c r="A16" s="427"/>
      <c r="B16" s="445"/>
      <c r="C16" s="446"/>
      <c r="D16" s="447"/>
      <c r="E16" s="2602"/>
      <c r="F16" s="447"/>
      <c r="G16" s="2602"/>
      <c r="H16" s="449"/>
      <c r="I16" s="2601"/>
      <c r="J16" s="447"/>
      <c r="K16" s="669"/>
      <c r="L16" s="1138"/>
      <c r="M16" s="1129"/>
      <c r="N16" s="1129"/>
      <c r="O16" s="1137"/>
      <c r="P16" s="3216"/>
      <c r="Q16" s="1807"/>
      <c r="R16" s="769"/>
      <c r="S16" s="770"/>
      <c r="T16" s="769"/>
      <c r="U16" s="770"/>
      <c r="V16" s="769"/>
      <c r="W16" s="770"/>
      <c r="X16" s="1810"/>
      <c r="Y16" s="3216"/>
      <c r="Z16" s="1811"/>
      <c r="AA16" s="1808">
        <v>1</v>
      </c>
      <c r="AB16" s="1808">
        <v>1</v>
      </c>
      <c r="AC16" s="1808">
        <v>1</v>
      </c>
    </row>
    <row r="17" spans="1:29" ht="71.25">
      <c r="A17" s="427"/>
      <c r="B17" s="450" t="s">
        <v>2652</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1"/>
      <c r="J17" s="454">
        <f>SUMIF(90:90,I18,91:91)-SUMIF(90:90,C18,91:91)+100</f>
        <v>100</v>
      </c>
      <c r="K17" s="670"/>
      <c r="L17" s="1138"/>
      <c r="M17" s="1129"/>
      <c r="N17" s="1129"/>
      <c r="O17" s="1137"/>
      <c r="P17" s="3216"/>
      <c r="Q17" s="1807" t="str">
        <f>B17</f>
        <v>商业繁华度</v>
      </c>
      <c r="R17" s="769" t="s">
        <v>17</v>
      </c>
      <c r="S17" s="770">
        <f>F17</f>
        <v>100</v>
      </c>
      <c r="T17" s="769" t="s">
        <v>17</v>
      </c>
      <c r="U17" s="770">
        <f>H17</f>
        <v>100</v>
      </c>
      <c r="V17" s="769" t="s">
        <v>17</v>
      </c>
      <c r="W17" s="770">
        <f>J17</f>
        <v>100</v>
      </c>
      <c r="X17" s="1810"/>
      <c r="Y17" s="3216"/>
      <c r="Z17" s="1811" t="str">
        <f>Q17</f>
        <v>商业繁华度</v>
      </c>
      <c r="AA17" s="1808">
        <f t="shared" si="3"/>
        <v>1</v>
      </c>
      <c r="AB17" s="1808">
        <f t="shared" si="4"/>
        <v>1</v>
      </c>
      <c r="AC17" s="1808">
        <f t="shared" si="5"/>
        <v>1</v>
      </c>
    </row>
    <row r="18" spans="1:29" ht="15">
      <c r="A18" s="427"/>
      <c r="B18" s="455"/>
      <c r="C18" s="2605" t="s">
        <v>3092</v>
      </c>
      <c r="D18" s="449"/>
      <c r="E18" s="2607" t="s">
        <v>3092</v>
      </c>
      <c r="F18" s="449"/>
      <c r="G18" s="2607" t="s">
        <v>3092</v>
      </c>
      <c r="H18" s="447"/>
      <c r="I18" s="2607" t="s">
        <v>3092</v>
      </c>
      <c r="J18" s="447"/>
      <c r="K18" s="669"/>
      <c r="L18" s="1138"/>
      <c r="M18" s="1129"/>
      <c r="N18" s="1129"/>
      <c r="O18" s="1137"/>
      <c r="P18" s="3216"/>
      <c r="Q18" s="1807"/>
      <c r="R18" s="769"/>
      <c r="S18" s="770"/>
      <c r="T18" s="769"/>
      <c r="U18" s="770"/>
      <c r="V18" s="769"/>
      <c r="W18" s="770"/>
      <c r="X18" s="1810"/>
      <c r="Y18" s="3216"/>
      <c r="Z18" s="1811"/>
      <c r="AA18" s="1808">
        <v>1</v>
      </c>
      <c r="AB18" s="1808">
        <v>1</v>
      </c>
      <c r="AC18" s="1808">
        <v>1</v>
      </c>
    </row>
    <row r="19" spans="1:29" ht="71.25">
      <c r="A19" s="427"/>
      <c r="B19" s="450" t="s">
        <v>2686</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0"/>
      <c r="L19" s="1138"/>
      <c r="M19" s="1129"/>
      <c r="N19" s="1129"/>
      <c r="O19" s="1137"/>
      <c r="P19" s="3216"/>
      <c r="Q19" s="1807" t="str">
        <f>B19</f>
        <v>办公集聚程度</v>
      </c>
      <c r="R19" s="769" t="s">
        <v>17</v>
      </c>
      <c r="S19" s="770">
        <f>F19</f>
        <v>100</v>
      </c>
      <c r="T19" s="769" t="s">
        <v>17</v>
      </c>
      <c r="U19" s="770">
        <f>H19</f>
        <v>100</v>
      </c>
      <c r="V19" s="769" t="s">
        <v>17</v>
      </c>
      <c r="W19" s="770">
        <f>J19</f>
        <v>100</v>
      </c>
      <c r="X19" s="1810"/>
      <c r="Y19" s="3216"/>
      <c r="Z19" s="1811" t="str">
        <f>Q19</f>
        <v>办公集聚程度</v>
      </c>
      <c r="AA19" s="1808">
        <f t="shared" si="3"/>
        <v>1</v>
      </c>
      <c r="AB19" s="1808">
        <f t="shared" si="4"/>
        <v>1</v>
      </c>
      <c r="AC19" s="1808">
        <f t="shared" si="5"/>
        <v>1</v>
      </c>
    </row>
    <row r="20" spans="1:29" ht="15">
      <c r="A20" s="427"/>
      <c r="B20" s="455"/>
      <c r="C20" s="446"/>
      <c r="D20" s="447"/>
      <c r="E20" s="2602"/>
      <c r="F20" s="447"/>
      <c r="G20" s="2602"/>
      <c r="H20" s="447"/>
      <c r="I20" s="2602"/>
      <c r="J20" s="447"/>
      <c r="K20" s="669"/>
      <c r="L20" s="1138"/>
      <c r="M20" s="1129"/>
      <c r="N20" s="1129"/>
      <c r="O20" s="1137"/>
      <c r="P20" s="3216"/>
      <c r="Q20" s="1807"/>
      <c r="R20" s="769"/>
      <c r="S20" s="770"/>
      <c r="T20" s="769"/>
      <c r="U20" s="770"/>
      <c r="V20" s="769"/>
      <c r="W20" s="770"/>
      <c r="X20" s="1810"/>
      <c r="Y20" s="3216"/>
      <c r="Z20" s="1811"/>
      <c r="AA20" s="1808">
        <v>1</v>
      </c>
      <c r="AB20" s="1808">
        <v>1</v>
      </c>
      <c r="AC20" s="1808">
        <v>1</v>
      </c>
    </row>
    <row r="21" spans="1:29" ht="85.5">
      <c r="A21" s="427"/>
      <c r="B21" s="450" t="s">
        <v>2708</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1"/>
      <c r="J21" s="449">
        <f>SUMIF(94:94,I22,95:95)-SUMIF(94:94,C22,95:95)+100</f>
        <v>100</v>
      </c>
      <c r="K21" s="670"/>
      <c r="L21" s="1138"/>
      <c r="M21" s="1129"/>
      <c r="N21" s="1129"/>
      <c r="O21" s="1137"/>
      <c r="P21" s="3216"/>
      <c r="Q21" s="1807" t="str">
        <f>B21</f>
        <v>交通便捷度</v>
      </c>
      <c r="R21" s="769" t="s">
        <v>17</v>
      </c>
      <c r="S21" s="770">
        <f>F21</f>
        <v>100</v>
      </c>
      <c r="T21" s="769" t="s">
        <v>17</v>
      </c>
      <c r="U21" s="770">
        <f>H21</f>
        <v>100</v>
      </c>
      <c r="V21" s="769" t="s">
        <v>17</v>
      </c>
      <c r="W21" s="770">
        <f>J21</f>
        <v>100</v>
      </c>
      <c r="X21" s="1810"/>
      <c r="Y21" s="3216"/>
      <c r="Z21" s="1811" t="str">
        <f>Q21</f>
        <v>交通便捷度</v>
      </c>
      <c r="AA21" s="1808">
        <f t="shared" si="3"/>
        <v>1</v>
      </c>
      <c r="AB21" s="1808">
        <f t="shared" si="4"/>
        <v>1</v>
      </c>
      <c r="AC21" s="1808">
        <f t="shared" si="5"/>
        <v>1</v>
      </c>
    </row>
    <row r="22" spans="1:29" ht="15">
      <c r="A22" s="427"/>
      <c r="B22" s="1381"/>
      <c r="C22" s="446" t="s">
        <v>3092</v>
      </c>
      <c r="D22" s="449"/>
      <c r="E22" s="2602" t="s">
        <v>3092</v>
      </c>
      <c r="F22" s="447"/>
      <c r="G22" s="2602" t="s">
        <v>3092</v>
      </c>
      <c r="H22" s="447"/>
      <c r="I22" s="2602" t="s">
        <v>3092</v>
      </c>
      <c r="J22" s="447"/>
      <c r="K22" s="669"/>
      <c r="L22" s="1138"/>
      <c r="M22" s="1129"/>
      <c r="N22" s="1129"/>
      <c r="O22" s="1137"/>
      <c r="P22" s="3216"/>
      <c r="Q22" s="1807"/>
      <c r="R22" s="769"/>
      <c r="S22" s="770"/>
      <c r="T22" s="769"/>
      <c r="U22" s="770"/>
      <c r="V22" s="769"/>
      <c r="W22" s="770"/>
      <c r="X22" s="1810"/>
      <c r="Y22" s="3216"/>
      <c r="Z22" s="1811"/>
      <c r="AA22" s="1808">
        <v>1</v>
      </c>
      <c r="AB22" s="1808">
        <v>1</v>
      </c>
      <c r="AC22" s="1808">
        <v>1</v>
      </c>
    </row>
    <row r="23" spans="1:29" ht="15">
      <c r="A23" s="403"/>
      <c r="B23" s="450" t="s">
        <v>2747</v>
      </c>
      <c r="C23" s="1386">
        <f>估价对象房地状况!C19</f>
        <v>0</v>
      </c>
      <c r="D23" s="454">
        <v>100</v>
      </c>
      <c r="E23" s="451"/>
      <c r="F23" s="454">
        <f>SUMIF(96:96,E24,97:97)-SUMIF(96:96,C24,97:97)+100</f>
        <v>100</v>
      </c>
      <c r="G23" s="451"/>
      <c r="H23" s="454">
        <f>SUMIF(96:96,G24,97:97)-SUMIF(96:96,C24,97:97)+100</f>
        <v>100</v>
      </c>
      <c r="I23" s="451"/>
      <c r="J23" s="454">
        <f>SUMIF(96:96,I24,97:97)-SUMIF(96:96,C24,97:97)+100</f>
        <v>100</v>
      </c>
      <c r="K23" s="670"/>
      <c r="L23" s="1138"/>
      <c r="M23" s="1129"/>
      <c r="N23" s="1129"/>
      <c r="O23" s="1137"/>
      <c r="P23" s="3216"/>
      <c r="Q23" s="1807" t="str">
        <f t="shared" ref="Q23:Q37" si="8">B23</f>
        <v>区域土地利用方向</v>
      </c>
      <c r="R23" s="769" t="s">
        <v>17</v>
      </c>
      <c r="S23" s="770">
        <f>F23</f>
        <v>100</v>
      </c>
      <c r="T23" s="769" t="s">
        <v>17</v>
      </c>
      <c r="U23" s="770">
        <f>H23</f>
        <v>100</v>
      </c>
      <c r="V23" s="769" t="s">
        <v>17</v>
      </c>
      <c r="W23" s="770">
        <f>J23</f>
        <v>100</v>
      </c>
      <c r="X23" s="1810"/>
      <c r="Y23" s="3216"/>
      <c r="Z23" s="1811" t="str">
        <f>Q23</f>
        <v>区域土地利用方向</v>
      </c>
      <c r="AA23" s="1808">
        <f t="shared" si="3"/>
        <v>1</v>
      </c>
      <c r="AB23" s="1808">
        <f t="shared" si="4"/>
        <v>1</v>
      </c>
      <c r="AC23" s="1808">
        <f t="shared" si="5"/>
        <v>1</v>
      </c>
    </row>
    <row r="24" spans="1:29" ht="15">
      <c r="A24" s="403"/>
      <c r="B24" s="455"/>
      <c r="C24" s="615" t="s">
        <v>3091</v>
      </c>
      <c r="D24" s="447"/>
      <c r="E24" s="2602" t="s">
        <v>3091</v>
      </c>
      <c r="F24" s="447"/>
      <c r="G24" s="2602" t="s">
        <v>3091</v>
      </c>
      <c r="H24" s="447"/>
      <c r="I24" s="2602" t="s">
        <v>3091</v>
      </c>
      <c r="J24" s="447"/>
      <c r="K24" s="807"/>
      <c r="L24" s="1138"/>
      <c r="M24" s="1129"/>
      <c r="N24" s="1129"/>
      <c r="O24" s="1137"/>
      <c r="P24" s="3216"/>
      <c r="Q24" s="1807"/>
      <c r="R24" s="769"/>
      <c r="S24" s="770"/>
      <c r="T24" s="769"/>
      <c r="U24" s="770"/>
      <c r="V24" s="769"/>
      <c r="W24" s="770"/>
      <c r="X24" s="1810"/>
      <c r="Y24" s="3216"/>
      <c r="Z24" s="1811"/>
      <c r="AA24" s="1808"/>
      <c r="AB24" s="1808"/>
      <c r="AC24" s="1808"/>
    </row>
    <row r="25" spans="1:29" ht="57">
      <c r="A25" s="403"/>
      <c r="B25" s="1381" t="s">
        <v>2748</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1"/>
      <c r="J25" s="449">
        <f>SUMIF(98:98,I26,99:99)-SUMIF(98:98,C26,99:99)+100</f>
        <v>100</v>
      </c>
      <c r="K25" s="670"/>
      <c r="L25" s="1138"/>
      <c r="M25" s="1129"/>
      <c r="N25" s="1129"/>
      <c r="O25" s="1137"/>
      <c r="P25" s="3216"/>
      <c r="Q25" s="1807" t="str">
        <f t="shared" si="8"/>
        <v>自然及人文环境状况</v>
      </c>
      <c r="R25" s="769" t="s">
        <v>17</v>
      </c>
      <c r="S25" s="770">
        <f>F25</f>
        <v>100</v>
      </c>
      <c r="T25" s="769" t="s">
        <v>17</v>
      </c>
      <c r="U25" s="770">
        <f>H25</f>
        <v>100</v>
      </c>
      <c r="V25" s="769" t="s">
        <v>17</v>
      </c>
      <c r="W25" s="770">
        <f>J25</f>
        <v>100</v>
      </c>
      <c r="X25" s="1810"/>
      <c r="Y25" s="3216"/>
      <c r="Z25" s="1811" t="str">
        <f>Q25</f>
        <v>自然及人文环境状况</v>
      </c>
      <c r="AA25" s="1808">
        <f t="shared" si="3"/>
        <v>1</v>
      </c>
      <c r="AB25" s="1808">
        <f t="shared" si="4"/>
        <v>1</v>
      </c>
      <c r="AC25" s="1808">
        <f t="shared" si="5"/>
        <v>1</v>
      </c>
    </row>
    <row r="26" spans="1:29" ht="15">
      <c r="A26" s="403"/>
      <c r="B26" s="455"/>
      <c r="C26" s="446" t="s">
        <v>3092</v>
      </c>
      <c r="D26" s="447"/>
      <c r="E26" s="2608" t="s">
        <v>3092</v>
      </c>
      <c r="F26" s="447"/>
      <c r="G26" s="2608" t="s">
        <v>3092</v>
      </c>
      <c r="H26" s="447"/>
      <c r="I26" s="2608" t="s">
        <v>3092</v>
      </c>
      <c r="J26" s="447"/>
      <c r="K26" s="669"/>
      <c r="L26" s="1138"/>
      <c r="M26" s="1129"/>
      <c r="N26" s="1129"/>
      <c r="O26" s="1137"/>
      <c r="P26" s="3216"/>
      <c r="Q26" s="1807"/>
      <c r="R26" s="769"/>
      <c r="S26" s="770"/>
      <c r="T26" s="769"/>
      <c r="U26" s="770"/>
      <c r="V26" s="769"/>
      <c r="W26" s="770"/>
      <c r="X26" s="1810"/>
      <c r="Y26" s="3216"/>
      <c r="Z26" s="1811"/>
      <c r="AA26" s="1808">
        <v>1</v>
      </c>
      <c r="AB26" s="1808">
        <v>1</v>
      </c>
      <c r="AC26" s="1808">
        <v>1</v>
      </c>
    </row>
    <row r="27" spans="1:29" s="117" customFormat="1" ht="42.75">
      <c r="A27" s="646"/>
      <c r="B27" s="1381" t="s">
        <v>2653</v>
      </c>
      <c r="C27" s="260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1"/>
      <c r="J27" s="449">
        <f>SUMIF(100:100,I28,101:101)-SUMIF(100:100,C28,101:101)+100</f>
        <v>100</v>
      </c>
      <c r="K27" s="670"/>
      <c r="L27" s="1130"/>
      <c r="M27" s="1131"/>
      <c r="N27" s="1131"/>
      <c r="O27" s="1132"/>
      <c r="P27" s="3216"/>
      <c r="Q27" s="1792" t="str">
        <f t="shared" si="8"/>
        <v>公共配套设施</v>
      </c>
      <c r="R27" s="765" t="s">
        <v>17</v>
      </c>
      <c r="S27" s="766">
        <f>F27</f>
        <v>100</v>
      </c>
      <c r="T27" s="765" t="s">
        <v>17</v>
      </c>
      <c r="U27" s="766">
        <f>H27</f>
        <v>100</v>
      </c>
      <c r="V27" s="765" t="s">
        <v>17</v>
      </c>
      <c r="W27" s="766">
        <f>J27</f>
        <v>100</v>
      </c>
      <c r="X27" s="767"/>
      <c r="Y27" s="3216"/>
      <c r="Z27" s="55" t="str">
        <f>Q27</f>
        <v>公共配套设施</v>
      </c>
      <c r="AA27" s="1808">
        <f>D27/F27</f>
        <v>1</v>
      </c>
      <c r="AB27" s="1808">
        <f>D27/H27</f>
        <v>1</v>
      </c>
      <c r="AC27" s="1808">
        <f>D27/J27</f>
        <v>1</v>
      </c>
    </row>
    <row r="28" spans="1:29" s="117" customFormat="1" ht="15">
      <c r="A28" s="646"/>
      <c r="B28" s="455"/>
      <c r="C28" s="2697" t="s">
        <v>3092</v>
      </c>
      <c r="D28" s="447"/>
      <c r="E28" s="2608" t="s">
        <v>3092</v>
      </c>
      <c r="F28" s="447"/>
      <c r="G28" s="2608" t="s">
        <v>3092</v>
      </c>
      <c r="H28" s="447"/>
      <c r="I28" s="2608" t="s">
        <v>3092</v>
      </c>
      <c r="J28" s="447"/>
      <c r="K28" s="669"/>
      <c r="L28" s="1130"/>
      <c r="M28" s="1131"/>
      <c r="N28" s="1131"/>
      <c r="O28" s="1132"/>
      <c r="P28" s="3216"/>
      <c r="Q28" s="1792"/>
      <c r="R28" s="765"/>
      <c r="S28" s="766"/>
      <c r="T28" s="765"/>
      <c r="U28" s="766"/>
      <c r="V28" s="765"/>
      <c r="W28" s="766"/>
      <c r="X28" s="767"/>
      <c r="Y28" s="3216"/>
      <c r="Z28" s="55"/>
      <c r="AA28" s="1808">
        <v>1</v>
      </c>
      <c r="AB28" s="1808">
        <v>1</v>
      </c>
      <c r="AC28" s="1808">
        <v>1</v>
      </c>
    </row>
    <row r="29" spans="1:29" s="117" customFormat="1" ht="28.5">
      <c r="A29" s="646"/>
      <c r="B29" s="1381" t="s">
        <v>2654</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0"/>
      <c r="L29" s="1130"/>
      <c r="M29" s="1131"/>
      <c r="N29" s="1131"/>
      <c r="O29" s="1132"/>
      <c r="P29" s="3216"/>
      <c r="Q29" s="1792" t="str">
        <f t="shared" ref="Q29" si="9">B29</f>
        <v>基础设施水平</v>
      </c>
      <c r="R29" s="765" t="s">
        <v>17</v>
      </c>
      <c r="S29" s="766">
        <f>F29</f>
        <v>100</v>
      </c>
      <c r="T29" s="765" t="s">
        <v>17</v>
      </c>
      <c r="U29" s="766">
        <f>H29</f>
        <v>100</v>
      </c>
      <c r="V29" s="765" t="s">
        <v>17</v>
      </c>
      <c r="W29" s="766">
        <f>J29</f>
        <v>100</v>
      </c>
      <c r="X29" s="767"/>
      <c r="Y29" s="3216"/>
      <c r="Z29" s="55" t="str">
        <f>Q29</f>
        <v>基础设施水平</v>
      </c>
      <c r="AA29" s="1808">
        <f>D29/F29</f>
        <v>1</v>
      </c>
      <c r="AB29" s="1808">
        <f>D29/H29</f>
        <v>1</v>
      </c>
      <c r="AC29" s="1808">
        <f>D29/J29</f>
        <v>1</v>
      </c>
    </row>
    <row r="30" spans="1:29" s="117" customFormat="1" ht="15">
      <c r="A30" s="646"/>
      <c r="B30" s="455"/>
      <c r="C30" s="2697" t="s">
        <v>3090</v>
      </c>
      <c r="D30" s="447"/>
      <c r="E30" s="2698" t="s">
        <v>3090</v>
      </c>
      <c r="F30" s="447"/>
      <c r="G30" s="2698" t="s">
        <v>3090</v>
      </c>
      <c r="H30" s="447"/>
      <c r="I30" s="2698" t="s">
        <v>3090</v>
      </c>
      <c r="J30" s="447"/>
      <c r="K30" s="669"/>
      <c r="L30" s="1130"/>
      <c r="M30" s="1131"/>
      <c r="N30" s="1131"/>
      <c r="O30" s="1132"/>
      <c r="P30" s="3216"/>
      <c r="Q30" s="1792"/>
      <c r="R30" s="765"/>
      <c r="S30" s="766"/>
      <c r="T30" s="765"/>
      <c r="U30" s="766"/>
      <c r="V30" s="765"/>
      <c r="W30" s="766"/>
      <c r="X30" s="767"/>
      <c r="Y30" s="3216"/>
      <c r="Z30" s="55"/>
      <c r="AA30" s="1808">
        <v>1</v>
      </c>
      <c r="AB30" s="1808">
        <v>1</v>
      </c>
      <c r="AC30" s="1808">
        <v>1</v>
      </c>
    </row>
    <row r="31" spans="1:29" ht="15">
      <c r="A31" s="427"/>
      <c r="B31" s="455" t="s">
        <v>2655</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38"/>
      <c r="M31" s="1129"/>
      <c r="N31" s="1129"/>
      <c r="O31" s="1137"/>
      <c r="P31" s="3216"/>
      <c r="Q31" s="1807" t="str">
        <f t="shared" si="8"/>
        <v>临街状况</v>
      </c>
      <c r="R31" s="769" t="s">
        <v>17</v>
      </c>
      <c r="S31" s="770">
        <f t="shared" ref="S31:S45" si="10">F31</f>
        <v>100</v>
      </c>
      <c r="T31" s="769" t="s">
        <v>17</v>
      </c>
      <c r="U31" s="770">
        <f t="shared" ref="U31:U45" si="11">H31</f>
        <v>100</v>
      </c>
      <c r="V31" s="769" t="s">
        <v>17</v>
      </c>
      <c r="W31" s="770">
        <f t="shared" ref="W31:W45" si="12">J31</f>
        <v>100</v>
      </c>
      <c r="X31" s="1810"/>
      <c r="Y31" s="3216"/>
      <c r="Z31" s="1811" t="str">
        <f t="shared" ref="Z31:Z45" si="13">Q31</f>
        <v>临街状况</v>
      </c>
      <c r="AA31" s="1808">
        <f t="shared" si="3"/>
        <v>1</v>
      </c>
      <c r="AB31" s="1808">
        <f t="shared" si="4"/>
        <v>1</v>
      </c>
      <c r="AC31" s="1808">
        <f t="shared" si="5"/>
        <v>1</v>
      </c>
    </row>
    <row r="32" spans="1:29" ht="27">
      <c r="A32" s="427"/>
      <c r="B32" s="1381" t="s">
        <v>2690</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0"/>
      <c r="L32" s="1138"/>
      <c r="M32" s="1129"/>
      <c r="N32" s="1129"/>
      <c r="O32" s="1137"/>
      <c r="P32" s="3216"/>
      <c r="Q32" s="1807" t="str">
        <f t="shared" si="8"/>
        <v>毗邻道路的类型与等级</v>
      </c>
      <c r="R32" s="769" t="s">
        <v>17</v>
      </c>
      <c r="S32" s="770">
        <f t="shared" si="10"/>
        <v>100</v>
      </c>
      <c r="T32" s="769" t="s">
        <v>17</v>
      </c>
      <c r="U32" s="770">
        <f t="shared" si="11"/>
        <v>100</v>
      </c>
      <c r="V32" s="769" t="s">
        <v>17</v>
      </c>
      <c r="W32" s="770">
        <f t="shared" si="12"/>
        <v>100</v>
      </c>
      <c r="X32" s="1810"/>
      <c r="Y32" s="3216"/>
      <c r="Z32" s="1811" t="str">
        <f t="shared" si="13"/>
        <v>毗邻道路的类型与等级</v>
      </c>
      <c r="AA32" s="1808">
        <f t="shared" si="3"/>
        <v>1</v>
      </c>
      <c r="AB32" s="1808">
        <f t="shared" si="4"/>
        <v>1</v>
      </c>
      <c r="AC32" s="1808">
        <f t="shared" si="5"/>
        <v>1</v>
      </c>
    </row>
    <row r="33" spans="1:29" ht="15">
      <c r="A33" s="427"/>
      <c r="B33" s="455"/>
      <c r="C33" s="446" t="s">
        <v>3126</v>
      </c>
      <c r="D33" s="447"/>
      <c r="E33" s="2608" t="s">
        <v>3126</v>
      </c>
      <c r="F33" s="447"/>
      <c r="G33" s="2608" t="s">
        <v>3126</v>
      </c>
      <c r="H33" s="447"/>
      <c r="I33" s="2608" t="s">
        <v>3126</v>
      </c>
      <c r="J33" s="447"/>
      <c r="K33" s="612"/>
      <c r="L33" s="1138"/>
      <c r="M33" s="1129"/>
      <c r="N33" s="1129"/>
      <c r="O33" s="1137"/>
      <c r="P33" s="3216"/>
      <c r="Q33" s="1807"/>
      <c r="R33" s="769"/>
      <c r="S33" s="770"/>
      <c r="T33" s="769"/>
      <c r="U33" s="770"/>
      <c r="V33" s="769"/>
      <c r="W33" s="770"/>
      <c r="X33" s="1810"/>
      <c r="Y33" s="3216"/>
      <c r="Z33" s="1811"/>
      <c r="AA33" s="1808">
        <v>1</v>
      </c>
      <c r="AB33" s="1808">
        <v>1</v>
      </c>
      <c r="AC33" s="1808">
        <v>1</v>
      </c>
    </row>
    <row r="34" spans="1:29" ht="15">
      <c r="A34" s="427"/>
      <c r="B34" s="421" t="s">
        <v>2749</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38"/>
      <c r="M34" s="1129"/>
      <c r="N34" s="1129"/>
      <c r="O34" s="1137"/>
      <c r="P34" s="3216"/>
      <c r="Q34" s="1807" t="str">
        <f t="shared" si="8"/>
        <v>土地级别</v>
      </c>
      <c r="R34" s="769" t="s">
        <v>17</v>
      </c>
      <c r="S34" s="770">
        <f t="shared" si="10"/>
        <v>100</v>
      </c>
      <c r="T34" s="769" t="s">
        <v>17</v>
      </c>
      <c r="U34" s="770">
        <f t="shared" si="11"/>
        <v>100</v>
      </c>
      <c r="V34" s="769" t="s">
        <v>17</v>
      </c>
      <c r="W34" s="770">
        <f t="shared" si="12"/>
        <v>100</v>
      </c>
      <c r="X34" s="1810"/>
      <c r="Y34" s="3216"/>
      <c r="Z34" s="1811" t="str">
        <f t="shared" si="13"/>
        <v>土地级别</v>
      </c>
      <c r="AA34" s="1808">
        <f t="shared" si="3"/>
        <v>1</v>
      </c>
      <c r="AB34" s="1808">
        <f t="shared" si="4"/>
        <v>1</v>
      </c>
      <c r="AC34" s="1808">
        <f t="shared" si="5"/>
        <v>1</v>
      </c>
    </row>
    <row r="35" spans="1:29" ht="15">
      <c r="A35" s="403"/>
      <c r="B35" s="1383">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38"/>
      <c r="M35" s="1129"/>
      <c r="N35" s="1129"/>
      <c r="O35" s="1137"/>
      <c r="P35" s="3216"/>
      <c r="Q35" s="1807">
        <f t="shared" si="8"/>
        <v>111</v>
      </c>
      <c r="R35" s="769" t="s">
        <v>17</v>
      </c>
      <c r="S35" s="770">
        <f t="shared" si="10"/>
        <v>100</v>
      </c>
      <c r="T35" s="769" t="s">
        <v>17</v>
      </c>
      <c r="U35" s="770">
        <f t="shared" si="11"/>
        <v>100</v>
      </c>
      <c r="V35" s="769" t="s">
        <v>17</v>
      </c>
      <c r="W35" s="770">
        <f t="shared" si="12"/>
        <v>100</v>
      </c>
      <c r="X35" s="1810"/>
      <c r="Y35" s="3216"/>
      <c r="Z35" s="1811">
        <f t="shared" si="13"/>
        <v>111</v>
      </c>
      <c r="AA35" s="1808">
        <f t="shared" si="3"/>
        <v>1</v>
      </c>
      <c r="AB35" s="1808">
        <f t="shared" si="4"/>
        <v>1</v>
      </c>
      <c r="AC35" s="1808">
        <f t="shared" si="5"/>
        <v>1</v>
      </c>
    </row>
    <row r="36" spans="1:29" ht="15">
      <c r="A36" s="672"/>
      <c r="B36" s="1384">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38"/>
      <c r="M36" s="1129"/>
      <c r="N36" s="1129"/>
      <c r="O36" s="1137"/>
      <c r="P36" s="3243" t="s">
        <v>2564</v>
      </c>
      <c r="Q36" s="1807">
        <f t="shared" si="8"/>
        <v>111</v>
      </c>
      <c r="R36" s="769" t="s">
        <v>17</v>
      </c>
      <c r="S36" s="770">
        <f t="shared" si="10"/>
        <v>100</v>
      </c>
      <c r="T36" s="769" t="s">
        <v>17</v>
      </c>
      <c r="U36" s="770">
        <f t="shared" si="11"/>
        <v>100</v>
      </c>
      <c r="V36" s="769" t="s">
        <v>17</v>
      </c>
      <c r="W36" s="770">
        <f t="shared" si="12"/>
        <v>100</v>
      </c>
      <c r="X36" s="1810"/>
      <c r="Y36" s="3220" t="s">
        <v>2564</v>
      </c>
      <c r="Z36" s="1811">
        <f t="shared" si="13"/>
        <v>111</v>
      </c>
      <c r="AA36" s="1808">
        <f t="shared" si="3"/>
        <v>1</v>
      </c>
      <c r="AB36" s="1808">
        <f t="shared" si="4"/>
        <v>1</v>
      </c>
      <c r="AC36" s="1808">
        <f t="shared" si="5"/>
        <v>1</v>
      </c>
    </row>
    <row r="37" spans="1:29" s="470" customFormat="1" ht="15.75" thickBot="1">
      <c r="A37" s="673"/>
      <c r="B37" s="1385">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6"/>
      <c r="M37" s="1139"/>
      <c r="N37" s="1139"/>
      <c r="O37" s="1140"/>
      <c r="P37" s="3220"/>
      <c r="Q37" s="1807">
        <f t="shared" si="8"/>
        <v>111</v>
      </c>
      <c r="R37" s="772" t="s">
        <v>17</v>
      </c>
      <c r="S37" s="773">
        <f t="shared" si="10"/>
        <v>100</v>
      </c>
      <c r="T37" s="772" t="s">
        <v>17</v>
      </c>
      <c r="U37" s="773">
        <f t="shared" si="11"/>
        <v>100</v>
      </c>
      <c r="V37" s="772" t="s">
        <v>17</v>
      </c>
      <c r="W37" s="773">
        <f t="shared" si="12"/>
        <v>100</v>
      </c>
      <c r="X37" s="774"/>
      <c r="Y37" s="3220"/>
      <c r="Z37" s="775">
        <f t="shared" si="13"/>
        <v>111</v>
      </c>
      <c r="AA37" s="1808">
        <f t="shared" si="3"/>
        <v>1</v>
      </c>
      <c r="AB37" s="1808">
        <f t="shared" si="4"/>
        <v>1</v>
      </c>
      <c r="AC37" s="1808">
        <f t="shared" si="5"/>
        <v>1</v>
      </c>
    </row>
    <row r="38" spans="1:29" ht="15">
      <c r="A38" s="471" t="s">
        <v>2562</v>
      </c>
      <c r="B38" s="455" t="s">
        <v>2750</v>
      </c>
      <c r="C38" s="676"/>
      <c r="D38" s="466">
        <v>100</v>
      </c>
      <c r="E38" s="676"/>
      <c r="F38" s="466">
        <f>LOOKUP(E38,117:117,118:118)-LOOKUP(C38,117:117,118:118)+100</f>
        <v>100</v>
      </c>
      <c r="G38" s="676"/>
      <c r="H38" s="466">
        <f>LOOKUP(G38,117:117,118:118)-LOOKUP(C38,117:117,118:118)+100</f>
        <v>100</v>
      </c>
      <c r="I38" s="529"/>
      <c r="J38" s="466">
        <f>LOOKUP(I38,117:117,118:118)-LOOKUP(C38,117:117,118:118)+100</f>
        <v>100</v>
      </c>
      <c r="K38" s="612"/>
      <c r="L38" s="1138"/>
      <c r="M38" s="1129"/>
      <c r="N38" s="1129"/>
      <c r="O38" s="1137"/>
      <c r="P38" s="3220"/>
      <c r="Q38" s="1807" t="str">
        <f>B38</f>
        <v>宗地面积</v>
      </c>
      <c r="R38" s="769" t="s">
        <v>17</v>
      </c>
      <c r="S38" s="770">
        <f t="shared" si="10"/>
        <v>100</v>
      </c>
      <c r="T38" s="769" t="s">
        <v>17</v>
      </c>
      <c r="U38" s="770">
        <f t="shared" si="11"/>
        <v>100</v>
      </c>
      <c r="V38" s="769" t="s">
        <v>17</v>
      </c>
      <c r="W38" s="770">
        <f t="shared" si="12"/>
        <v>100</v>
      </c>
      <c r="X38" s="1810"/>
      <c r="Y38" s="3220"/>
      <c r="Z38" s="1811" t="str">
        <f t="shared" si="13"/>
        <v>宗地面积</v>
      </c>
      <c r="AA38" s="1808">
        <f t="shared" si="3"/>
        <v>1</v>
      </c>
      <c r="AB38" s="1808">
        <f t="shared" si="4"/>
        <v>1</v>
      </c>
      <c r="AC38" s="1808">
        <f t="shared" si="5"/>
        <v>1</v>
      </c>
    </row>
    <row r="39" spans="1:29" ht="15">
      <c r="A39" s="471"/>
      <c r="B39" s="421" t="s">
        <v>2751</v>
      </c>
      <c r="C39" s="2610" t="s">
        <v>3128</v>
      </c>
      <c r="D39" s="434">
        <v>100</v>
      </c>
      <c r="E39" s="2610" t="s">
        <v>3128</v>
      </c>
      <c r="F39" s="434">
        <f>SUMIF(119:119,E39,120:120)-SUMIF(119:119,C39,120:120)+100</f>
        <v>100</v>
      </c>
      <c r="G39" s="2610" t="s">
        <v>3128</v>
      </c>
      <c r="H39" s="434">
        <f>SUMIF(119:119,G39,120:120)-SUMIF(119:119,C39,120:120)+100</f>
        <v>100</v>
      </c>
      <c r="I39" s="2610" t="s">
        <v>3128</v>
      </c>
      <c r="J39" s="434">
        <f>SUMIF(119:119,I39,120:120)-SUMIF(119:119,C39,120:120)+100</f>
        <v>100</v>
      </c>
      <c r="K39" s="611"/>
      <c r="L39" s="1138"/>
      <c r="M39" s="1129"/>
      <c r="N39" s="1129"/>
      <c r="O39" s="1137"/>
      <c r="P39" s="3220"/>
      <c r="Q39" s="1807" t="str">
        <f t="shared" ref="Q39:Q45" si="14">B39</f>
        <v>宗地形状</v>
      </c>
      <c r="R39" s="769" t="s">
        <v>17</v>
      </c>
      <c r="S39" s="770">
        <f t="shared" si="10"/>
        <v>100</v>
      </c>
      <c r="T39" s="769" t="s">
        <v>17</v>
      </c>
      <c r="U39" s="770">
        <f t="shared" si="11"/>
        <v>100</v>
      </c>
      <c r="V39" s="769" t="s">
        <v>17</v>
      </c>
      <c r="W39" s="770">
        <f t="shared" si="12"/>
        <v>100</v>
      </c>
      <c r="X39" s="1810"/>
      <c r="Y39" s="3220"/>
      <c r="Z39" s="1811" t="str">
        <f t="shared" si="13"/>
        <v>宗地形状</v>
      </c>
      <c r="AA39" s="1808">
        <f t="shared" si="3"/>
        <v>1</v>
      </c>
      <c r="AB39" s="1808">
        <f t="shared" si="4"/>
        <v>1</v>
      </c>
      <c r="AC39" s="1808">
        <f t="shared" si="5"/>
        <v>1</v>
      </c>
    </row>
    <row r="40" spans="1:29" ht="15">
      <c r="A40" s="471"/>
      <c r="B40" s="421" t="s">
        <v>2752</v>
      </c>
      <c r="C40" s="2610" t="s">
        <v>3133</v>
      </c>
      <c r="D40" s="434">
        <v>100</v>
      </c>
      <c r="E40" s="2610" t="s">
        <v>3133</v>
      </c>
      <c r="F40" s="434">
        <f>SUMIF(121:121,E40,122:122)-SUMIF(121:121,C40,122:122)+100</f>
        <v>100</v>
      </c>
      <c r="G40" s="2610" t="s">
        <v>3133</v>
      </c>
      <c r="H40" s="434">
        <f>SUMIF(121:121,G40,122:122)-SUMIF(121:121,C40,122:122)+100</f>
        <v>100</v>
      </c>
      <c r="I40" s="2610" t="s">
        <v>3133</v>
      </c>
      <c r="J40" s="434">
        <f>SUMIF(121:121,I40,122:122)-SUMIF(121:121,C40,122:122)+100</f>
        <v>100</v>
      </c>
      <c r="K40" s="611"/>
      <c r="L40" s="1138"/>
      <c r="M40" s="1129"/>
      <c r="N40" s="1129"/>
      <c r="O40" s="1137"/>
      <c r="P40" s="3220"/>
      <c r="Q40" s="1807" t="str">
        <f t="shared" si="14"/>
        <v>临街宽度及深度</v>
      </c>
      <c r="R40" s="769" t="s">
        <v>17</v>
      </c>
      <c r="S40" s="770">
        <f t="shared" si="10"/>
        <v>100</v>
      </c>
      <c r="T40" s="769" t="s">
        <v>17</v>
      </c>
      <c r="U40" s="770">
        <f t="shared" si="11"/>
        <v>100</v>
      </c>
      <c r="V40" s="769" t="s">
        <v>17</v>
      </c>
      <c r="W40" s="770">
        <f t="shared" si="12"/>
        <v>100</v>
      </c>
      <c r="X40" s="1810"/>
      <c r="Y40" s="3220"/>
      <c r="Z40" s="1811" t="str">
        <f t="shared" si="13"/>
        <v>临街宽度及深度</v>
      </c>
      <c r="AA40" s="1808">
        <f t="shared" si="3"/>
        <v>1</v>
      </c>
      <c r="AB40" s="1808">
        <f t="shared" si="4"/>
        <v>1</v>
      </c>
      <c r="AC40" s="1808">
        <f t="shared" si="5"/>
        <v>1</v>
      </c>
    </row>
    <row r="41" spans="1:29" s="117" customFormat="1" ht="15">
      <c r="A41" s="472"/>
      <c r="B41" s="421" t="s">
        <v>2753</v>
      </c>
      <c r="C41" s="2699" t="s">
        <v>3130</v>
      </c>
      <c r="D41" s="135">
        <v>100</v>
      </c>
      <c r="E41" s="2699" t="s">
        <v>3130</v>
      </c>
      <c r="F41" s="434">
        <f>SUMIF(123:123,E41,124:124)-SUMIF(123:123,C41,124:124)+100</f>
        <v>100</v>
      </c>
      <c r="G41" s="2699" t="s">
        <v>3130</v>
      </c>
      <c r="H41" s="434">
        <f>SUMIF(123:123,G41,124:124)-SUMIF(123:123,C41,124:124)+100</f>
        <v>100</v>
      </c>
      <c r="I41" s="2699" t="s">
        <v>3130</v>
      </c>
      <c r="J41" s="434">
        <f>SUMIF(123:123,I41,124:124)-SUMIF(123:123,C41,124:124)+100</f>
        <v>100</v>
      </c>
      <c r="K41" s="611"/>
      <c r="L41" s="1130"/>
      <c r="M41" s="1131"/>
      <c r="N41" s="1131"/>
      <c r="O41" s="1132"/>
      <c r="P41" s="3220"/>
      <c r="Q41" s="1807" t="str">
        <f t="shared" si="14"/>
        <v>宗地开发程度</v>
      </c>
      <c r="R41" s="765" t="s">
        <v>17</v>
      </c>
      <c r="S41" s="766">
        <f t="shared" si="10"/>
        <v>100</v>
      </c>
      <c r="T41" s="765" t="s">
        <v>17</v>
      </c>
      <c r="U41" s="766">
        <f t="shared" si="11"/>
        <v>100</v>
      </c>
      <c r="V41" s="765" t="s">
        <v>17</v>
      </c>
      <c r="W41" s="766">
        <f t="shared" si="12"/>
        <v>100</v>
      </c>
      <c r="X41" s="767"/>
      <c r="Y41" s="3220"/>
      <c r="Z41" s="55" t="str">
        <f t="shared" si="13"/>
        <v>宗地开发程度</v>
      </c>
      <c r="AA41" s="768">
        <f t="shared" si="3"/>
        <v>1</v>
      </c>
      <c r="AB41" s="768">
        <f t="shared" si="4"/>
        <v>1</v>
      </c>
      <c r="AC41" s="768">
        <f t="shared" si="5"/>
        <v>1</v>
      </c>
    </row>
    <row r="42" spans="1:29" ht="15">
      <c r="A42" s="471"/>
      <c r="B42" s="421" t="s">
        <v>2754</v>
      </c>
      <c r="C42" s="2610" t="s">
        <v>3091</v>
      </c>
      <c r="D42" s="434">
        <v>100</v>
      </c>
      <c r="E42" s="2610" t="s">
        <v>3091</v>
      </c>
      <c r="F42" s="434">
        <f>SUMIF(125:125,E42,126:126)-SUMIF(125:125,C42,126:126)+100</f>
        <v>100</v>
      </c>
      <c r="G42" s="2610" t="s">
        <v>3091</v>
      </c>
      <c r="H42" s="434">
        <f>SUMIF(125:125,G42,126:126)-SUMIF(125:125,C42,126:126)+100</f>
        <v>100</v>
      </c>
      <c r="I42" s="2610" t="s">
        <v>3091</v>
      </c>
      <c r="J42" s="434">
        <f>SUMIF(125:125,I42,126:126)-SUMIF(125:125,C42,126:126)+100</f>
        <v>100</v>
      </c>
      <c r="K42" s="611"/>
      <c r="L42" s="1138"/>
      <c r="M42" s="1129"/>
      <c r="N42" s="1129"/>
      <c r="O42" s="1137"/>
      <c r="P42" s="3220" t="s">
        <v>2564</v>
      </c>
      <c r="Q42" s="1807" t="str">
        <f t="shared" si="14"/>
        <v>工程地质条件</v>
      </c>
      <c r="R42" s="769" t="s">
        <v>17</v>
      </c>
      <c r="S42" s="770">
        <f t="shared" si="10"/>
        <v>100</v>
      </c>
      <c r="T42" s="769" t="s">
        <v>17</v>
      </c>
      <c r="U42" s="770">
        <f t="shared" si="11"/>
        <v>100</v>
      </c>
      <c r="V42" s="769" t="s">
        <v>17</v>
      </c>
      <c r="W42" s="770">
        <f t="shared" si="12"/>
        <v>100</v>
      </c>
      <c r="X42" s="1810"/>
      <c r="Y42" s="3220" t="s">
        <v>2564</v>
      </c>
      <c r="Z42" s="1811" t="str">
        <f t="shared" si="13"/>
        <v>工程地质条件</v>
      </c>
      <c r="AA42" s="1808">
        <f t="shared" si="3"/>
        <v>1</v>
      </c>
      <c r="AB42" s="1808">
        <f t="shared" si="4"/>
        <v>1</v>
      </c>
      <c r="AC42" s="1808">
        <f t="shared" si="5"/>
        <v>1</v>
      </c>
    </row>
    <row r="43" spans="1:29" ht="15">
      <c r="A43" s="471"/>
      <c r="B43" s="1384">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38"/>
      <c r="M43" s="1129"/>
      <c r="N43" s="1129"/>
      <c r="O43" s="1137"/>
      <c r="P43" s="3220"/>
      <c r="Q43" s="1807">
        <f t="shared" si="14"/>
        <v>111</v>
      </c>
      <c r="R43" s="769" t="s">
        <v>17</v>
      </c>
      <c r="S43" s="770">
        <f t="shared" si="10"/>
        <v>100</v>
      </c>
      <c r="T43" s="769" t="s">
        <v>17</v>
      </c>
      <c r="U43" s="770">
        <f t="shared" si="11"/>
        <v>100</v>
      </c>
      <c r="V43" s="769" t="s">
        <v>17</v>
      </c>
      <c r="W43" s="770">
        <f t="shared" si="12"/>
        <v>100</v>
      </c>
      <c r="X43" s="1810"/>
      <c r="Y43" s="3220"/>
      <c r="Z43" s="1811">
        <f t="shared" si="13"/>
        <v>111</v>
      </c>
      <c r="AA43" s="1808">
        <f t="shared" si="3"/>
        <v>1</v>
      </c>
      <c r="AB43" s="1808">
        <f t="shared" si="4"/>
        <v>1</v>
      </c>
      <c r="AC43" s="1808">
        <f t="shared" si="5"/>
        <v>1</v>
      </c>
    </row>
    <row r="44" spans="1:29" ht="15">
      <c r="A44" s="471"/>
      <c r="B44" s="1384">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38"/>
      <c r="M44" s="1129"/>
      <c r="N44" s="1129"/>
      <c r="O44" s="1137"/>
      <c r="P44" s="3220"/>
      <c r="Q44" s="1807">
        <f t="shared" si="14"/>
        <v>111</v>
      </c>
      <c r="R44" s="769" t="s">
        <v>17</v>
      </c>
      <c r="S44" s="770">
        <f t="shared" si="10"/>
        <v>100</v>
      </c>
      <c r="T44" s="769" t="s">
        <v>17</v>
      </c>
      <c r="U44" s="770">
        <f t="shared" si="11"/>
        <v>100</v>
      </c>
      <c r="V44" s="769" t="s">
        <v>17</v>
      </c>
      <c r="W44" s="770">
        <f t="shared" si="12"/>
        <v>100</v>
      </c>
      <c r="X44" s="1810"/>
      <c r="Y44" s="3220"/>
      <c r="Z44" s="1811">
        <f t="shared" si="13"/>
        <v>111</v>
      </c>
      <c r="AA44" s="1808">
        <f t="shared" si="3"/>
        <v>1</v>
      </c>
      <c r="AB44" s="1808">
        <f t="shared" si="4"/>
        <v>1</v>
      </c>
      <c r="AC44" s="1808">
        <f t="shared" si="5"/>
        <v>1</v>
      </c>
    </row>
    <row r="45" spans="1:29" s="470" customFormat="1" ht="15.75" thickBot="1">
      <c r="A45" s="467"/>
      <c r="B45" s="1384">
        <v>111</v>
      </c>
      <c r="C45" s="2700"/>
      <c r="D45" s="677">
        <v>100</v>
      </c>
      <c r="E45" s="671"/>
      <c r="F45" s="437">
        <f>SUMIF(131:131,E45,132:132)-SUMIF(131:131,C45,132:132)+100</f>
        <v>100</v>
      </c>
      <c r="G45" s="671"/>
      <c r="H45" s="437">
        <f>SUMIF(131:131,G45,132:132)-SUMIF(131:131,C45,132:132)+100</f>
        <v>100</v>
      </c>
      <c r="I45" s="671"/>
      <c r="J45" s="437">
        <f>SUMIF(131:131,I45,132:132)-SUMIF(131:131,C45,132:132)+100</f>
        <v>100</v>
      </c>
      <c r="K45" s="678"/>
      <c r="L45" s="1136"/>
      <c r="M45" s="1139"/>
      <c r="N45" s="1139"/>
      <c r="O45" s="1140"/>
      <c r="P45" s="3220"/>
      <c r="Q45" s="1807">
        <f t="shared" si="14"/>
        <v>111</v>
      </c>
      <c r="R45" s="772" t="s">
        <v>17</v>
      </c>
      <c r="S45" s="773">
        <f t="shared" si="10"/>
        <v>100</v>
      </c>
      <c r="T45" s="772" t="s">
        <v>17</v>
      </c>
      <c r="U45" s="773">
        <f t="shared" si="11"/>
        <v>100</v>
      </c>
      <c r="V45" s="772" t="s">
        <v>17</v>
      </c>
      <c r="W45" s="773">
        <f t="shared" si="12"/>
        <v>100</v>
      </c>
      <c r="X45" s="774"/>
      <c r="Y45" s="3220"/>
      <c r="Z45" s="775">
        <f t="shared" si="13"/>
        <v>111</v>
      </c>
      <c r="AA45" s="1808">
        <f t="shared" si="3"/>
        <v>1</v>
      </c>
      <c r="AB45" s="1808">
        <f t="shared" si="4"/>
        <v>1</v>
      </c>
      <c r="AC45" s="1808">
        <f t="shared" si="5"/>
        <v>1</v>
      </c>
    </row>
    <row r="46" spans="1:29" ht="15">
      <c r="A46" s="478" t="s">
        <v>2719</v>
      </c>
      <c r="B46" s="2701" t="s">
        <v>2755</v>
      </c>
      <c r="C46" s="679" t="s">
        <v>1</v>
      </c>
      <c r="D46" s="480"/>
      <c r="E46" s="481">
        <v>1200</v>
      </c>
      <c r="F46" s="482"/>
      <c r="G46" s="483">
        <v>1200</v>
      </c>
      <c r="H46" s="484"/>
      <c r="I46" s="481">
        <v>1200</v>
      </c>
      <c r="J46" s="484"/>
      <c r="K46" s="778"/>
      <c r="L46" s="1141"/>
      <c r="M46" s="1142"/>
      <c r="N46" s="1129"/>
      <c r="O46" s="1142"/>
      <c r="P46" s="3213" t="str">
        <f>A46</f>
        <v>成交单价</v>
      </c>
      <c r="Q46" s="3213"/>
      <c r="R46" s="3208">
        <f>E46</f>
        <v>1200</v>
      </c>
      <c r="S46" s="3208"/>
      <c r="T46" s="3208">
        <f>G46</f>
        <v>1200</v>
      </c>
      <c r="U46" s="3208"/>
      <c r="V46" s="3208">
        <f>I46</f>
        <v>1200</v>
      </c>
      <c r="W46" s="3208"/>
      <c r="X46" s="754"/>
      <c r="Y46" s="776"/>
      <c r="Z46" s="754"/>
      <c r="AA46" s="754"/>
      <c r="AB46" s="754"/>
      <c r="AC46" s="754"/>
    </row>
    <row r="47" spans="1:29" ht="15.75" thickBot="1">
      <c r="A47" s="485" t="s">
        <v>2668</v>
      </c>
      <c r="B47" s="680"/>
      <c r="C47" s="489">
        <f>R48</f>
        <v>1054</v>
      </c>
      <c r="D47" s="488"/>
      <c r="E47" s="489">
        <f>R47</f>
        <v>1054</v>
      </c>
      <c r="F47" s="490"/>
      <c r="G47" s="487">
        <f>T47</f>
        <v>1054</v>
      </c>
      <c r="H47" s="488"/>
      <c r="I47" s="489">
        <f>V47</f>
        <v>1054</v>
      </c>
      <c r="J47" s="488"/>
      <c r="K47" s="779"/>
      <c r="L47" s="1141"/>
      <c r="M47" s="1142"/>
      <c r="N47" s="1142"/>
      <c r="O47" s="1142"/>
      <c r="P47" s="3213" t="str">
        <f>A47</f>
        <v>比较价值（元/平方米）</v>
      </c>
      <c r="Q47" s="3213"/>
      <c r="R47" s="3271">
        <f>ROUND(PRODUCT(R46,AA7:AA45),0)</f>
        <v>1054</v>
      </c>
      <c r="S47" s="3271"/>
      <c r="T47" s="3271">
        <f>ROUND(PRODUCT(T46,AB7:AB45),0)</f>
        <v>1054</v>
      </c>
      <c r="U47" s="3271"/>
      <c r="V47" s="3271">
        <f>ROUND(PRODUCT(V46,AC7:AC45),0)</f>
        <v>1054</v>
      </c>
      <c r="W47" s="3271"/>
      <c r="X47" s="754"/>
      <c r="Y47" s="754"/>
      <c r="Z47" s="754"/>
      <c r="AA47" s="754"/>
      <c r="AB47" s="754"/>
      <c r="AC47" s="754"/>
    </row>
    <row r="48" spans="1:29" ht="15.75" thickBot="1">
      <c r="A48" s="491" t="s">
        <v>2756</v>
      </c>
      <c r="B48" s="492"/>
      <c r="C48" s="493">
        <f>R48</f>
        <v>1054</v>
      </c>
      <c r="D48" s="493"/>
      <c r="E48" s="493"/>
      <c r="F48" s="493"/>
      <c r="G48" s="493"/>
      <c r="H48" s="493"/>
      <c r="I48" s="493"/>
      <c r="J48" s="493"/>
      <c r="K48" s="780"/>
      <c r="L48" s="1141"/>
      <c r="M48" s="1142"/>
      <c r="N48" s="1142"/>
      <c r="O48" s="1142"/>
      <c r="P48" s="3210" t="str">
        <f>A48</f>
        <v>估价对象XX用房的比较价值（楼面单价，元/平方米）</v>
      </c>
      <c r="Q48" s="3211"/>
      <c r="R48" s="3272">
        <f>ROUND(AVERAGE(R47:V47),0)</f>
        <v>1054</v>
      </c>
      <c r="S48" s="3272"/>
      <c r="T48" s="3272"/>
      <c r="U48" s="3272"/>
      <c r="V48" s="3272"/>
      <c r="W48" s="3272"/>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f>IF(E46&lt;E47,E47/E46-1,E46/E47-1)</f>
        <v>0.13851992409867164</v>
      </c>
      <c r="F51" s="499" t="str">
        <f>IF(OR(E51&gt;=0.3,E51&lt;=-0.3),"超过30%","")</f>
        <v/>
      </c>
      <c r="G51" s="498">
        <f>IF(G46&lt;G47,G47/G46-1,G46/G47-1)</f>
        <v>0.13851992409867164</v>
      </c>
      <c r="H51" s="499" t="str">
        <f>IF(OR(G51&gt;=0.3,G51&lt;=-0.3),"超过30%","")</f>
        <v/>
      </c>
      <c r="I51" s="498">
        <f>IF(I46&lt;I47,I47/I46-1,I46/I47-1)</f>
        <v>0.13851992409867164</v>
      </c>
      <c r="J51" s="499" t="str">
        <f>IF(OR(I51&gt;=0.3,I51&lt;=-0.3),"超过30%","")</f>
        <v/>
      </c>
      <c r="K51" s="1103"/>
      <c r="L51" s="1104"/>
      <c r="M51" s="1142"/>
      <c r="N51" s="1142"/>
      <c r="O51" s="1142"/>
    </row>
    <row r="52" spans="1:15" ht="13.5" customHeight="1">
      <c r="A52" s="1142"/>
      <c r="B52" s="1142"/>
      <c r="C52" s="496" t="s">
        <v>2671</v>
      </c>
      <c r="D52" s="500"/>
      <c r="E52" s="498">
        <f>IF(E47&lt;G47,G47/E47-1,E47/G47-1)</f>
        <v>0</v>
      </c>
      <c r="F52" s="499" t="str">
        <f>IF(OR(E52&gt;=0.2,E52&lt;=-0.2),"超过20%","")</f>
        <v/>
      </c>
      <c r="G52" s="498">
        <f>IF(G47&lt;I47,I47/G47-1,G47/I47-1)</f>
        <v>0</v>
      </c>
      <c r="H52" s="499" t="str">
        <f>IF(OR(G52&gt;=0.2,G52&lt;=-0.2),"超过20%","")</f>
        <v/>
      </c>
      <c r="I52" s="498">
        <f>IF(I47&lt;E47,E47/I47-1,I47/E47-1)</f>
        <v>0</v>
      </c>
      <c r="J52" s="499" t="str">
        <f>IF(OR(I52&gt;=0.2,I52&lt;=-0.2),"超过20%","")</f>
        <v/>
      </c>
      <c r="K52" s="1103"/>
      <c r="L52" s="1104"/>
      <c r="M52" s="1142"/>
      <c r="N52" s="1142"/>
      <c r="O52" s="1142"/>
    </row>
    <row r="53" spans="1:15" s="501" customFormat="1" ht="13.5" customHeight="1">
      <c r="A53" s="1143"/>
      <c r="B53" s="1143"/>
      <c r="C53" s="496" t="s">
        <v>2672</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6"/>
      <c r="L53" s="1147"/>
      <c r="M53" s="1143"/>
      <c r="N53" s="1143"/>
      <c r="O53" s="1143"/>
    </row>
    <row r="54" spans="1:15" s="501" customFormat="1" ht="15" thickBot="1">
      <c r="A54" s="1143"/>
      <c r="B54" s="1144"/>
      <c r="C54" s="757"/>
      <c r="D54" s="755"/>
      <c r="E54" s="755"/>
      <c r="F54" s="755"/>
      <c r="G54" s="755"/>
      <c r="H54" s="755"/>
      <c r="I54" s="755"/>
      <c r="J54" s="755"/>
      <c r="K54" s="1146"/>
      <c r="L54" s="1147"/>
      <c r="M54" s="1143"/>
      <c r="N54" s="1143"/>
      <c r="O54" s="1143"/>
    </row>
    <row r="55" spans="1:15" ht="27" customHeight="1">
      <c r="A55" s="681" t="s">
        <v>2757</v>
      </c>
      <c r="B55" s="682" t="s">
        <v>2758</v>
      </c>
      <c r="C55" s="2702" t="s">
        <v>2759</v>
      </c>
      <c r="D55" s="2703" t="s">
        <v>2760</v>
      </c>
      <c r="E55" s="683" t="s">
        <v>2761</v>
      </c>
      <c r="F55" s="1105" t="s">
        <v>2762</v>
      </c>
      <c r="G55" s="3196" t="s">
        <v>2763</v>
      </c>
      <c r="H55" s="3273"/>
      <c r="I55" s="143" t="s">
        <v>2764</v>
      </c>
      <c r="J55" s="2704" t="str">
        <f>项目基本情况!F35</f>
        <v>江苏省镇江市京口区</v>
      </c>
      <c r="K55" s="2705" t="s">
        <v>2765</v>
      </c>
      <c r="L55" s="1104"/>
      <c r="M55" s="1142"/>
      <c r="N55" s="1142"/>
      <c r="O55" s="1142"/>
    </row>
    <row r="56" spans="1:15" s="689" customFormat="1">
      <c r="A56" s="685" t="s">
        <v>2766</v>
      </c>
      <c r="B56" s="686">
        <f>C48</f>
        <v>1054</v>
      </c>
      <c r="C56" s="687">
        <v>1</v>
      </c>
      <c r="D56" s="1161">
        <v>1</v>
      </c>
      <c r="E56" s="687">
        <f>'数据-汇总表'!E8+'数据-汇总表'!E9</f>
        <v>7918.4</v>
      </c>
      <c r="F56" s="1101">
        <f t="shared" ref="F56:F65" si="15">ROUND(B56*E56/10000,0)</f>
        <v>835</v>
      </c>
      <c r="G56" s="3195"/>
      <c r="H56" s="3213"/>
      <c r="I56" s="1106">
        <v>1</v>
      </c>
      <c r="J56" s="1109">
        <v>1</v>
      </c>
      <c r="K56" s="1143"/>
      <c r="L56" s="939"/>
      <c r="M56" s="939"/>
      <c r="N56" s="939"/>
      <c r="O56" s="939"/>
    </row>
    <row r="57" spans="1:15" s="689" customFormat="1">
      <c r="A57" s="690" t="s">
        <v>2767</v>
      </c>
      <c r="B57" s="261">
        <f>ROUND($C$48*C57*D57,0)</f>
        <v>0</v>
      </c>
      <c r="C57" s="199">
        <f t="shared" ref="C57:C65" si="16">IF($C$55="北京市系数",I57,J57)</f>
        <v>0</v>
      </c>
      <c r="D57" s="1162">
        <v>0.25</v>
      </c>
      <c r="E57" s="691"/>
      <c r="F57" s="1101">
        <f t="shared" si="15"/>
        <v>0</v>
      </c>
      <c r="G57" s="3274" t="s">
        <v>2768</v>
      </c>
      <c r="H57" s="1102">
        <f>项目基本情况!B37</f>
        <v>0</v>
      </c>
      <c r="I57" s="1106">
        <f>SUMIF(修正!A45:A56,H57,修正!B45:B56)</f>
        <v>0</v>
      </c>
      <c r="J57" s="1110"/>
      <c r="K57" s="1142"/>
      <c r="L57" s="939"/>
      <c r="M57" s="939"/>
      <c r="N57" s="939"/>
      <c r="O57" s="939"/>
    </row>
    <row r="58" spans="1:15" s="689" customFormat="1">
      <c r="A58" s="690" t="s">
        <v>2769</v>
      </c>
      <c r="B58" s="261">
        <f t="shared" ref="B58:B65" si="17">ROUND($C$48*C58*D58,0)</f>
        <v>0</v>
      </c>
      <c r="C58" s="199">
        <f t="shared" si="16"/>
        <v>0</v>
      </c>
      <c r="D58" s="1162">
        <v>0.25</v>
      </c>
      <c r="E58" s="691"/>
      <c r="F58" s="1101">
        <f t="shared" si="15"/>
        <v>0</v>
      </c>
      <c r="G58" s="3274"/>
      <c r="H58" s="1102">
        <f>项目基本情况!B37</f>
        <v>0</v>
      </c>
      <c r="I58" s="1106">
        <f>SUMIF(修正!A45:A56,H58,修正!C45:C56)</f>
        <v>0</v>
      </c>
      <c r="J58" s="1110"/>
      <c r="K58" s="1143"/>
      <c r="L58" s="939"/>
      <c r="M58" s="939"/>
      <c r="N58" s="939"/>
      <c r="O58" s="939"/>
    </row>
    <row r="59" spans="1:15" s="689" customFormat="1">
      <c r="A59" s="690" t="s">
        <v>2770</v>
      </c>
      <c r="B59" s="261">
        <f t="shared" si="17"/>
        <v>0</v>
      </c>
      <c r="C59" s="199">
        <f t="shared" si="16"/>
        <v>0</v>
      </c>
      <c r="D59" s="1162">
        <v>0.25</v>
      </c>
      <c r="E59" s="691"/>
      <c r="F59" s="1101">
        <f t="shared" si="15"/>
        <v>0</v>
      </c>
      <c r="G59" s="3274"/>
      <c r="H59" s="1102">
        <f>项目基本情况!B37</f>
        <v>0</v>
      </c>
      <c r="I59" s="1106">
        <f>SUMIF(修正!A45:A56,H59,修正!D45:D56)</f>
        <v>0</v>
      </c>
      <c r="J59" s="1110"/>
      <c r="K59" s="1142"/>
      <c r="L59" s="939"/>
      <c r="M59" s="939"/>
      <c r="N59" s="939"/>
      <c r="O59" s="939"/>
    </row>
    <row r="60" spans="1:15" s="689" customFormat="1">
      <c r="A60" s="690" t="s">
        <v>2771</v>
      </c>
      <c r="B60" s="261">
        <f t="shared" si="17"/>
        <v>0</v>
      </c>
      <c r="C60" s="199">
        <f t="shared" si="16"/>
        <v>0</v>
      </c>
      <c r="D60" s="1162">
        <v>0.25</v>
      </c>
      <c r="E60" s="691"/>
      <c r="F60" s="1101">
        <f t="shared" si="15"/>
        <v>0</v>
      </c>
      <c r="G60" s="3274"/>
      <c r="H60" s="1102">
        <f>项目基本情况!B37</f>
        <v>0</v>
      </c>
      <c r="I60" s="1106">
        <f>SUMIF(修正!A45:A56,H60,修正!E45:E56)</f>
        <v>0</v>
      </c>
      <c r="J60" s="1110"/>
      <c r="K60" s="1143"/>
      <c r="L60" s="939"/>
      <c r="M60" s="939"/>
      <c r="N60" s="939"/>
      <c r="O60" s="939"/>
    </row>
    <row r="61" spans="1:15" s="689" customFormat="1">
      <c r="A61" s="690" t="s">
        <v>2772</v>
      </c>
      <c r="B61" s="261">
        <f t="shared" si="17"/>
        <v>0</v>
      </c>
      <c r="C61" s="199">
        <f t="shared" si="16"/>
        <v>0</v>
      </c>
      <c r="D61" s="1162">
        <v>0.25</v>
      </c>
      <c r="E61" s="260">
        <f>'数据-汇总表'!E11</f>
        <v>0</v>
      </c>
      <c r="F61" s="1101">
        <f t="shared" si="15"/>
        <v>0</v>
      </c>
      <c r="G61" s="2706" t="s">
        <v>2773</v>
      </c>
      <c r="H61" s="1102">
        <f>项目基本情况!C37</f>
        <v>0</v>
      </c>
      <c r="I61" s="1106">
        <f>SUMIF(修正!A45:A56,H61,修正!F45:F56)</f>
        <v>0</v>
      </c>
      <c r="J61" s="1110"/>
      <c r="K61" s="1142"/>
      <c r="L61" s="939"/>
      <c r="M61" s="939"/>
      <c r="N61" s="939"/>
      <c r="O61" s="939"/>
    </row>
    <row r="62" spans="1:15" s="689" customFormat="1">
      <c r="A62" s="690" t="s">
        <v>2774</v>
      </c>
      <c r="B62" s="261">
        <f t="shared" si="17"/>
        <v>0</v>
      </c>
      <c r="C62" s="199">
        <f t="shared" si="16"/>
        <v>0</v>
      </c>
      <c r="D62" s="1162">
        <v>0.25</v>
      </c>
      <c r="E62" s="260">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9" customFormat="1">
      <c r="A63" s="690" t="s">
        <v>2776</v>
      </c>
      <c r="B63" s="261">
        <f t="shared" si="17"/>
        <v>0</v>
      </c>
      <c r="C63" s="199">
        <f t="shared" si="16"/>
        <v>0</v>
      </c>
      <c r="D63" s="1162">
        <v>0.25</v>
      </c>
      <c r="E63" s="260">
        <f>'数据-汇总表'!E13</f>
        <v>0</v>
      </c>
      <c r="F63" s="1101">
        <f t="shared" si="15"/>
        <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9" customFormat="1">
      <c r="A64" s="690" t="s">
        <v>2778</v>
      </c>
      <c r="B64" s="261">
        <f t="shared" si="17"/>
        <v>0</v>
      </c>
      <c r="C64" s="199">
        <f t="shared" si="16"/>
        <v>0</v>
      </c>
      <c r="D64" s="1162">
        <v>0.25</v>
      </c>
      <c r="E64" s="260">
        <f>'数据-汇总表'!E14</f>
        <v>0</v>
      </c>
      <c r="F64" s="1101">
        <f t="shared" si="15"/>
        <v>0</v>
      </c>
      <c r="G64" s="2706" t="s">
        <v>2768</v>
      </c>
      <c r="H64" s="1102">
        <f>项目基本情况!B37</f>
        <v>0</v>
      </c>
      <c r="I64" s="1106">
        <f>SUMIF(修正!A45:A56,H64,修正!H45:H56)</f>
        <v>0</v>
      </c>
      <c r="J64" s="1110"/>
      <c r="K64" s="1143"/>
      <c r="L64" s="939"/>
      <c r="M64" s="939"/>
      <c r="N64" s="939"/>
      <c r="O64" s="939"/>
    </row>
    <row r="65" spans="1:17" s="689" customFormat="1" ht="15" thickBot="1">
      <c r="A65" s="690" t="s">
        <v>2779</v>
      </c>
      <c r="B65" s="261">
        <f t="shared" si="17"/>
        <v>0</v>
      </c>
      <c r="C65" s="199">
        <f t="shared" si="16"/>
        <v>0</v>
      </c>
      <c r="D65" s="1162">
        <v>0.25</v>
      </c>
      <c r="E65" s="260">
        <f>'数据-汇总表'!E15</f>
        <v>0</v>
      </c>
      <c r="F65" s="1101">
        <f t="shared" si="15"/>
        <v>0</v>
      </c>
      <c r="G65" s="2707" t="s">
        <v>2773</v>
      </c>
      <c r="H65" s="1112">
        <f>项目基本情况!C37</f>
        <v>0</v>
      </c>
      <c r="I65" s="1108">
        <f>SUMIF(修正!A45:A56,H65,修正!H45:H56)</f>
        <v>0</v>
      </c>
      <c r="J65" s="1111"/>
      <c r="K65" s="1142"/>
      <c r="L65" s="939"/>
      <c r="M65" s="939"/>
      <c r="N65" s="939"/>
      <c r="O65" s="939"/>
    </row>
    <row r="66" spans="1:17" s="689" customFormat="1" ht="13.5" thickBot="1">
      <c r="A66" s="692" t="s">
        <v>2780</v>
      </c>
      <c r="B66" s="693" t="s">
        <v>28</v>
      </c>
      <c r="C66" s="693" t="s">
        <v>29</v>
      </c>
      <c r="D66" s="693" t="s">
        <v>1029</v>
      </c>
      <c r="E66" s="693">
        <f>IF(B46="楼面地价",SUM(E56:E65),'数据-汇总表'!D3)</f>
        <v>7918.4</v>
      </c>
      <c r="F66" s="694">
        <f>IF(B46="楼面地价",SUM(F56:F65),ROUND(C48*E66/10000,0))</f>
        <v>835</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2018-9-1</v>
      </c>
      <c r="D68" s="756">
        <f>EDATE(C68,-3)</f>
        <v>43252</v>
      </c>
      <c r="E68" s="756">
        <f>EDATE(D68,-3)</f>
        <v>43160</v>
      </c>
      <c r="F68" s="756">
        <f t="shared" ref="F68:O68" si="18">EDATE(E68,-3)</f>
        <v>43070</v>
      </c>
      <c r="G68" s="756">
        <f t="shared" si="18"/>
        <v>42979</v>
      </c>
      <c r="H68" s="756">
        <f t="shared" si="18"/>
        <v>42887</v>
      </c>
      <c r="I68" s="756">
        <f t="shared" si="18"/>
        <v>42795</v>
      </c>
      <c r="J68" s="756">
        <f t="shared" si="18"/>
        <v>42705</v>
      </c>
      <c r="K68" s="756">
        <f t="shared" si="18"/>
        <v>42614</v>
      </c>
      <c r="L68" s="756">
        <f t="shared" si="18"/>
        <v>42522</v>
      </c>
      <c r="M68" s="756">
        <f t="shared" si="18"/>
        <v>42430</v>
      </c>
      <c r="N68" s="756">
        <f t="shared" si="18"/>
        <v>42339</v>
      </c>
      <c r="O68" s="756">
        <f t="shared" si="18"/>
        <v>42248</v>
      </c>
    </row>
    <row r="69" spans="1:17" ht="21.75" thickBot="1">
      <c r="A69" s="758" t="s">
        <v>2673</v>
      </c>
      <c r="B69" s="754"/>
      <c r="C69" s="759"/>
      <c r="D69" s="759"/>
      <c r="E69" s="759"/>
      <c r="F69" s="760"/>
      <c r="G69" s="760"/>
      <c r="H69" s="759"/>
      <c r="I69" s="759"/>
      <c r="J69" s="1157"/>
      <c r="K69" s="1158"/>
      <c r="L69" s="1159"/>
      <c r="M69" s="1157"/>
      <c r="N69" s="1157"/>
      <c r="O69" s="1157"/>
      <c r="P69" s="502"/>
      <c r="Q69" s="503"/>
    </row>
    <row r="70" spans="1:17" s="507" customFormat="1" ht="15">
      <c r="A70" s="2708" t="s">
        <v>2781</v>
      </c>
      <c r="B70" s="1356"/>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6"/>
    </row>
    <row r="71" spans="1:17" s="117" customFormat="1" ht="30" customHeight="1">
      <c r="A71" s="2709" t="s">
        <v>2782</v>
      </c>
      <c r="B71" s="331" t="str">
        <f>"北京市平均增长率"&amp;TEXT(SUMIF(基准地价修正!N21:N25,A71,基准地价修正!P21:P25),"0.00%")</f>
        <v>北京市平均增长率0.00%</v>
      </c>
      <c r="C71" s="602">
        <v>100</v>
      </c>
      <c r="D71" s="594">
        <v>99.5</v>
      </c>
      <c r="E71" s="594">
        <v>99</v>
      </c>
      <c r="F71" s="594"/>
      <c r="G71" s="594"/>
      <c r="H71" s="594"/>
      <c r="I71" s="594"/>
      <c r="J71" s="594"/>
      <c r="K71" s="594"/>
      <c r="L71" s="594"/>
      <c r="M71" s="1564"/>
      <c r="N71" s="594"/>
      <c r="O71" s="1565"/>
      <c r="P71" s="503"/>
    </row>
    <row r="72" spans="1:17" s="117" customFormat="1" ht="15.75" thickBot="1">
      <c r="A72" s="514" t="s">
        <v>2584</v>
      </c>
      <c r="B72" s="515"/>
      <c r="C72" s="516"/>
      <c r="D72" s="517"/>
      <c r="E72" s="517"/>
      <c r="F72" s="517"/>
      <c r="G72" s="517"/>
      <c r="H72" s="517"/>
      <c r="I72" s="517"/>
      <c r="J72" s="517"/>
      <c r="K72" s="517"/>
      <c r="L72" s="517"/>
      <c r="M72" s="518"/>
      <c r="N72" s="517"/>
      <c r="O72" s="1160"/>
      <c r="P72" s="503"/>
      <c r="Q72" s="503"/>
    </row>
    <row r="73" spans="1:17" s="117" customFormat="1" ht="15">
      <c r="A73" s="520" t="s">
        <v>2549</v>
      </c>
      <c r="B73" s="509"/>
      <c r="C73" s="521" t="s">
        <v>2651</v>
      </c>
      <c r="D73" s="522"/>
      <c r="E73" s="522"/>
      <c r="F73" s="522"/>
      <c r="G73" s="522"/>
      <c r="H73" s="522"/>
      <c r="I73" s="522"/>
      <c r="J73" s="522"/>
      <c r="K73" s="522"/>
      <c r="L73" s="523"/>
      <c r="M73" s="524"/>
      <c r="N73" s="1149"/>
      <c r="O73" s="1149"/>
      <c r="P73" s="525"/>
      <c r="Q73" s="503"/>
    </row>
    <row r="74" spans="1:17" s="117" customFormat="1" ht="15.75" thickBot="1">
      <c r="A74" s="520"/>
      <c r="B74" s="509"/>
      <c r="C74" s="636">
        <v>100</v>
      </c>
      <c r="D74" s="511"/>
      <c r="E74" s="511"/>
      <c r="F74" s="511"/>
      <c r="G74" s="511"/>
      <c r="H74" s="511"/>
      <c r="I74" s="511"/>
      <c r="J74" s="511"/>
      <c r="K74" s="511"/>
      <c r="L74" s="511"/>
      <c r="M74" s="513"/>
      <c r="N74" s="1149"/>
      <c r="O74" s="1149"/>
      <c r="P74" s="503"/>
      <c r="Q74" s="503"/>
    </row>
    <row r="75" spans="1:17">
      <c r="A75" s="526" t="s">
        <v>2587</v>
      </c>
      <c r="B75" s="527" t="s">
        <v>2553</v>
      </c>
      <c r="C75" s="2949" t="s">
        <v>3124</v>
      </c>
      <c r="D75" s="529"/>
      <c r="E75" s="529"/>
      <c r="F75" s="529"/>
      <c r="G75" s="529"/>
      <c r="H75" s="529"/>
      <c r="I75" s="529"/>
      <c r="J75" s="529"/>
      <c r="K75" s="530"/>
      <c r="L75" s="531"/>
      <c r="M75" s="532"/>
      <c r="N75" s="1150"/>
      <c r="O75" s="1150"/>
      <c r="P75" s="45"/>
      <c r="Q75" s="503"/>
    </row>
    <row r="76" spans="1:17" ht="15.75" thickBot="1">
      <c r="A76" s="533"/>
      <c r="B76" s="534"/>
      <c r="C76" s="535">
        <v>100</v>
      </c>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5"/>
      <c r="M96" s="619"/>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19"/>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7" t="s">
        <v>2674</v>
      </c>
      <c r="D102" s="657" t="s">
        <v>2675</v>
      </c>
      <c r="E102" s="657" t="s">
        <v>2676</v>
      </c>
      <c r="F102" s="657" t="s">
        <v>2677</v>
      </c>
      <c r="G102" s="657" t="s">
        <v>2678</v>
      </c>
      <c r="H102" s="599"/>
      <c r="I102" s="599"/>
      <c r="J102" s="599"/>
      <c r="K102" s="599"/>
      <c r="L102" s="599"/>
      <c r="M102" s="1382"/>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2690</v>
      </c>
      <c r="C106" s="553"/>
      <c r="D106" s="553"/>
      <c r="E106" s="553"/>
      <c r="F106" s="2948" t="s">
        <v>3127</v>
      </c>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2749</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2"/>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4"/>
      <c r="E115" s="674"/>
      <c r="F115" s="674"/>
      <c r="G115" s="674"/>
      <c r="H115" s="674"/>
      <c r="I115" s="674"/>
      <c r="J115" s="674"/>
      <c r="K115" s="674"/>
      <c r="L115" s="674"/>
      <c r="M115" s="696"/>
      <c r="N115" s="1151"/>
      <c r="O115" s="1151"/>
      <c r="P115" s="557"/>
      <c r="Q115" s="558"/>
    </row>
    <row r="116" spans="1:17" ht="28.5">
      <c r="A116" s="526" t="s">
        <v>2562</v>
      </c>
      <c r="B116" s="527" t="s">
        <v>2790</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250000(含)-300000</v>
      </c>
      <c r="I116" s="528" t="str">
        <f t="shared" si="25"/>
        <v>300000(含)-350000</v>
      </c>
      <c r="J116" s="528" t="str">
        <f t="shared" si="25"/>
        <v>350000(含)-</v>
      </c>
      <c r="K116" s="528" t="str">
        <f t="shared" si="25"/>
        <v>(含)-</v>
      </c>
      <c r="L116" s="528" t="str">
        <f t="shared" si="25"/>
        <v>(含)-</v>
      </c>
      <c r="M116" s="528" t="str">
        <f t="shared" si="25"/>
        <v>(含)-</v>
      </c>
      <c r="N116" s="1150"/>
      <c r="O116" s="1150"/>
      <c r="P116" s="45"/>
      <c r="Q116" s="503"/>
    </row>
    <row r="117" spans="1:17" ht="15">
      <c r="A117" s="533"/>
      <c r="B117" s="545"/>
      <c r="C117" s="594">
        <v>0</v>
      </c>
      <c r="D117" s="594">
        <v>50000</v>
      </c>
      <c r="E117" s="594">
        <v>100000</v>
      </c>
      <c r="F117" s="594">
        <v>150000</v>
      </c>
      <c r="G117" s="594">
        <v>200000</v>
      </c>
      <c r="H117" s="594">
        <v>250000</v>
      </c>
      <c r="I117" s="594">
        <v>300000</v>
      </c>
      <c r="J117" s="594">
        <v>350000</v>
      </c>
      <c r="K117" s="595"/>
      <c r="L117" s="596"/>
      <c r="M117" s="597"/>
      <c r="N117" s="1150"/>
      <c r="O117" s="1150"/>
      <c r="P117" s="45"/>
      <c r="Q117" s="503"/>
    </row>
    <row r="118" spans="1:17" ht="15.75" thickBot="1">
      <c r="A118" s="533"/>
      <c r="B118" s="542"/>
      <c r="C118" s="569">
        <v>100</v>
      </c>
      <c r="D118" s="590">
        <v>102</v>
      </c>
      <c r="E118" s="569">
        <v>104</v>
      </c>
      <c r="F118" s="590">
        <v>106</v>
      </c>
      <c r="G118" s="569">
        <v>108</v>
      </c>
      <c r="H118" s="590">
        <v>110</v>
      </c>
      <c r="I118" s="569">
        <v>112</v>
      </c>
      <c r="J118" s="590">
        <v>114</v>
      </c>
      <c r="K118" s="590"/>
      <c r="L118" s="590"/>
      <c r="M118" s="591"/>
      <c r="N118" s="1151"/>
      <c r="O118" s="1151"/>
      <c r="P118" s="45"/>
      <c r="Q118" s="503"/>
    </row>
    <row r="119" spans="1:17" ht="15" thickTop="1">
      <c r="A119" s="598"/>
      <c r="B119" s="537" t="s">
        <v>2791</v>
      </c>
      <c r="C119" s="2948" t="s">
        <v>3129</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2948" t="s">
        <v>3134</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2948" t="s">
        <v>3131</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2948" t="s">
        <v>3132</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7"/>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2326</v>
      </c>
      <c r="B2" s="668"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2328</v>
      </c>
      <c r="B3" s="608" t="e">
        <f>ROUND(IF(D3="",B2*10000/'数据-汇总表'!E3,B2*10000/D3),0)</f>
        <v>#DIV/0!</v>
      </c>
      <c r="C3" s="246" t="s">
        <v>2745</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2644</v>
      </c>
      <c r="B4" s="401"/>
      <c r="C4" s="3196" t="s">
        <v>2645</v>
      </c>
      <c r="D4" s="3197"/>
      <c r="E4" s="3198" t="s">
        <v>2646</v>
      </c>
      <c r="F4" s="3199"/>
      <c r="G4" s="3196" t="s">
        <v>2647</v>
      </c>
      <c r="H4" s="3197"/>
      <c r="I4" s="3196" t="s">
        <v>2648</v>
      </c>
      <c r="J4" s="3197"/>
      <c r="K4" s="609" t="s">
        <v>2649</v>
      </c>
      <c r="L4" s="1128"/>
      <c r="M4" s="1129"/>
      <c r="N4" s="1129"/>
      <c r="O4" s="1129"/>
      <c r="P4" s="3200" t="s">
        <v>2650</v>
      </c>
      <c r="Q4" s="3201"/>
      <c r="R4" s="3183" t="s">
        <v>2646</v>
      </c>
      <c r="S4" s="3184"/>
      <c r="T4" s="3183" t="s">
        <v>2647</v>
      </c>
      <c r="U4" s="3184"/>
      <c r="V4" s="3208" t="s">
        <v>2648</v>
      </c>
      <c r="W4" s="3208"/>
      <c r="X4" s="1810"/>
      <c r="Y4" s="3183" t="s">
        <v>2650</v>
      </c>
      <c r="Z4" s="3184"/>
      <c r="AA4" s="3178" t="s">
        <v>2646</v>
      </c>
      <c r="AB4" s="3179" t="s">
        <v>2647</v>
      </c>
      <c r="AC4" s="3178" t="s">
        <v>2648</v>
      </c>
    </row>
    <row r="5" spans="1:29" ht="15">
      <c r="A5" s="403"/>
      <c r="B5" s="404"/>
      <c r="C5" s="3189" t="s">
        <v>2541</v>
      </c>
      <c r="D5" s="3190"/>
      <c r="E5" s="3187" t="s">
        <v>2542</v>
      </c>
      <c r="F5" s="3188"/>
      <c r="G5" s="3189" t="s">
        <v>2543</v>
      </c>
      <c r="H5" s="3190"/>
      <c r="I5" s="3189" t="s">
        <v>2544</v>
      </c>
      <c r="J5" s="3190"/>
      <c r="K5" s="609"/>
      <c r="L5" s="1128"/>
      <c r="M5" s="1129"/>
      <c r="N5" s="1129"/>
      <c r="O5" s="1129"/>
      <c r="P5" s="3202"/>
      <c r="Q5" s="3203"/>
      <c r="R5" s="3185"/>
      <c r="S5" s="3186"/>
      <c r="T5" s="3185"/>
      <c r="U5" s="3186"/>
      <c r="V5" s="3208"/>
      <c r="W5" s="3208"/>
      <c r="X5" s="1810"/>
      <c r="Y5" s="3185"/>
      <c r="Z5" s="3186"/>
      <c r="AA5" s="3179"/>
      <c r="AB5" s="3179"/>
      <c r="AC5" s="3179"/>
    </row>
    <row r="6" spans="1:29" ht="15.75" thickBot="1">
      <c r="A6" s="405"/>
      <c r="B6" s="406"/>
      <c r="C6" s="3275" t="s">
        <v>2796</v>
      </c>
      <c r="D6" s="3276"/>
      <c r="E6" s="3277" t="s">
        <v>2796</v>
      </c>
      <c r="F6" s="3278"/>
      <c r="G6" s="3275" t="s">
        <v>2796</v>
      </c>
      <c r="H6" s="3276"/>
      <c r="I6" s="3275" t="s">
        <v>2796</v>
      </c>
      <c r="J6" s="3276"/>
      <c r="K6" s="609" t="s">
        <v>2546</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7" t="s">
        <v>2547</v>
      </c>
      <c r="B7" s="408"/>
      <c r="C7" s="409">
        <f>'数据-取费表'!B2</f>
        <v>43346</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181" t="s">
        <v>2548</v>
      </c>
      <c r="Q7" s="3209"/>
      <c r="R7" s="765" t="s">
        <v>17</v>
      </c>
      <c r="S7" s="766">
        <f t="shared" ref="S7:S15" si="0">F7</f>
        <v>0</v>
      </c>
      <c r="T7" s="765" t="s">
        <v>17</v>
      </c>
      <c r="U7" s="766">
        <f t="shared" ref="U7:U15" si="1">H7</f>
        <v>0</v>
      </c>
      <c r="V7" s="765" t="s">
        <v>17</v>
      </c>
      <c r="W7" s="766">
        <f t="shared" ref="W7:W15" si="2">J7</f>
        <v>0</v>
      </c>
      <c r="X7" s="767"/>
      <c r="Y7" s="3181" t="s">
        <v>2548</v>
      </c>
      <c r="Z7" s="3182"/>
      <c r="AA7" s="768" t="e">
        <f>D7/F7</f>
        <v>#DIV/0!</v>
      </c>
      <c r="AB7" s="768" t="e">
        <f>D7/H7</f>
        <v>#DIV/0!</v>
      </c>
      <c r="AC7" s="768"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81" t="s">
        <v>2551</v>
      </c>
      <c r="Q8" s="3182"/>
      <c r="R8" s="765" t="s">
        <v>17</v>
      </c>
      <c r="S8" s="766">
        <f t="shared" si="0"/>
        <v>0</v>
      </c>
      <c r="T8" s="765" t="s">
        <v>17</v>
      </c>
      <c r="U8" s="766">
        <f t="shared" si="1"/>
        <v>0</v>
      </c>
      <c r="V8" s="765" t="s">
        <v>17</v>
      </c>
      <c r="W8" s="766">
        <f t="shared" si="2"/>
        <v>0</v>
      </c>
      <c r="X8" s="767"/>
      <c r="Y8" s="3181" t="s">
        <v>2551</v>
      </c>
      <c r="Z8" s="3182"/>
      <c r="AA8" s="768" t="e">
        <f t="shared" ref="AA8:AA40" si="3">D8/F8</f>
        <v>#DIV/0!</v>
      </c>
      <c r="AB8" s="768" t="e">
        <f t="shared" ref="AB8:AB40" si="4">D8/H8</f>
        <v>#DIV/0!</v>
      </c>
      <c r="AC8" s="768" t="e">
        <f t="shared" ref="AC8:AC40" si="5">D8/J8</f>
        <v>#DIV/0!</v>
      </c>
    </row>
    <row r="9" spans="1:29" s="117" customFormat="1">
      <c r="A9" s="414" t="s">
        <v>2552</v>
      </c>
      <c r="B9" s="71" t="s">
        <v>2553</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13" t="s">
        <v>2554</v>
      </c>
      <c r="Q9" s="1792" t="str">
        <f t="shared" ref="Q9:Q15" si="6">B9</f>
        <v>用途</v>
      </c>
      <c r="R9" s="765" t="s">
        <v>17</v>
      </c>
      <c r="S9" s="766">
        <f t="shared" si="0"/>
        <v>100</v>
      </c>
      <c r="T9" s="765" t="s">
        <v>17</v>
      </c>
      <c r="U9" s="766">
        <f t="shared" si="1"/>
        <v>100</v>
      </c>
      <c r="V9" s="765" t="s">
        <v>17</v>
      </c>
      <c r="W9" s="766">
        <f t="shared" si="2"/>
        <v>100</v>
      </c>
      <c r="X9" s="767"/>
      <c r="Y9" s="3052" t="s">
        <v>2555</v>
      </c>
      <c r="Z9" s="55" t="str">
        <f t="shared" ref="Z9:Z15" si="7">Q9</f>
        <v>用途</v>
      </c>
      <c r="AA9" s="768">
        <f t="shared" si="3"/>
        <v>1</v>
      </c>
      <c r="AB9" s="768">
        <f t="shared" si="4"/>
        <v>1</v>
      </c>
      <c r="AC9" s="768">
        <f t="shared" si="5"/>
        <v>1</v>
      </c>
    </row>
    <row r="10" spans="1:29" s="426" customFormat="1" ht="27">
      <c r="A10" s="420"/>
      <c r="B10" s="421" t="s">
        <v>2556</v>
      </c>
      <c r="C10" s="431"/>
      <c r="D10" s="135">
        <v>100</v>
      </c>
      <c r="E10" s="431"/>
      <c r="F10" s="135">
        <f>ROUND(100/'数据-取费表'!G16,0)</f>
        <v>115</v>
      </c>
      <c r="G10" s="431"/>
      <c r="H10" s="135">
        <f>ROUND(100/'数据-取费表'!G16,0)</f>
        <v>115</v>
      </c>
      <c r="I10" s="431"/>
      <c r="J10" s="135">
        <f>ROUND(100/'数据-取费表'!G16,0)</f>
        <v>115</v>
      </c>
      <c r="K10" s="669"/>
      <c r="L10" s="1133"/>
      <c r="M10" s="1134"/>
      <c r="N10" s="1134"/>
      <c r="O10" s="1135"/>
      <c r="P10" s="3213"/>
      <c r="Q10" s="1792" t="str">
        <f t="shared" si="6"/>
        <v>土地使用年限（年）</v>
      </c>
      <c r="R10" s="765" t="s">
        <v>17</v>
      </c>
      <c r="S10" s="766">
        <f t="shared" si="0"/>
        <v>115</v>
      </c>
      <c r="T10" s="765" t="s">
        <v>17</v>
      </c>
      <c r="U10" s="766">
        <f t="shared" si="1"/>
        <v>115</v>
      </c>
      <c r="V10" s="765" t="s">
        <v>17</v>
      </c>
      <c r="W10" s="766">
        <f t="shared" si="2"/>
        <v>115</v>
      </c>
      <c r="X10" s="767"/>
      <c r="Y10" s="3052"/>
      <c r="Z10" s="55" t="str">
        <f t="shared" si="7"/>
        <v>土地使用年限（年）</v>
      </c>
      <c r="AA10" s="768">
        <f t="shared" si="3"/>
        <v>0.86956521739130432</v>
      </c>
      <c r="AB10" s="768">
        <f t="shared" si="4"/>
        <v>0.86956521739130432</v>
      </c>
      <c r="AC10" s="768">
        <f t="shared" si="5"/>
        <v>0.86956521739130432</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6"/>
      <c r="M11" s="1129"/>
      <c r="N11" s="1129"/>
      <c r="O11" s="1137"/>
      <c r="P11" s="3213"/>
      <c r="Q11" s="1792" t="str">
        <f t="shared" si="6"/>
        <v>容积率</v>
      </c>
      <c r="R11" s="765" t="s">
        <v>17</v>
      </c>
      <c r="S11" s="766" t="e">
        <f t="shared" si="0"/>
        <v>#N/A</v>
      </c>
      <c r="T11" s="765" t="s">
        <v>17</v>
      </c>
      <c r="U11" s="766" t="e">
        <f t="shared" si="1"/>
        <v>#N/A</v>
      </c>
      <c r="V11" s="765" t="s">
        <v>17</v>
      </c>
      <c r="W11" s="766" t="e">
        <f t="shared" si="2"/>
        <v>#N/A</v>
      </c>
      <c r="X11" s="767"/>
      <c r="Y11" s="3052"/>
      <c r="Z11" s="55" t="str">
        <f t="shared" si="7"/>
        <v>容积率</v>
      </c>
      <c r="AA11" s="768" t="e">
        <f t="shared" si="3"/>
        <v>#N/A</v>
      </c>
      <c r="AB11" s="768" t="e">
        <f t="shared" si="4"/>
        <v>#N/A</v>
      </c>
      <c r="AC11" s="768" t="e">
        <f t="shared" si="5"/>
        <v>#N/A</v>
      </c>
    </row>
    <row r="12" spans="1:29" s="117" customFormat="1" ht="15">
      <c r="A12" s="430"/>
      <c r="B12" s="2597">
        <v>111</v>
      </c>
      <c r="C12" s="431"/>
      <c r="D12" s="432">
        <v>100</v>
      </c>
      <c r="E12" s="548"/>
      <c r="F12" s="135">
        <f>SUMIF(77:77,E12,78:78)-SUMIF(77:77,C12,78:78)+100</f>
        <v>100</v>
      </c>
      <c r="G12" s="671"/>
      <c r="H12" s="135">
        <f>SUMIF(77:77,G12,78:78)-SUMIF(77:77,C12,78:78)+100</f>
        <v>100</v>
      </c>
      <c r="I12" s="548"/>
      <c r="J12" s="135">
        <f>SUMIF(77:77,I12,78:78)-SUMIF(77:77,C12,78:78)+100</f>
        <v>100</v>
      </c>
      <c r="K12" s="669"/>
      <c r="L12" s="1130"/>
      <c r="M12" s="1131"/>
      <c r="N12" s="1131"/>
      <c r="O12" s="1132"/>
      <c r="P12" s="3213"/>
      <c r="Q12" s="1792">
        <f t="shared" si="6"/>
        <v>111</v>
      </c>
      <c r="R12" s="765" t="s">
        <v>17</v>
      </c>
      <c r="S12" s="766">
        <f t="shared" si="0"/>
        <v>100</v>
      </c>
      <c r="T12" s="765" t="s">
        <v>17</v>
      </c>
      <c r="U12" s="766">
        <f t="shared" si="1"/>
        <v>100</v>
      </c>
      <c r="V12" s="765" t="s">
        <v>17</v>
      </c>
      <c r="W12" s="766">
        <f t="shared" si="2"/>
        <v>100</v>
      </c>
      <c r="X12" s="767"/>
      <c r="Y12" s="3052"/>
      <c r="Z12" s="55">
        <f t="shared" si="7"/>
        <v>111</v>
      </c>
      <c r="AA12" s="768">
        <f>D12/F12</f>
        <v>1</v>
      </c>
      <c r="AB12" s="768">
        <f>D12/H12</f>
        <v>1</v>
      </c>
      <c r="AC12" s="768">
        <f>D12/J12</f>
        <v>1</v>
      </c>
    </row>
    <row r="13" spans="1:29" ht="15">
      <c r="A13" s="427"/>
      <c r="B13" s="2597">
        <v>111</v>
      </c>
      <c r="C13" s="433"/>
      <c r="D13" s="434">
        <v>100</v>
      </c>
      <c r="E13" s="548"/>
      <c r="F13" s="135">
        <f>SUMIF(79:79,E13,80:80)-SUMIF(79:79,C13,80:80)+100</f>
        <v>100</v>
      </c>
      <c r="G13" s="671"/>
      <c r="H13" s="434">
        <f>SUMIF(79:79,G13,80:80)-SUMIF(79:79,C13,80:80)+100</f>
        <v>100</v>
      </c>
      <c r="I13" s="548"/>
      <c r="J13" s="434">
        <f>SUMIF(79:79,I13,80:80)-SUMIF(79:79,C13,80:80)+100</f>
        <v>100</v>
      </c>
      <c r="K13" s="669"/>
      <c r="L13" s="1138"/>
      <c r="M13" s="1129"/>
      <c r="N13" s="1129"/>
      <c r="O13" s="1137"/>
      <c r="P13" s="3213"/>
      <c r="Q13" s="1792">
        <f t="shared" si="6"/>
        <v>111</v>
      </c>
      <c r="R13" s="765" t="s">
        <v>17</v>
      </c>
      <c r="S13" s="766">
        <f t="shared" si="0"/>
        <v>100</v>
      </c>
      <c r="T13" s="765" t="s">
        <v>17</v>
      </c>
      <c r="U13" s="766">
        <f t="shared" si="1"/>
        <v>100</v>
      </c>
      <c r="V13" s="765" t="s">
        <v>17</v>
      </c>
      <c r="W13" s="766">
        <f t="shared" si="2"/>
        <v>100</v>
      </c>
      <c r="X13" s="767"/>
      <c r="Y13" s="3052"/>
      <c r="Z13" s="55">
        <f t="shared" si="7"/>
        <v>111</v>
      </c>
      <c r="AA13" s="768">
        <f t="shared" si="3"/>
        <v>1</v>
      </c>
      <c r="AB13" s="768">
        <f t="shared" si="4"/>
        <v>1</v>
      </c>
      <c r="AC13" s="768">
        <f t="shared" si="5"/>
        <v>1</v>
      </c>
    </row>
    <row r="14" spans="1:29" ht="15.75" thickBot="1">
      <c r="A14" s="435"/>
      <c r="B14" s="2599">
        <v>111</v>
      </c>
      <c r="C14" s="436"/>
      <c r="D14" s="437">
        <v>100</v>
      </c>
      <c r="E14" s="548"/>
      <c r="F14" s="437">
        <f>SUMIF(81:81,E14,82:82)-SUMIF(81:81,C14,82:82)+100</f>
        <v>100</v>
      </c>
      <c r="G14" s="671"/>
      <c r="H14" s="437">
        <f>SUMIF(81:81,G14,82:82)-SUMIF(81:81,C14,82:82)+100</f>
        <v>100</v>
      </c>
      <c r="I14" s="548"/>
      <c r="J14" s="437">
        <f>SUMIF(81:81,I14,82:82)-SUMIF(81:81,C14,82:82)+100</f>
        <v>100</v>
      </c>
      <c r="K14" s="669"/>
      <c r="L14" s="1138"/>
      <c r="M14" s="1129"/>
      <c r="N14" s="1129"/>
      <c r="O14" s="1137"/>
      <c r="P14" s="3213"/>
      <c r="Q14" s="1792">
        <f t="shared" si="6"/>
        <v>111</v>
      </c>
      <c r="R14" s="765" t="s">
        <v>17</v>
      </c>
      <c r="S14" s="766">
        <f t="shared" si="0"/>
        <v>100</v>
      </c>
      <c r="T14" s="765" t="s">
        <v>17</v>
      </c>
      <c r="U14" s="766">
        <f t="shared" si="1"/>
        <v>100</v>
      </c>
      <c r="V14" s="765" t="s">
        <v>17</v>
      </c>
      <c r="W14" s="766">
        <f t="shared" si="2"/>
        <v>100</v>
      </c>
      <c r="X14" s="767"/>
      <c r="Y14" s="3052"/>
      <c r="Z14" s="55">
        <f t="shared" si="7"/>
        <v>111</v>
      </c>
      <c r="AA14" s="768">
        <f t="shared" si="3"/>
        <v>1</v>
      </c>
      <c r="AB14" s="768">
        <f t="shared" si="4"/>
        <v>1</v>
      </c>
      <c r="AC14" s="768">
        <f t="shared" si="5"/>
        <v>1</v>
      </c>
    </row>
    <row r="15" spans="1:29" ht="57">
      <c r="A15" s="439" t="s">
        <v>2558</v>
      </c>
      <c r="B15" s="626" t="s">
        <v>2797</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38"/>
      <c r="M15" s="1129"/>
      <c r="N15" s="1129"/>
      <c r="O15" s="1137"/>
      <c r="P15" s="3215" t="s">
        <v>2559</v>
      </c>
      <c r="Q15" s="1807" t="str">
        <f t="shared" si="6"/>
        <v>产业集聚程度</v>
      </c>
      <c r="R15" s="769" t="s">
        <v>17</v>
      </c>
      <c r="S15" s="770">
        <f t="shared" si="0"/>
        <v>100</v>
      </c>
      <c r="T15" s="769" t="s">
        <v>17</v>
      </c>
      <c r="U15" s="770">
        <f t="shared" si="1"/>
        <v>100</v>
      </c>
      <c r="V15" s="769" t="s">
        <v>17</v>
      </c>
      <c r="W15" s="770">
        <f t="shared" si="2"/>
        <v>100</v>
      </c>
      <c r="X15" s="1810"/>
      <c r="Y15" s="3215" t="s">
        <v>2559</v>
      </c>
      <c r="Z15" s="1811" t="str">
        <f t="shared" si="7"/>
        <v>产业集聚程度</v>
      </c>
      <c r="AA15" s="1808">
        <f t="shared" si="3"/>
        <v>1</v>
      </c>
      <c r="AB15" s="1808">
        <f t="shared" si="4"/>
        <v>1</v>
      </c>
      <c r="AC15" s="1808">
        <f t="shared" si="5"/>
        <v>1</v>
      </c>
    </row>
    <row r="16" spans="1:29" ht="15">
      <c r="A16" s="427"/>
      <c r="B16" s="627"/>
      <c r="C16" s="446"/>
      <c r="D16" s="447"/>
      <c r="E16" s="2608"/>
      <c r="F16" s="447"/>
      <c r="G16" s="2608"/>
      <c r="H16" s="449"/>
      <c r="I16" s="2608"/>
      <c r="J16" s="447"/>
      <c r="K16" s="669"/>
      <c r="L16" s="1138"/>
      <c r="M16" s="1129"/>
      <c r="N16" s="1129"/>
      <c r="O16" s="1137"/>
      <c r="P16" s="3216"/>
      <c r="Q16" s="1807"/>
      <c r="R16" s="769"/>
      <c r="S16" s="770"/>
      <c r="T16" s="769"/>
      <c r="U16" s="770"/>
      <c r="V16" s="769"/>
      <c r="W16" s="770"/>
      <c r="X16" s="1810"/>
      <c r="Y16" s="3216"/>
      <c r="Z16" s="1811"/>
      <c r="AA16" s="1808">
        <v>1</v>
      </c>
      <c r="AB16" s="1808">
        <v>1</v>
      </c>
      <c r="AC16" s="1808">
        <v>1</v>
      </c>
    </row>
    <row r="17" spans="1:29" ht="85.5">
      <c r="A17" s="427"/>
      <c r="B17" s="628" t="s">
        <v>2708</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38"/>
      <c r="M17" s="1129"/>
      <c r="N17" s="1129"/>
      <c r="O17" s="1137"/>
      <c r="P17" s="3216"/>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1808">
        <f t="shared" si="5"/>
        <v>1</v>
      </c>
    </row>
    <row r="18" spans="1:29" ht="15">
      <c r="A18" s="427"/>
      <c r="B18" s="629"/>
      <c r="C18" s="446"/>
      <c r="D18" s="447"/>
      <c r="E18" s="2602"/>
      <c r="F18" s="447"/>
      <c r="G18" s="2602"/>
      <c r="H18" s="447"/>
      <c r="I18" s="2601"/>
      <c r="J18" s="447"/>
      <c r="K18" s="669"/>
      <c r="L18" s="1138"/>
      <c r="M18" s="1129"/>
      <c r="N18" s="1129"/>
      <c r="O18" s="1137"/>
      <c r="P18" s="3216"/>
      <c r="Q18" s="1807"/>
      <c r="R18" s="769"/>
      <c r="S18" s="770"/>
      <c r="T18" s="769"/>
      <c r="U18" s="770"/>
      <c r="V18" s="769"/>
      <c r="W18" s="770"/>
      <c r="X18" s="1810"/>
      <c r="Y18" s="3216"/>
      <c r="Z18" s="1811"/>
      <c r="AA18" s="1808">
        <v>1</v>
      </c>
      <c r="AB18" s="1808">
        <v>1</v>
      </c>
      <c r="AC18" s="1808">
        <v>1</v>
      </c>
    </row>
    <row r="19" spans="1:29" ht="15">
      <c r="A19" s="427"/>
      <c r="B19" s="628" t="s">
        <v>2747</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38"/>
      <c r="M19" s="1129"/>
      <c r="N19" s="1129"/>
      <c r="O19" s="1137"/>
      <c r="P19" s="3216"/>
      <c r="Q19" s="1807" t="str">
        <f t="shared" ref="Q19:Q33" si="8">B19</f>
        <v>区域土地利用方向</v>
      </c>
      <c r="R19" s="769" t="s">
        <v>17</v>
      </c>
      <c r="S19" s="770">
        <f>F19</f>
        <v>100</v>
      </c>
      <c r="T19" s="769" t="s">
        <v>17</v>
      </c>
      <c r="U19" s="770">
        <f>H19</f>
        <v>100</v>
      </c>
      <c r="V19" s="769" t="s">
        <v>17</v>
      </c>
      <c r="W19" s="770">
        <f>J19</f>
        <v>100</v>
      </c>
      <c r="X19" s="1810"/>
      <c r="Y19" s="3216"/>
      <c r="Z19" s="1811" t="str">
        <f>Q19</f>
        <v>区域土地利用方向</v>
      </c>
      <c r="AA19" s="1808">
        <f t="shared" si="3"/>
        <v>1</v>
      </c>
      <c r="AB19" s="1808">
        <f t="shared" si="4"/>
        <v>1</v>
      </c>
      <c r="AC19" s="1808">
        <f t="shared" si="5"/>
        <v>1</v>
      </c>
    </row>
    <row r="20" spans="1:29" ht="15">
      <c r="A20" s="403"/>
      <c r="B20" s="629"/>
      <c r="C20" s="446"/>
      <c r="D20" s="447"/>
      <c r="E20" s="2602"/>
      <c r="F20" s="447"/>
      <c r="G20" s="2602"/>
      <c r="H20" s="447"/>
      <c r="I20" s="2602"/>
      <c r="J20" s="447"/>
      <c r="K20" s="807"/>
      <c r="L20" s="1138"/>
      <c r="M20" s="1129"/>
      <c r="N20" s="1129"/>
      <c r="O20" s="1137"/>
      <c r="P20" s="3216"/>
      <c r="Q20" s="1807"/>
      <c r="R20" s="769"/>
      <c r="S20" s="770"/>
      <c r="T20" s="769"/>
      <c r="U20" s="770"/>
      <c r="V20" s="769"/>
      <c r="W20" s="770"/>
      <c r="X20" s="1810"/>
      <c r="Y20" s="3216"/>
      <c r="Z20" s="1811"/>
      <c r="AA20" s="1808"/>
      <c r="AB20" s="1808"/>
      <c r="AC20" s="1808"/>
    </row>
    <row r="21" spans="1:29" ht="71.25">
      <c r="A21" s="403"/>
      <c r="B21" s="628" t="s">
        <v>2798</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38"/>
      <c r="M21" s="1129"/>
      <c r="N21" s="1129"/>
      <c r="O21" s="1137"/>
      <c r="P21" s="3216"/>
      <c r="Q21" s="1807" t="str">
        <f t="shared" si="8"/>
        <v>环境状况</v>
      </c>
      <c r="R21" s="769" t="s">
        <v>17</v>
      </c>
      <c r="S21" s="770">
        <f>F21</f>
        <v>100</v>
      </c>
      <c r="T21" s="769" t="s">
        <v>17</v>
      </c>
      <c r="U21" s="770">
        <f>H21</f>
        <v>100</v>
      </c>
      <c r="V21" s="769" t="s">
        <v>17</v>
      </c>
      <c r="W21" s="770">
        <f>J21</f>
        <v>100</v>
      </c>
      <c r="X21" s="1810"/>
      <c r="Y21" s="3216"/>
      <c r="Z21" s="1811" t="str">
        <f>Q21</f>
        <v>环境状况</v>
      </c>
      <c r="AA21" s="1808">
        <f t="shared" si="3"/>
        <v>1</v>
      </c>
      <c r="AB21" s="1808">
        <f t="shared" si="4"/>
        <v>1</v>
      </c>
      <c r="AC21" s="1808">
        <f t="shared" si="5"/>
        <v>1</v>
      </c>
    </row>
    <row r="22" spans="1:29" ht="15">
      <c r="A22" s="403"/>
      <c r="B22" s="629"/>
      <c r="C22" s="446"/>
      <c r="D22" s="447"/>
      <c r="E22" s="2608"/>
      <c r="F22" s="447"/>
      <c r="G22" s="2608"/>
      <c r="H22" s="447"/>
      <c r="I22" s="446"/>
      <c r="J22" s="447"/>
      <c r="K22" s="669"/>
      <c r="L22" s="1138"/>
      <c r="M22" s="1129"/>
      <c r="N22" s="1129"/>
      <c r="O22" s="1137"/>
      <c r="P22" s="3216"/>
      <c r="Q22" s="1807"/>
      <c r="R22" s="769"/>
      <c r="S22" s="770"/>
      <c r="T22" s="769"/>
      <c r="U22" s="770"/>
      <c r="V22" s="769"/>
      <c r="W22" s="770"/>
      <c r="X22" s="1810"/>
      <c r="Y22" s="3216"/>
      <c r="Z22" s="1811"/>
      <c r="AA22" s="1808">
        <v>1</v>
      </c>
      <c r="AB22" s="1808">
        <v>1</v>
      </c>
      <c r="AC22" s="1808">
        <v>1</v>
      </c>
    </row>
    <row r="23" spans="1:29" s="117" customFormat="1" ht="42.75">
      <c r="A23" s="646"/>
      <c r="B23" s="630" t="s">
        <v>2653</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0"/>
      <c r="M23" s="1131"/>
      <c r="N23" s="1131"/>
      <c r="O23" s="1132"/>
      <c r="P23" s="3216"/>
      <c r="Q23" s="1792" t="str">
        <f t="shared" si="8"/>
        <v>公共配套设施</v>
      </c>
      <c r="R23" s="765" t="s">
        <v>17</v>
      </c>
      <c r="S23" s="766">
        <f>F23</f>
        <v>100</v>
      </c>
      <c r="T23" s="765" t="s">
        <v>17</v>
      </c>
      <c r="U23" s="766">
        <f>H23</f>
        <v>100</v>
      </c>
      <c r="V23" s="765" t="s">
        <v>17</v>
      </c>
      <c r="W23" s="766">
        <f>J23</f>
        <v>100</v>
      </c>
      <c r="X23" s="767"/>
      <c r="Y23" s="3216"/>
      <c r="Z23" s="55" t="str">
        <f>Q23</f>
        <v>公共配套设施</v>
      </c>
      <c r="AA23" s="1808">
        <f>D23/F23</f>
        <v>1</v>
      </c>
      <c r="AB23" s="1808">
        <f>D23/H23</f>
        <v>1</v>
      </c>
      <c r="AC23" s="1808">
        <f>D23/J23</f>
        <v>1</v>
      </c>
    </row>
    <row r="24" spans="1:29" s="117" customFormat="1" ht="15">
      <c r="A24" s="646"/>
      <c r="B24" s="629"/>
      <c r="C24" s="2697"/>
      <c r="D24" s="447"/>
      <c r="E24" s="2608"/>
      <c r="F24" s="447"/>
      <c r="G24" s="2608"/>
      <c r="H24" s="447"/>
      <c r="I24" s="446"/>
      <c r="J24" s="447"/>
      <c r="K24" s="669"/>
      <c r="L24" s="1130"/>
      <c r="M24" s="1131"/>
      <c r="N24" s="1131"/>
      <c r="O24" s="1132"/>
      <c r="P24" s="3216"/>
      <c r="Q24" s="1792"/>
      <c r="R24" s="765"/>
      <c r="S24" s="766"/>
      <c r="T24" s="765"/>
      <c r="U24" s="766"/>
      <c r="V24" s="765"/>
      <c r="W24" s="766"/>
      <c r="X24" s="767"/>
      <c r="Y24" s="3216"/>
      <c r="Z24" s="55"/>
      <c r="AA24" s="768">
        <v>1</v>
      </c>
      <c r="AB24" s="768">
        <v>1</v>
      </c>
      <c r="AC24" s="768">
        <v>1</v>
      </c>
    </row>
    <row r="25" spans="1:29" s="117" customFormat="1" ht="28.5">
      <c r="A25" s="646"/>
      <c r="B25" s="630" t="s">
        <v>2654</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0"/>
      <c r="M25" s="1131"/>
      <c r="N25" s="1131"/>
      <c r="O25" s="1132"/>
      <c r="P25" s="3216"/>
      <c r="Q25" s="1792" t="str">
        <f t="shared" ref="Q25" si="9">B25</f>
        <v>基础设施水平</v>
      </c>
      <c r="R25" s="765" t="s">
        <v>17</v>
      </c>
      <c r="S25" s="766">
        <f>F25</f>
        <v>100</v>
      </c>
      <c r="T25" s="765" t="s">
        <v>17</v>
      </c>
      <c r="U25" s="766">
        <f>H25</f>
        <v>100</v>
      </c>
      <c r="V25" s="765" t="s">
        <v>17</v>
      </c>
      <c r="W25" s="766">
        <f>J25</f>
        <v>100</v>
      </c>
      <c r="X25" s="767"/>
      <c r="Y25" s="3216"/>
      <c r="Z25" s="55" t="str">
        <f>Q25</f>
        <v>基础设施水平</v>
      </c>
      <c r="AA25" s="1808">
        <f>D25/F25</f>
        <v>1</v>
      </c>
      <c r="AB25" s="1808">
        <f>D25/H25</f>
        <v>1</v>
      </c>
      <c r="AC25" s="1808">
        <f>D25/J25</f>
        <v>1</v>
      </c>
    </row>
    <row r="26" spans="1:29" s="117" customFormat="1" ht="15">
      <c r="A26" s="646"/>
      <c r="B26" s="629"/>
      <c r="C26" s="2697"/>
      <c r="D26" s="447"/>
      <c r="E26" s="2698"/>
      <c r="F26" s="447"/>
      <c r="G26" s="2698"/>
      <c r="H26" s="447"/>
      <c r="I26" s="2698"/>
      <c r="J26" s="447"/>
      <c r="K26" s="669"/>
      <c r="L26" s="1130"/>
      <c r="M26" s="1131"/>
      <c r="N26" s="1131"/>
      <c r="O26" s="1132"/>
      <c r="P26" s="3216"/>
      <c r="Q26" s="1792"/>
      <c r="R26" s="765"/>
      <c r="S26" s="766"/>
      <c r="T26" s="765"/>
      <c r="U26" s="766"/>
      <c r="V26" s="765"/>
      <c r="W26" s="766"/>
      <c r="X26" s="767"/>
      <c r="Y26" s="3216"/>
      <c r="Z26" s="55"/>
      <c r="AA26" s="768">
        <v>1</v>
      </c>
      <c r="AB26" s="768">
        <v>1</v>
      </c>
      <c r="AC26" s="768">
        <v>1</v>
      </c>
    </row>
    <row r="27" spans="1:29" ht="15">
      <c r="A27" s="427"/>
      <c r="B27" s="629" t="s">
        <v>2655</v>
      </c>
      <c r="C27" s="615"/>
      <c r="D27" s="434">
        <v>100</v>
      </c>
      <c r="E27" s="631"/>
      <c r="F27" s="434">
        <f>SUMIF(95:95,E27,96:96)-SUMIF(95:95,C27,96:96)+100</f>
        <v>100</v>
      </c>
      <c r="G27" s="631"/>
      <c r="H27" s="434">
        <f>SUMIF(95:95,G27,96:96)-SUMIF(95:95,C27,96:96)+100</f>
        <v>100</v>
      </c>
      <c r="I27" s="631"/>
      <c r="J27" s="434">
        <f>SUMIF(95:95,I27,96:96)-SUMIF(95:95,C27,96:96)+100</f>
        <v>100</v>
      </c>
      <c r="K27" s="670"/>
      <c r="L27" s="1138"/>
      <c r="M27" s="1129"/>
      <c r="N27" s="1129"/>
      <c r="O27" s="1137"/>
      <c r="P27" s="3216"/>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216"/>
      <c r="Z27" s="1811" t="str">
        <f t="shared" ref="Z27:Z40" si="13">Q27</f>
        <v>临街状况</v>
      </c>
      <c r="AA27" s="1808">
        <f t="shared" si="3"/>
        <v>1</v>
      </c>
      <c r="AB27" s="1808">
        <f t="shared" si="4"/>
        <v>1</v>
      </c>
      <c r="AC27" s="1808">
        <f t="shared" si="5"/>
        <v>1</v>
      </c>
    </row>
    <row r="28" spans="1:29" ht="27">
      <c r="A28" s="427"/>
      <c r="B28" s="630" t="s">
        <v>2690</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38"/>
      <c r="M28" s="1129"/>
      <c r="N28" s="1129"/>
      <c r="O28" s="1137"/>
      <c r="P28" s="3216"/>
      <c r="Q28" s="1807" t="str">
        <f t="shared" si="8"/>
        <v>毗邻道路的类型与等级</v>
      </c>
      <c r="R28" s="769" t="s">
        <v>17</v>
      </c>
      <c r="S28" s="770">
        <f t="shared" si="10"/>
        <v>100</v>
      </c>
      <c r="T28" s="769" t="s">
        <v>17</v>
      </c>
      <c r="U28" s="770">
        <f t="shared" si="11"/>
        <v>100</v>
      </c>
      <c r="V28" s="769" t="s">
        <v>17</v>
      </c>
      <c r="W28" s="770">
        <f t="shared" si="12"/>
        <v>100</v>
      </c>
      <c r="X28" s="1810"/>
      <c r="Y28" s="3216"/>
      <c r="Z28" s="1811" t="str">
        <f t="shared" si="13"/>
        <v>毗邻道路的类型与等级</v>
      </c>
      <c r="AA28" s="1808">
        <f t="shared" si="3"/>
        <v>1</v>
      </c>
      <c r="AB28" s="1808">
        <f t="shared" si="4"/>
        <v>1</v>
      </c>
      <c r="AC28" s="1808">
        <f t="shared" si="5"/>
        <v>1</v>
      </c>
    </row>
    <row r="29" spans="1:29" ht="15">
      <c r="A29" s="427"/>
      <c r="B29" s="629"/>
      <c r="C29" s="446"/>
      <c r="D29" s="447"/>
      <c r="E29" s="2608"/>
      <c r="F29" s="447"/>
      <c r="G29" s="2608"/>
      <c r="H29" s="447"/>
      <c r="I29" s="2608"/>
      <c r="J29" s="447"/>
      <c r="K29" s="612"/>
      <c r="L29" s="1138"/>
      <c r="M29" s="1129"/>
      <c r="N29" s="1129"/>
      <c r="O29" s="1137"/>
      <c r="P29" s="3216"/>
      <c r="Q29" s="1807"/>
      <c r="R29" s="769"/>
      <c r="S29" s="770"/>
      <c r="T29" s="769"/>
      <c r="U29" s="770"/>
      <c r="V29" s="769"/>
      <c r="W29" s="770"/>
      <c r="X29" s="1810"/>
      <c r="Y29" s="3216"/>
      <c r="Z29" s="1811"/>
      <c r="AA29" s="1808">
        <v>1</v>
      </c>
      <c r="AB29" s="1808">
        <v>1</v>
      </c>
      <c r="AC29" s="1808">
        <v>1</v>
      </c>
    </row>
    <row r="30" spans="1:29" ht="15">
      <c r="A30" s="427"/>
      <c r="B30" s="651" t="s">
        <v>2749</v>
      </c>
      <c r="C30" s="1386">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38"/>
      <c r="M30" s="1129"/>
      <c r="N30" s="1129"/>
      <c r="O30" s="1137"/>
      <c r="P30" s="3216"/>
      <c r="Q30" s="1807" t="str">
        <f t="shared" si="8"/>
        <v>土地级别</v>
      </c>
      <c r="R30" s="769" t="s">
        <v>17</v>
      </c>
      <c r="S30" s="770">
        <f t="shared" si="10"/>
        <v>100</v>
      </c>
      <c r="T30" s="769" t="s">
        <v>17</v>
      </c>
      <c r="U30" s="770">
        <f t="shared" si="11"/>
        <v>100</v>
      </c>
      <c r="V30" s="769" t="s">
        <v>17</v>
      </c>
      <c r="W30" s="770">
        <f t="shared" si="12"/>
        <v>100</v>
      </c>
      <c r="X30" s="1810"/>
      <c r="Y30" s="3216"/>
      <c r="Z30" s="1811" t="str">
        <f t="shared" si="13"/>
        <v>土地级别</v>
      </c>
      <c r="AA30" s="1808">
        <f t="shared" si="3"/>
        <v>1</v>
      </c>
      <c r="AB30" s="1808">
        <f t="shared" si="4"/>
        <v>1</v>
      </c>
      <c r="AC30" s="1808">
        <f t="shared" si="5"/>
        <v>1</v>
      </c>
    </row>
    <row r="31" spans="1:29" ht="15">
      <c r="A31" s="403"/>
      <c r="B31" s="2675">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6"/>
      <c r="Q31" s="1807">
        <f t="shared" si="8"/>
        <v>111</v>
      </c>
      <c r="R31" s="769" t="s">
        <v>17</v>
      </c>
      <c r="S31" s="770">
        <f t="shared" si="10"/>
        <v>100</v>
      </c>
      <c r="T31" s="769" t="s">
        <v>17</v>
      </c>
      <c r="U31" s="770">
        <f t="shared" si="11"/>
        <v>100</v>
      </c>
      <c r="V31" s="769" t="s">
        <v>17</v>
      </c>
      <c r="W31" s="770">
        <f t="shared" si="12"/>
        <v>100</v>
      </c>
      <c r="X31" s="1810"/>
      <c r="Y31" s="3216"/>
      <c r="Z31" s="1811">
        <f t="shared" si="13"/>
        <v>111</v>
      </c>
      <c r="AA31" s="1808">
        <f t="shared" si="3"/>
        <v>1</v>
      </c>
      <c r="AB31" s="1808">
        <f t="shared" si="4"/>
        <v>1</v>
      </c>
      <c r="AC31" s="1808">
        <f t="shared" si="5"/>
        <v>1</v>
      </c>
    </row>
    <row r="32" spans="1:29" ht="15">
      <c r="A32" s="672"/>
      <c r="B32" s="2711">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38"/>
      <c r="M32" s="1129"/>
      <c r="N32" s="1129"/>
      <c r="O32" s="1137"/>
      <c r="P32" s="3243" t="s">
        <v>2564</v>
      </c>
      <c r="Q32" s="1807">
        <f t="shared" si="8"/>
        <v>111</v>
      </c>
      <c r="R32" s="769" t="s">
        <v>17</v>
      </c>
      <c r="S32" s="770">
        <f t="shared" si="10"/>
        <v>100</v>
      </c>
      <c r="T32" s="769" t="s">
        <v>17</v>
      </c>
      <c r="U32" s="770">
        <f t="shared" si="11"/>
        <v>100</v>
      </c>
      <c r="V32" s="769" t="s">
        <v>17</v>
      </c>
      <c r="W32" s="770">
        <f t="shared" si="12"/>
        <v>100</v>
      </c>
      <c r="X32" s="1810"/>
      <c r="Y32" s="3220" t="s">
        <v>2564</v>
      </c>
      <c r="Z32" s="1811">
        <f t="shared" si="13"/>
        <v>111</v>
      </c>
      <c r="AA32" s="1808">
        <f t="shared" si="3"/>
        <v>1</v>
      </c>
      <c r="AB32" s="1808">
        <f t="shared" si="4"/>
        <v>1</v>
      </c>
      <c r="AC32" s="1808">
        <f t="shared" si="5"/>
        <v>1</v>
      </c>
    </row>
    <row r="33" spans="1:29" s="470" customFormat="1" ht="15.75" thickBot="1">
      <c r="A33" s="673"/>
      <c r="B33" s="2712">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6"/>
      <c r="M33" s="1139"/>
      <c r="N33" s="1139"/>
      <c r="O33" s="1140"/>
      <c r="P33" s="3220"/>
      <c r="Q33" s="1807">
        <f t="shared" si="8"/>
        <v>111</v>
      </c>
      <c r="R33" s="772" t="s">
        <v>17</v>
      </c>
      <c r="S33" s="773">
        <f t="shared" si="10"/>
        <v>100</v>
      </c>
      <c r="T33" s="772" t="s">
        <v>17</v>
      </c>
      <c r="U33" s="773">
        <f t="shared" si="11"/>
        <v>100</v>
      </c>
      <c r="V33" s="772" t="s">
        <v>17</v>
      </c>
      <c r="W33" s="773">
        <f t="shared" si="12"/>
        <v>100</v>
      </c>
      <c r="X33" s="774"/>
      <c r="Y33" s="3220"/>
      <c r="Z33" s="775">
        <f t="shared" si="13"/>
        <v>111</v>
      </c>
      <c r="AA33" s="1808">
        <f t="shared" si="3"/>
        <v>1</v>
      </c>
      <c r="AB33" s="1808">
        <f t="shared" si="4"/>
        <v>1</v>
      </c>
      <c r="AC33" s="1808">
        <f t="shared" si="5"/>
        <v>1</v>
      </c>
    </row>
    <row r="34" spans="1:29" ht="15">
      <c r="A34" s="439" t="s">
        <v>2562</v>
      </c>
      <c r="B34" s="455" t="s">
        <v>2750</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38"/>
      <c r="M34" s="1129"/>
      <c r="N34" s="1129"/>
      <c r="O34" s="1137"/>
      <c r="P34" s="3220"/>
      <c r="Q34" s="1807" t="str">
        <f>B34</f>
        <v>宗地面积</v>
      </c>
      <c r="R34" s="769" t="s">
        <v>17</v>
      </c>
      <c r="S34" s="770" t="e">
        <f t="shared" si="10"/>
        <v>#N/A</v>
      </c>
      <c r="T34" s="769" t="s">
        <v>17</v>
      </c>
      <c r="U34" s="770" t="e">
        <f t="shared" si="11"/>
        <v>#N/A</v>
      </c>
      <c r="V34" s="769" t="s">
        <v>17</v>
      </c>
      <c r="W34" s="770" t="e">
        <f t="shared" si="12"/>
        <v>#N/A</v>
      </c>
      <c r="X34" s="1810"/>
      <c r="Y34" s="3220"/>
      <c r="Z34" s="1811" t="str">
        <f t="shared" si="13"/>
        <v>宗地面积</v>
      </c>
      <c r="AA34" s="1808" t="e">
        <f t="shared" si="3"/>
        <v>#N/A</v>
      </c>
      <c r="AB34" s="1808" t="e">
        <f t="shared" si="4"/>
        <v>#N/A</v>
      </c>
      <c r="AC34" s="1808" t="e">
        <f t="shared" si="5"/>
        <v>#N/A</v>
      </c>
    </row>
    <row r="35" spans="1:29" ht="15">
      <c r="A35" s="471"/>
      <c r="B35" s="421" t="s">
        <v>2751</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220"/>
      <c r="Q35" s="1807" t="str">
        <f t="shared" ref="Q35:Q40" si="14">B35</f>
        <v>宗地形状</v>
      </c>
      <c r="R35" s="769" t="s">
        <v>17</v>
      </c>
      <c r="S35" s="770">
        <f t="shared" si="10"/>
        <v>100</v>
      </c>
      <c r="T35" s="769" t="s">
        <v>17</v>
      </c>
      <c r="U35" s="770">
        <f t="shared" si="11"/>
        <v>100</v>
      </c>
      <c r="V35" s="769" t="s">
        <v>17</v>
      </c>
      <c r="W35" s="770">
        <f t="shared" si="12"/>
        <v>100</v>
      </c>
      <c r="X35" s="1810"/>
      <c r="Y35" s="3220"/>
      <c r="Z35" s="1811" t="str">
        <f t="shared" si="13"/>
        <v>宗地形状</v>
      </c>
      <c r="AA35" s="1808">
        <f t="shared" si="3"/>
        <v>1</v>
      </c>
      <c r="AB35" s="1808">
        <f t="shared" si="4"/>
        <v>1</v>
      </c>
      <c r="AC35" s="1808">
        <f t="shared" si="5"/>
        <v>1</v>
      </c>
    </row>
    <row r="36" spans="1:29" s="117" customFormat="1" ht="15">
      <c r="A36" s="472"/>
      <c r="B36" s="421" t="s">
        <v>2753</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20"/>
      <c r="Q36" s="1807" t="str">
        <f t="shared" si="14"/>
        <v>宗地开发程度</v>
      </c>
      <c r="R36" s="765" t="s">
        <v>17</v>
      </c>
      <c r="S36" s="766">
        <f t="shared" si="10"/>
        <v>100</v>
      </c>
      <c r="T36" s="765" t="s">
        <v>17</v>
      </c>
      <c r="U36" s="766">
        <f t="shared" si="11"/>
        <v>100</v>
      </c>
      <c r="V36" s="765" t="s">
        <v>17</v>
      </c>
      <c r="W36" s="766">
        <f t="shared" si="12"/>
        <v>100</v>
      </c>
      <c r="X36" s="767"/>
      <c r="Y36" s="3220"/>
      <c r="Z36" s="55" t="str">
        <f t="shared" si="13"/>
        <v>宗地开发程度</v>
      </c>
      <c r="AA36" s="768">
        <f t="shared" si="3"/>
        <v>1</v>
      </c>
      <c r="AB36" s="768">
        <f t="shared" si="4"/>
        <v>1</v>
      </c>
      <c r="AC36" s="768">
        <f t="shared" si="5"/>
        <v>1</v>
      </c>
    </row>
    <row r="37" spans="1:29" ht="15">
      <c r="A37" s="471"/>
      <c r="B37" s="421" t="s">
        <v>2754</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220" t="s">
        <v>2564</v>
      </c>
      <c r="Q37" s="1807" t="str">
        <f t="shared" si="14"/>
        <v>工程地质条件</v>
      </c>
      <c r="R37" s="769" t="s">
        <v>17</v>
      </c>
      <c r="S37" s="770">
        <f t="shared" si="10"/>
        <v>100</v>
      </c>
      <c r="T37" s="769" t="s">
        <v>17</v>
      </c>
      <c r="U37" s="770">
        <f t="shared" si="11"/>
        <v>100</v>
      </c>
      <c r="V37" s="769" t="s">
        <v>17</v>
      </c>
      <c r="W37" s="770">
        <f t="shared" si="12"/>
        <v>100</v>
      </c>
      <c r="X37" s="1810"/>
      <c r="Y37" s="3220" t="s">
        <v>2564</v>
      </c>
      <c r="Z37" s="1811" t="str">
        <f t="shared" si="13"/>
        <v>工程地质条件</v>
      </c>
      <c r="AA37" s="1808">
        <f t="shared" si="3"/>
        <v>1</v>
      </c>
      <c r="AB37" s="1808">
        <f t="shared" si="4"/>
        <v>1</v>
      </c>
      <c r="AC37" s="1808">
        <f t="shared" si="5"/>
        <v>1</v>
      </c>
    </row>
    <row r="38" spans="1:29" ht="15">
      <c r="A38" s="471"/>
      <c r="B38" s="1384">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38"/>
      <c r="M38" s="1129"/>
      <c r="N38" s="1129"/>
      <c r="O38" s="1137"/>
      <c r="P38" s="3220"/>
      <c r="Q38" s="1807">
        <f t="shared" si="14"/>
        <v>111</v>
      </c>
      <c r="R38" s="769" t="s">
        <v>17</v>
      </c>
      <c r="S38" s="770">
        <f t="shared" si="10"/>
        <v>100</v>
      </c>
      <c r="T38" s="769" t="s">
        <v>17</v>
      </c>
      <c r="U38" s="770">
        <f t="shared" si="11"/>
        <v>100</v>
      </c>
      <c r="V38" s="769" t="s">
        <v>17</v>
      </c>
      <c r="W38" s="770">
        <f t="shared" si="12"/>
        <v>100</v>
      </c>
      <c r="X38" s="1810"/>
      <c r="Y38" s="3220"/>
      <c r="Z38" s="1811">
        <f t="shared" si="13"/>
        <v>111</v>
      </c>
      <c r="AA38" s="1808">
        <f t="shared" si="3"/>
        <v>1</v>
      </c>
      <c r="AB38" s="1808">
        <f t="shared" si="4"/>
        <v>1</v>
      </c>
      <c r="AC38" s="1808">
        <f t="shared" si="5"/>
        <v>1</v>
      </c>
    </row>
    <row r="39" spans="1:29" ht="15">
      <c r="A39" s="471"/>
      <c r="B39" s="1384">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38"/>
      <c r="M39" s="1129"/>
      <c r="N39" s="1129"/>
      <c r="O39" s="1137"/>
      <c r="P39" s="3220"/>
      <c r="Q39" s="1807">
        <f t="shared" si="14"/>
        <v>111</v>
      </c>
      <c r="R39" s="769" t="s">
        <v>17</v>
      </c>
      <c r="S39" s="770">
        <f t="shared" si="10"/>
        <v>100</v>
      </c>
      <c r="T39" s="769" t="s">
        <v>17</v>
      </c>
      <c r="U39" s="770">
        <f t="shared" si="11"/>
        <v>100</v>
      </c>
      <c r="V39" s="769" t="s">
        <v>17</v>
      </c>
      <c r="W39" s="770">
        <f t="shared" si="12"/>
        <v>100</v>
      </c>
      <c r="X39" s="1810"/>
      <c r="Y39" s="3220"/>
      <c r="Z39" s="1811">
        <f t="shared" si="13"/>
        <v>111</v>
      </c>
      <c r="AA39" s="1808">
        <f t="shared" si="3"/>
        <v>1</v>
      </c>
      <c r="AB39" s="1808">
        <f t="shared" si="4"/>
        <v>1</v>
      </c>
      <c r="AC39" s="1808">
        <f t="shared" si="5"/>
        <v>1</v>
      </c>
    </row>
    <row r="40" spans="1:29" s="470" customFormat="1" ht="15.75" thickBot="1">
      <c r="A40" s="467"/>
      <c r="B40" s="1384">
        <v>111</v>
      </c>
      <c r="C40" s="2700"/>
      <c r="D40" s="136">
        <v>100</v>
      </c>
      <c r="E40" s="671"/>
      <c r="F40" s="437">
        <f>SUMIF(120:120,E40,121:121)-SUMIF(120:120,C40,121:121)+100</f>
        <v>100</v>
      </c>
      <c r="G40" s="671"/>
      <c r="H40" s="437">
        <f>SUMIF(120:120,G40,121:121)-SUMIF(120:120,C40,121:121)+100</f>
        <v>100</v>
      </c>
      <c r="I40" s="548"/>
      <c r="J40" s="437">
        <f>SUMIF(120:120,I40,121:121)-SUMIF(120:120,C40,121:121)+100</f>
        <v>100</v>
      </c>
      <c r="K40" s="678"/>
      <c r="L40" s="1136"/>
      <c r="M40" s="1139"/>
      <c r="N40" s="1139"/>
      <c r="O40" s="1140"/>
      <c r="P40" s="3220"/>
      <c r="Q40" s="1807">
        <f t="shared" si="14"/>
        <v>111</v>
      </c>
      <c r="R40" s="772" t="s">
        <v>17</v>
      </c>
      <c r="S40" s="773">
        <f t="shared" si="10"/>
        <v>100</v>
      </c>
      <c r="T40" s="772" t="s">
        <v>17</v>
      </c>
      <c r="U40" s="773">
        <f t="shared" si="11"/>
        <v>100</v>
      </c>
      <c r="V40" s="772" t="s">
        <v>17</v>
      </c>
      <c r="W40" s="773">
        <f t="shared" si="12"/>
        <v>100</v>
      </c>
      <c r="X40" s="774"/>
      <c r="Y40" s="3220"/>
      <c r="Z40" s="775">
        <f t="shared" si="13"/>
        <v>111</v>
      </c>
      <c r="AA40" s="1808">
        <f t="shared" si="3"/>
        <v>1</v>
      </c>
      <c r="AB40" s="1808">
        <f t="shared" si="4"/>
        <v>1</v>
      </c>
      <c r="AC40" s="1808">
        <f t="shared" si="5"/>
        <v>1</v>
      </c>
    </row>
    <row r="41" spans="1:29" ht="15">
      <c r="A41" s="478" t="s">
        <v>2719</v>
      </c>
      <c r="B41" s="2701" t="s">
        <v>2799</v>
      </c>
      <c r="C41" s="679" t="s">
        <v>1</v>
      </c>
      <c r="D41" s="480"/>
      <c r="E41" s="481"/>
      <c r="F41" s="482"/>
      <c r="G41" s="483"/>
      <c r="H41" s="484"/>
      <c r="I41" s="481"/>
      <c r="J41" s="484"/>
      <c r="K41" s="778"/>
      <c r="L41" s="1141"/>
      <c r="M41" s="1129"/>
      <c r="N41" s="1129"/>
      <c r="O41" s="1142"/>
      <c r="P41" s="3213" t="str">
        <f>A41</f>
        <v>成交单价</v>
      </c>
      <c r="Q41" s="3213"/>
      <c r="R41" s="3208">
        <f>E41</f>
        <v>0</v>
      </c>
      <c r="S41" s="3208"/>
      <c r="T41" s="3208">
        <f>G41</f>
        <v>0</v>
      </c>
      <c r="U41" s="3208"/>
      <c r="V41" s="3208">
        <f>I41</f>
        <v>0</v>
      </c>
      <c r="W41" s="3208"/>
      <c r="X41" s="754"/>
      <c r="Y41" s="776"/>
      <c r="Z41" s="754"/>
      <c r="AA41" s="754"/>
      <c r="AB41" s="754"/>
      <c r="AC41" s="754"/>
    </row>
    <row r="42" spans="1:29" ht="15.75" thickBot="1">
      <c r="A42" s="485" t="s">
        <v>2668</v>
      </c>
      <c r="B42" s="680"/>
      <c r="C42" s="489" t="e">
        <f>R43</f>
        <v>#DIV/0!</v>
      </c>
      <c r="D42" s="488"/>
      <c r="E42" s="489" t="e">
        <f>R42</f>
        <v>#DIV/0!</v>
      </c>
      <c r="F42" s="490"/>
      <c r="G42" s="487" t="e">
        <f>T42</f>
        <v>#DIV/0!</v>
      </c>
      <c r="H42" s="488"/>
      <c r="I42" s="489" t="e">
        <f>V42</f>
        <v>#DIV/0!</v>
      </c>
      <c r="J42" s="488"/>
      <c r="K42" s="779"/>
      <c r="L42" s="1141"/>
      <c r="M42" s="1129"/>
      <c r="N42" s="1129"/>
      <c r="O42" s="1142"/>
      <c r="P42" s="3213" t="str">
        <f>A42</f>
        <v>比较价值（元/平方米）</v>
      </c>
      <c r="Q42" s="3213"/>
      <c r="R42" s="3271" t="e">
        <f>ROUND(PRODUCT(R41,AA7:AA40),0)</f>
        <v>#DIV/0!</v>
      </c>
      <c r="S42" s="3271"/>
      <c r="T42" s="3271" t="e">
        <f>ROUND(PRODUCT(T41,AB7:AB40),0)</f>
        <v>#DIV/0!</v>
      </c>
      <c r="U42" s="3271"/>
      <c r="V42" s="3271" t="e">
        <f>ROUND(PRODUCT(V41,AC7:AC40),0)</f>
        <v>#DIV/0!</v>
      </c>
      <c r="W42" s="3271"/>
      <c r="X42" s="754"/>
      <c r="Y42" s="754"/>
      <c r="Z42" s="754"/>
      <c r="AA42" s="754"/>
      <c r="AB42" s="754"/>
      <c r="AC42" s="754"/>
    </row>
    <row r="43" spans="1:29" ht="15.75" thickBot="1">
      <c r="A43" s="491" t="s">
        <v>2669</v>
      </c>
      <c r="B43" s="492"/>
      <c r="C43" s="493" t="e">
        <f>R43</f>
        <v>#DIV/0!</v>
      </c>
      <c r="D43" s="493"/>
      <c r="E43" s="493"/>
      <c r="F43" s="493"/>
      <c r="G43" s="493"/>
      <c r="H43" s="493"/>
      <c r="I43" s="493"/>
      <c r="J43" s="493"/>
      <c r="K43" s="780"/>
      <c r="L43" s="1141"/>
      <c r="M43" s="1129"/>
      <c r="N43" s="1129"/>
      <c r="O43" s="1142"/>
      <c r="P43" s="3210" t="str">
        <f>A43</f>
        <v>估价对象XX用房的比较价值（楼面单价，元/平方米）</v>
      </c>
      <c r="Q43" s="3211"/>
      <c r="R43" s="3272" t="e">
        <f>ROUND(AVERAGE(R42:V42),0)</f>
        <v>#DIV/0!</v>
      </c>
      <c r="S43" s="3272"/>
      <c r="T43" s="3272"/>
      <c r="U43" s="3272"/>
      <c r="V43" s="3272"/>
      <c r="W43" s="3272"/>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7"/>
      <c r="D49" s="755"/>
      <c r="E49" s="755"/>
      <c r="F49" s="755"/>
      <c r="G49" s="755"/>
      <c r="H49" s="755"/>
      <c r="I49" s="755"/>
      <c r="J49" s="755"/>
      <c r="K49" s="1146"/>
      <c r="L49" s="1147"/>
      <c r="M49" s="1143"/>
      <c r="N49" s="1143"/>
      <c r="O49" s="1143"/>
    </row>
    <row r="50" spans="1:17" ht="27">
      <c r="A50" s="681" t="s">
        <v>2757</v>
      </c>
      <c r="B50" s="682" t="s">
        <v>2758</v>
      </c>
      <c r="C50" s="2702" t="s">
        <v>2759</v>
      </c>
      <c r="D50" s="2703" t="s">
        <v>2760</v>
      </c>
      <c r="E50" s="683" t="s">
        <v>2761</v>
      </c>
      <c r="F50" s="684" t="s">
        <v>2762</v>
      </c>
      <c r="G50" s="3196" t="s">
        <v>2763</v>
      </c>
      <c r="H50" s="3273"/>
      <c r="I50" s="1811" t="s">
        <v>2800</v>
      </c>
      <c r="J50" s="1811" t="str">
        <f>项目基本情况!F35</f>
        <v>江苏省镇江市京口区</v>
      </c>
      <c r="K50" s="2705" t="s">
        <v>2765</v>
      </c>
      <c r="L50" s="1104"/>
      <c r="M50" s="1142"/>
      <c r="N50" s="1142"/>
      <c r="O50" s="1142"/>
    </row>
    <row r="51" spans="1:17" s="689" customFormat="1">
      <c r="A51" s="685" t="s">
        <v>2766</v>
      </c>
      <c r="B51" s="686" t="e">
        <f>C43</f>
        <v>#DIV/0!</v>
      </c>
      <c r="C51" s="687">
        <v>1</v>
      </c>
      <c r="D51" s="1161">
        <v>1</v>
      </c>
      <c r="E51" s="687">
        <f>'数据-汇总表'!E8+'数据-汇总表'!E9</f>
        <v>7918.4</v>
      </c>
      <c r="F51" s="688" t="e">
        <f t="shared" ref="F51:F60" si="15">ROUND(B51*E51/10000,0)</f>
        <v>#DIV/0!</v>
      </c>
      <c r="G51" s="3195"/>
      <c r="H51" s="3213"/>
      <c r="I51" s="940">
        <v>1</v>
      </c>
      <c r="J51" s="940">
        <v>1</v>
      </c>
      <c r="K51" s="1143"/>
      <c r="L51" s="939"/>
      <c r="M51" s="939"/>
      <c r="N51" s="939"/>
      <c r="O51" s="939"/>
    </row>
    <row r="52" spans="1:17" s="689" customFormat="1">
      <c r="A52" s="690" t="s">
        <v>2767</v>
      </c>
      <c r="B52" s="261" t="e">
        <f>ROUND($C$43*C52*D52,0)</f>
        <v>#DIV/0!</v>
      </c>
      <c r="C52" s="199">
        <f t="shared" ref="C52:C60" si="16">IF($C$50="北京市系数",I52,J52)</f>
        <v>0</v>
      </c>
      <c r="D52" s="1162">
        <v>0.25</v>
      </c>
      <c r="E52" s="691"/>
      <c r="F52" s="688" t="e">
        <f t="shared" si="15"/>
        <v>#DIV/0!</v>
      </c>
      <c r="G52" s="3274" t="s">
        <v>2768</v>
      </c>
      <c r="H52" s="1102">
        <f>项目基本情况!B37</f>
        <v>0</v>
      </c>
      <c r="I52" s="940">
        <f>SUMIF(修正!A45:A56,H52,修正!B45:B56)</f>
        <v>0</v>
      </c>
      <c r="J52" s="941"/>
      <c r="K52" s="1142"/>
      <c r="L52" s="939"/>
      <c r="M52" s="939"/>
      <c r="N52" s="939"/>
      <c r="O52" s="939"/>
    </row>
    <row r="53" spans="1:17" s="689" customFormat="1">
      <c r="A53" s="690" t="s">
        <v>2769</v>
      </c>
      <c r="B53" s="261" t="e">
        <f t="shared" ref="B53:B60" si="17">ROUND($C$43*C53*D53,0)</f>
        <v>#DIV/0!</v>
      </c>
      <c r="C53" s="199">
        <f t="shared" si="16"/>
        <v>0</v>
      </c>
      <c r="D53" s="1162">
        <v>0.25</v>
      </c>
      <c r="E53" s="691"/>
      <c r="F53" s="688" t="e">
        <f t="shared" si="15"/>
        <v>#DIV/0!</v>
      </c>
      <c r="G53" s="3274"/>
      <c r="H53" s="1102">
        <f>项目基本情况!B37</f>
        <v>0</v>
      </c>
      <c r="I53" s="940">
        <f>SUMIF(修正!A45:A56,H53,修正!C45:C56)</f>
        <v>0</v>
      </c>
      <c r="J53" s="941"/>
      <c r="K53" s="1143"/>
      <c r="L53" s="939"/>
      <c r="M53" s="939"/>
      <c r="N53" s="939"/>
      <c r="O53" s="939"/>
    </row>
    <row r="54" spans="1:17" s="689" customFormat="1">
      <c r="A54" s="690" t="s">
        <v>2770</v>
      </c>
      <c r="B54" s="261" t="e">
        <f t="shared" si="17"/>
        <v>#DIV/0!</v>
      </c>
      <c r="C54" s="199">
        <f t="shared" si="16"/>
        <v>0</v>
      </c>
      <c r="D54" s="1162">
        <v>0.25</v>
      </c>
      <c r="E54" s="691"/>
      <c r="F54" s="688" t="e">
        <f t="shared" si="15"/>
        <v>#DIV/0!</v>
      </c>
      <c r="G54" s="3274"/>
      <c r="H54" s="1102">
        <f>项目基本情况!B37</f>
        <v>0</v>
      </c>
      <c r="I54" s="940">
        <f>SUMIF(修正!A45:A56,H54,修正!D45:D56)</f>
        <v>0</v>
      </c>
      <c r="J54" s="941"/>
      <c r="K54" s="1142"/>
      <c r="L54" s="939"/>
      <c r="M54" s="939"/>
      <c r="N54" s="939"/>
      <c r="O54" s="939"/>
    </row>
    <row r="55" spans="1:17" s="689" customFormat="1">
      <c r="A55" s="690" t="s">
        <v>2771</v>
      </c>
      <c r="B55" s="261" t="e">
        <f t="shared" si="17"/>
        <v>#DIV/0!</v>
      </c>
      <c r="C55" s="199">
        <f t="shared" si="16"/>
        <v>0</v>
      </c>
      <c r="D55" s="1162">
        <v>0.25</v>
      </c>
      <c r="E55" s="691"/>
      <c r="F55" s="688" t="e">
        <f t="shared" si="15"/>
        <v>#DIV/0!</v>
      </c>
      <c r="G55" s="3274"/>
      <c r="H55" s="1102">
        <f>项目基本情况!B37</f>
        <v>0</v>
      </c>
      <c r="I55" s="940">
        <f>SUMIF(修正!A45:A56,H55,修正!E45:E56)</f>
        <v>0</v>
      </c>
      <c r="J55" s="941"/>
      <c r="K55" s="1143"/>
      <c r="L55" s="939"/>
      <c r="M55" s="939"/>
      <c r="N55" s="939"/>
      <c r="O55" s="939"/>
    </row>
    <row r="56" spans="1:17" s="689" customFormat="1">
      <c r="A56" s="690" t="s">
        <v>2772</v>
      </c>
      <c r="B56" s="261" t="e">
        <f t="shared" si="17"/>
        <v>#DIV/0!</v>
      </c>
      <c r="C56" s="199">
        <f t="shared" si="16"/>
        <v>0</v>
      </c>
      <c r="D56" s="1162">
        <v>0.25</v>
      </c>
      <c r="E56" s="260">
        <f>'数据-汇总表'!E11</f>
        <v>0</v>
      </c>
      <c r="F56" s="688" t="e">
        <f t="shared" si="15"/>
        <v>#DIV/0!</v>
      </c>
      <c r="G56" s="2706" t="s">
        <v>2773</v>
      </c>
      <c r="H56" s="1102">
        <f>项目基本情况!C37</f>
        <v>0</v>
      </c>
      <c r="I56" s="940">
        <f>SUMIF(修正!A45:A56,H56,修正!F45:F56)</f>
        <v>0</v>
      </c>
      <c r="J56" s="941"/>
      <c r="K56" s="1142"/>
      <c r="L56" s="939"/>
      <c r="M56" s="939"/>
      <c r="N56" s="939"/>
      <c r="O56" s="939"/>
    </row>
    <row r="57" spans="1:17" s="689" customFormat="1">
      <c r="A57" s="690" t="s">
        <v>2774</v>
      </c>
      <c r="B57" s="261" t="e">
        <f t="shared" si="17"/>
        <v>#DIV/0!</v>
      </c>
      <c r="C57" s="199">
        <f t="shared" si="16"/>
        <v>0</v>
      </c>
      <c r="D57" s="1162">
        <v>0.25</v>
      </c>
      <c r="E57" s="260">
        <f>'数据-汇总表'!E12</f>
        <v>0</v>
      </c>
      <c r="F57" s="688"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9" customFormat="1">
      <c r="A58" s="690" t="s">
        <v>2776</v>
      </c>
      <c r="B58" s="261" t="e">
        <f t="shared" si="17"/>
        <v>#DIV/0!</v>
      </c>
      <c r="C58" s="199">
        <f t="shared" si="16"/>
        <v>0</v>
      </c>
      <c r="D58" s="1162">
        <v>0.25</v>
      </c>
      <c r="E58" s="260">
        <f>'数据-汇总表'!E13</f>
        <v>0</v>
      </c>
      <c r="F58" s="688" t="e">
        <f t="shared" si="15"/>
        <v>#DIV/0!</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9" customFormat="1">
      <c r="A59" s="690" t="s">
        <v>2778</v>
      </c>
      <c r="B59" s="261" t="e">
        <f t="shared" si="17"/>
        <v>#DIV/0!</v>
      </c>
      <c r="C59" s="199">
        <f t="shared" si="16"/>
        <v>0</v>
      </c>
      <c r="D59" s="1162">
        <v>0.25</v>
      </c>
      <c r="E59" s="260">
        <f>'数据-汇总表'!E14</f>
        <v>0</v>
      </c>
      <c r="F59" s="688" t="e">
        <f t="shared" si="15"/>
        <v>#DIV/0!</v>
      </c>
      <c r="G59" s="2706" t="s">
        <v>2768</v>
      </c>
      <c r="H59" s="1102">
        <f>项目基本情况!B37</f>
        <v>0</v>
      </c>
      <c r="I59" s="940">
        <f>SUMIF(修正!A45:A56,H59,修正!H45:H56)</f>
        <v>0</v>
      </c>
      <c r="J59" s="941"/>
      <c r="K59" s="1143"/>
      <c r="L59" s="939"/>
      <c r="M59" s="939"/>
      <c r="N59" s="939"/>
      <c r="O59" s="939"/>
    </row>
    <row r="60" spans="1:17" s="689" customFormat="1" ht="15" thickBot="1">
      <c r="A60" s="690" t="s">
        <v>2779</v>
      </c>
      <c r="B60" s="261" t="e">
        <f t="shared" si="17"/>
        <v>#DIV/0!</v>
      </c>
      <c r="C60" s="199">
        <f t="shared" si="16"/>
        <v>0</v>
      </c>
      <c r="D60" s="1162">
        <v>0.25</v>
      </c>
      <c r="E60" s="260">
        <f>'数据-汇总表'!E15</f>
        <v>0</v>
      </c>
      <c r="F60" s="688" t="e">
        <f t="shared" si="15"/>
        <v>#DIV/0!</v>
      </c>
      <c r="G60" s="2707" t="s">
        <v>2773</v>
      </c>
      <c r="H60" s="1112">
        <f>项目基本情况!C37</f>
        <v>0</v>
      </c>
      <c r="I60" s="940">
        <f>SUMIF(修正!A45:A56,H60,修正!H45:H56)</f>
        <v>0</v>
      </c>
      <c r="J60" s="941"/>
      <c r="K60" s="1142"/>
      <c r="L60" s="939"/>
      <c r="M60" s="939"/>
      <c r="N60" s="939"/>
      <c r="O60" s="939"/>
    </row>
    <row r="61" spans="1:17" s="689" customFormat="1" ht="15" thickBot="1">
      <c r="A61" s="692" t="s">
        <v>2780</v>
      </c>
      <c r="B61" s="693" t="s">
        <v>28</v>
      </c>
      <c r="C61" s="693" t="s">
        <v>29</v>
      </c>
      <c r="D61" s="693" t="s">
        <v>1029</v>
      </c>
      <c r="E61" s="693">
        <f>IF(B41="楼面地价",SUM(E51:E60),'数据-汇总表'!D3)</f>
        <v>0</v>
      </c>
      <c r="F61" s="694"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2018-9-1</v>
      </c>
      <c r="D63" s="756">
        <f>EDATE(C63,-3)</f>
        <v>43252</v>
      </c>
      <c r="E63" s="756">
        <f>EDATE(D63,-3)</f>
        <v>43160</v>
      </c>
      <c r="F63" s="756">
        <f t="shared" ref="F63:O63" si="18">EDATE(E63,-3)</f>
        <v>43070</v>
      </c>
      <c r="G63" s="756">
        <f t="shared" si="18"/>
        <v>42979</v>
      </c>
      <c r="H63" s="756">
        <f t="shared" si="18"/>
        <v>42887</v>
      </c>
      <c r="I63" s="756">
        <f t="shared" si="18"/>
        <v>42795</v>
      </c>
      <c r="J63" s="756">
        <f t="shared" si="18"/>
        <v>42705</v>
      </c>
      <c r="K63" s="756">
        <f t="shared" si="18"/>
        <v>42614</v>
      </c>
      <c r="L63" s="756">
        <f t="shared" si="18"/>
        <v>42522</v>
      </c>
      <c r="M63" s="756">
        <f t="shared" si="18"/>
        <v>42430</v>
      </c>
      <c r="N63" s="756">
        <f t="shared" si="18"/>
        <v>42339</v>
      </c>
      <c r="O63" s="756">
        <f t="shared" si="18"/>
        <v>42248</v>
      </c>
    </row>
    <row r="64" spans="1:17" ht="21.75" thickBot="1">
      <c r="A64" s="758" t="s">
        <v>2673</v>
      </c>
      <c r="B64" s="754"/>
      <c r="C64" s="759"/>
      <c r="D64" s="759"/>
      <c r="E64" s="759"/>
      <c r="F64" s="760"/>
      <c r="G64" s="760"/>
      <c r="H64" s="759"/>
      <c r="I64" s="759"/>
      <c r="J64" s="759"/>
      <c r="K64" s="761"/>
      <c r="L64" s="762"/>
      <c r="M64" s="759"/>
      <c r="N64" s="759"/>
      <c r="O64" s="1157"/>
      <c r="P64" s="502"/>
      <c r="Q64" s="503"/>
    </row>
    <row r="65" spans="1:17" s="507" customFormat="1" ht="15">
      <c r="A65" s="2708" t="s">
        <v>2781</v>
      </c>
      <c r="B65" s="1356"/>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6"/>
    </row>
    <row r="66" spans="1:17" s="117" customFormat="1" ht="30.75" customHeight="1">
      <c r="A66" s="2713" t="s">
        <v>2801</v>
      </c>
      <c r="B66" s="331" t="str">
        <f>"北京市平均增长率"&amp;TEXT(基准地价修正!P24,"0.00%")</f>
        <v>北京市平均增长率0.00%</v>
      </c>
      <c r="C66" s="602">
        <v>100</v>
      </c>
      <c r="D66" s="594"/>
      <c r="E66" s="594"/>
      <c r="F66" s="594"/>
      <c r="G66" s="594"/>
      <c r="H66" s="594"/>
      <c r="I66" s="594"/>
      <c r="J66" s="594"/>
      <c r="K66" s="594"/>
      <c r="L66" s="594"/>
      <c r="M66" s="1564"/>
      <c r="N66" s="1564"/>
      <c r="O66" s="1566"/>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49"/>
      <c r="O68" s="1149"/>
      <c r="P68" s="525"/>
      <c r="Q68" s="503"/>
    </row>
    <row r="69" spans="1:17" s="117" customFormat="1" ht="15.75" thickBot="1">
      <c r="A69" s="520"/>
      <c r="B69" s="509"/>
      <c r="C69" s="636">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5"/>
      <c r="M87" s="619"/>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19"/>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2802</v>
      </c>
      <c r="C93" s="657" t="s">
        <v>2674</v>
      </c>
      <c r="D93" s="657" t="s">
        <v>2675</v>
      </c>
      <c r="E93" s="657" t="s">
        <v>2676</v>
      </c>
      <c r="F93" s="657" t="s">
        <v>2677</v>
      </c>
      <c r="G93" s="657"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2749</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2"/>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4"/>
      <c r="H106" s="674"/>
      <c r="I106" s="674"/>
      <c r="J106" s="674"/>
      <c r="K106" s="674"/>
      <c r="L106" s="674"/>
      <c r="M106" s="696"/>
      <c r="N106" s="1151"/>
      <c r="O106" s="1151"/>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7"/>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39" t="s">
        <v>2803</v>
      </c>
      <c r="B1" s="240"/>
      <c r="C1" s="244" t="s">
        <v>2804</v>
      </c>
      <c r="D1" s="387">
        <f>SUM(D29:D30,D33:D39)</f>
        <v>0</v>
      </c>
      <c r="E1" s="2714"/>
      <c r="F1" s="2714"/>
      <c r="G1" s="2714"/>
      <c r="H1" s="2714"/>
      <c r="I1" s="2714"/>
      <c r="J1" s="2714"/>
      <c r="K1" s="1367"/>
      <c r="L1" s="2715" t="s">
        <v>2805</v>
      </c>
      <c r="M1" s="1078">
        <f>SUMPRODUCT((区片价!B5:B9=I2)*(区片价!C3:F3=E2)*(区片价!C5:F9))</f>
        <v>0</v>
      </c>
      <c r="N1" s="1081">
        <f>SUMPRODUCT((因素修正幅度!B5:B9=I2)*(因素修正幅度!C3:F3=E2)*(因素修正幅度!C5:F9))</f>
        <v>0</v>
      </c>
      <c r="O1" s="2716"/>
      <c r="P1" s="2716"/>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4" t="s">
        <v>2811</v>
      </c>
      <c r="B2" s="247"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67"/>
      <c r="L2" s="2723" t="s">
        <v>2816</v>
      </c>
      <c r="M2" s="1079">
        <f>SUMPRODUCT((区片价!B10:B28=I2)*(区片价!C3:F3=E2)*(区片价!C10:F28))</f>
        <v>0</v>
      </c>
      <c r="N2" s="1081">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2817</v>
      </c>
      <c r="B3" s="247" t="e">
        <f>ROUND(B2*10000/D1,0)</f>
        <v>#DIV/0!</v>
      </c>
      <c r="C3" s="2718" t="s">
        <v>2818</v>
      </c>
      <c r="D3" s="2719" t="s">
        <v>2819</v>
      </c>
      <c r="E3" s="2724"/>
      <c r="F3" s="2725" t="s">
        <v>2820</v>
      </c>
      <c r="G3" s="911" t="e">
        <f>IF(F3="宗地容积率",'数据-汇总表'!I4,IF(F3="估价对象容积率",'数据-汇总表'!I6,'数据-汇总表'!I7))</f>
        <v>#DIV/0!</v>
      </c>
      <c r="H3" s="197" t="s">
        <v>2821</v>
      </c>
      <c r="I3" s="942"/>
      <c r="J3" s="2722" t="s">
        <v>2822</v>
      </c>
      <c r="K3" s="1367"/>
      <c r="L3" s="2723" t="s">
        <v>2823</v>
      </c>
      <c r="M3" s="1079">
        <f>SUMPRODUCT((区片价!B29:B48=I2)*(区片价!C3:F3=E2)*(区片价!C29:F48))</f>
        <v>0</v>
      </c>
      <c r="N3" s="1081">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3"/>
      <c r="B4" s="3294"/>
      <c r="C4" s="3294"/>
      <c r="D4" s="3295"/>
      <c r="E4" s="3295"/>
      <c r="F4" s="3295"/>
      <c r="G4" s="3295"/>
      <c r="H4" s="3295"/>
      <c r="I4" s="3295"/>
      <c r="J4" s="3296"/>
      <c r="K4" s="1367"/>
      <c r="L4" s="2723" t="s">
        <v>2824</v>
      </c>
      <c r="M4" s="1079">
        <f>SUMPRODUCT((区片价!B49:B75=I2)*(区片价!C3:F3=E2)*(区片价!C49:F75))</f>
        <v>0</v>
      </c>
      <c r="N4" s="1081">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2825</v>
      </c>
      <c r="C5" s="912" t="e">
        <f>ROUND(IF(E2="商业",IF(F16="增加",C6*C7+C16,C6*C7-C16),IF(E2="住宅",IF(F16="增加",C6*C12+C16,C6*C12-C16),IF(F16="增加",C6+C16,C6-C16))),0)</f>
        <v>#DIV/0!</v>
      </c>
      <c r="D5" s="1784">
        <f>ROUND(IF(E2="商业",IF(F16="增加",C6+C16,C6-C16)),0)</f>
        <v>0</v>
      </c>
      <c r="E5" s="2728"/>
      <c r="F5" s="2728"/>
      <c r="G5" s="2729"/>
      <c r="H5" s="2729"/>
      <c r="I5" s="2729"/>
      <c r="J5" s="2730"/>
      <c r="K5" s="2731"/>
      <c r="L5" s="2723" t="s">
        <v>2826</v>
      </c>
      <c r="M5" s="1079">
        <f>SUMPRODUCT((区片价!B76:B109=I2)*(区片价!C3:F3=E2)*(区片价!C76:F109))</f>
        <v>0</v>
      </c>
      <c r="N5" s="1081">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32"/>
      <c r="AD5" s="2733"/>
      <c r="AE5" s="2733"/>
      <c r="AF5" s="2733"/>
      <c r="AG5" s="2733"/>
      <c r="AH5" s="2733"/>
      <c r="AI5" s="2733"/>
      <c r="AJ5" s="2734"/>
    </row>
    <row r="6" spans="1:36" ht="15.75" thickBot="1">
      <c r="A6" s="2736" t="s">
        <v>2827</v>
      </c>
      <c r="B6" s="2737" t="s">
        <v>2828</v>
      </c>
      <c r="C6" s="913">
        <f>SUMIF(L1:L12,G2,M1:M12)</f>
        <v>0</v>
      </c>
      <c r="D6" s="2738" t="s">
        <v>2829</v>
      </c>
      <c r="E6" s="2739"/>
      <c r="F6" s="2739"/>
      <c r="G6" s="2740"/>
      <c r="H6" s="2740"/>
      <c r="I6" s="2740"/>
      <c r="J6" s="2741"/>
      <c r="K6" s="1839"/>
      <c r="L6" s="2723" t="s">
        <v>2830</v>
      </c>
      <c r="M6" s="1079">
        <f>SUMPRODUCT((区片价!B110:B157=I2)*(区片价!C3:F3=E2)*(区片价!C110:F157))</f>
        <v>0</v>
      </c>
      <c r="N6" s="1081">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32"/>
      <c r="AD6" s="2733"/>
      <c r="AE6" s="2733"/>
      <c r="AF6" s="2733"/>
      <c r="AG6" s="2733"/>
      <c r="AH6" s="2733"/>
      <c r="AI6" s="2733"/>
      <c r="AJ6" s="2734"/>
    </row>
    <row r="7" spans="1:36" ht="24">
      <c r="A7" s="3279" t="str">
        <f>IF(E2="商业",IF(C8="不临58条商业街","",2),"")</f>
        <v/>
      </c>
      <c r="B7" s="2742" t="s">
        <v>2831</v>
      </c>
      <c r="C7" s="914" t="e">
        <f>IF(C8="不临58条商业街",1,ROUND(1+(1.6*E8+1.2*E9+0.8*E10+0.4*E11)*C9,4))</f>
        <v>#DIV/0!</v>
      </c>
      <c r="D7" s="2743" t="s">
        <v>2832</v>
      </c>
      <c r="E7" s="943"/>
      <c r="F7" s="2744"/>
      <c r="G7" s="2745"/>
      <c r="H7" s="2745"/>
      <c r="I7" s="2745"/>
      <c r="J7" s="2746"/>
      <c r="K7" s="1839"/>
      <c r="L7" s="2723" t="s">
        <v>2833</v>
      </c>
      <c r="M7" s="1079">
        <f>SUMPRODUCT((区片价!B158:B205=I2)*(区片价!C3:F3=E2)*(区片价!C158:F205))</f>
        <v>0</v>
      </c>
      <c r="N7" s="1081">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13" t="s">
        <v>2834</v>
      </c>
      <c r="X7" s="1601">
        <f>G2</f>
        <v>0</v>
      </c>
      <c r="Y7" s="1601" t="s">
        <v>2835</v>
      </c>
      <c r="Z7" s="1602" t="e">
        <f>G3</f>
        <v>#DIV/0!</v>
      </c>
      <c r="AA7" s="1603"/>
      <c r="AB7" s="1603"/>
      <c r="AC7" s="1604"/>
      <c r="AD7" s="1605"/>
      <c r="AE7" s="1605"/>
      <c r="AF7" s="1605"/>
      <c r="AG7" s="1605"/>
      <c r="AH7" s="1605"/>
      <c r="AI7" s="1605"/>
      <c r="AJ7" s="1606"/>
    </row>
    <row r="8" spans="1:36" ht="15">
      <c r="A8" s="3280"/>
      <c r="B8" s="197" t="s">
        <v>2836</v>
      </c>
      <c r="C8" s="2747"/>
      <c r="D8" s="915" t="s">
        <v>139</v>
      </c>
      <c r="E8" s="916" t="e">
        <f>ROUND(C11/E7,4)</f>
        <v>#DIV/0!</v>
      </c>
      <c r="F8" s="2748" t="s">
        <v>2837</v>
      </c>
      <c r="G8" s="2749"/>
      <c r="H8" s="2749"/>
      <c r="I8" s="2749"/>
      <c r="J8" s="2750"/>
      <c r="K8" s="1367"/>
      <c r="L8" s="2723" t="s">
        <v>2838</v>
      </c>
      <c r="M8" s="1079">
        <f>SUMPRODUCT((区片价!B206:B244=I2)*(区片价!C3:F3=E2)*(区片价!C206:F244))</f>
        <v>0</v>
      </c>
      <c r="N8" s="1081">
        <f>SUMPRODUCT((因素修正幅度!B206:B244=I2)*(因素修正幅度!C3:F3=E2)*(因素修正幅度!C206:F244))</f>
        <v>0</v>
      </c>
      <c r="O8" s="1367"/>
      <c r="P8" s="1367"/>
      <c r="Q8" s="1367"/>
      <c r="R8" s="1599">
        <v>7</v>
      </c>
      <c r="S8" s="1600"/>
      <c r="T8" s="1599" t="e">
        <f t="shared" si="0"/>
        <v>#DIV/0!</v>
      </c>
      <c r="U8" s="1600"/>
      <c r="V8" s="1599" t="e">
        <f t="shared" si="1"/>
        <v>#DIV/0!</v>
      </c>
      <c r="W8" s="3290" t="s">
        <v>2839</v>
      </c>
      <c r="X8" s="3291"/>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280"/>
      <c r="B9" s="197" t="s">
        <v>2852</v>
      </c>
      <c r="C9" s="917">
        <f>SUMIF(修正!C59:C119,C8,修正!E59:E119)</f>
        <v>0</v>
      </c>
      <c r="D9" s="199" t="s">
        <v>140</v>
      </c>
      <c r="E9" s="199" t="e">
        <f>ROUND(C11/E7,4)</f>
        <v>#DIV/0!</v>
      </c>
      <c r="F9" s="2748" t="s">
        <v>2853</v>
      </c>
      <c r="G9" s="2749"/>
      <c r="H9" s="2749"/>
      <c r="I9" s="2749"/>
      <c r="J9" s="2750"/>
      <c r="K9" s="1367"/>
      <c r="L9" s="2723" t="s">
        <v>2854</v>
      </c>
      <c r="M9" s="1079">
        <f>SUMPRODUCT((区片价!B245:B289=I2)*(区片价!C3:F3=E2)*(区片价!C245:F289))</f>
        <v>0</v>
      </c>
      <c r="N9" s="1081">
        <f>SUMPRODUCT((因素修正幅度!B245:B289=I2)*(因素修正幅度!C3:F3=E2)*(因素修正幅度!C245:F289))</f>
        <v>0</v>
      </c>
      <c r="O9" s="1367"/>
      <c r="P9" s="1367"/>
      <c r="Q9" s="1367"/>
      <c r="R9" s="1599">
        <v>8</v>
      </c>
      <c r="S9" s="1600"/>
      <c r="T9" s="1599" t="e">
        <f t="shared" si="0"/>
        <v>#DIV/0!</v>
      </c>
      <c r="U9" s="1600"/>
      <c r="V9" s="1599" t="e">
        <f t="shared" si="1"/>
        <v>#DIV/0!</v>
      </c>
      <c r="W9" s="3292"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0"/>
      <c r="B10" s="197" t="s">
        <v>2857</v>
      </c>
      <c r="C10" s="199">
        <f>SUMIF(修正!C59:C119,C8,修正!F59:F119)</f>
        <v>0</v>
      </c>
      <c r="D10" s="199" t="s">
        <v>141</v>
      </c>
      <c r="E10" s="199" t="e">
        <f>ROUND(C11/E7,4)</f>
        <v>#DIV/0!</v>
      </c>
      <c r="F10" s="2748" t="s">
        <v>2858</v>
      </c>
      <c r="G10" s="2749"/>
      <c r="H10" s="2749"/>
      <c r="I10" s="2749"/>
      <c r="J10" s="2750"/>
      <c r="K10" s="1367"/>
      <c r="L10" s="2723" t="s">
        <v>2859</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t="e">
        <f t="shared" si="0"/>
        <v>#DIV/0!</v>
      </c>
      <c r="U10" s="1600"/>
      <c r="V10" s="1599" t="e">
        <f t="shared" si="1"/>
        <v>#DIV/0!</v>
      </c>
      <c r="W10" s="329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0"/>
      <c r="B11" s="2751" t="s">
        <v>2860</v>
      </c>
      <c r="C11" s="918">
        <f>C10/4</f>
        <v>0</v>
      </c>
      <c r="D11" s="918" t="s">
        <v>142</v>
      </c>
      <c r="E11" s="918" t="e">
        <f>ROUND(C11/E7,4)</f>
        <v>#DIV/0!</v>
      </c>
      <c r="F11" s="2752" t="s">
        <v>2861</v>
      </c>
      <c r="G11" s="2753"/>
      <c r="H11" s="2753"/>
      <c r="I11" s="2753"/>
      <c r="J11" s="2754"/>
      <c r="K11" s="1367"/>
      <c r="L11" s="2723" t="s">
        <v>2862</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t="e">
        <f t="shared" si="0"/>
        <v>#DIV/0!</v>
      </c>
      <c r="U11" s="1600"/>
      <c r="V11" s="1599" t="e">
        <f t="shared" si="1"/>
        <v>#DIV/0!</v>
      </c>
      <c r="W11" s="3292" t="s">
        <v>2863</v>
      </c>
      <c r="X11" s="1611" t="s">
        <v>2864</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79" t="s">
        <v>2865</v>
      </c>
      <c r="B12" s="2755" t="s">
        <v>2866</v>
      </c>
      <c r="C12" s="914">
        <f>ROUND(C15*D15*E15*F15*G15*H15*I15*J15,4)</f>
        <v>1</v>
      </c>
      <c r="D12" s="2756" t="s">
        <v>2867</v>
      </c>
      <c r="E12" s="2757"/>
      <c r="F12" s="2757"/>
      <c r="G12" s="2758"/>
      <c r="H12" s="2758"/>
      <c r="I12" s="2758"/>
      <c r="J12" s="2759"/>
      <c r="K12" s="1367"/>
      <c r="L12" s="2760" t="s">
        <v>2868</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t="e">
        <f t="shared" si="0"/>
        <v>#DIV/0!</v>
      </c>
      <c r="U12" s="1600"/>
      <c r="V12" s="1599" t="e">
        <f t="shared" si="1"/>
        <v>#DIV/0!</v>
      </c>
      <c r="W12" s="3292"/>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7"/>
      <c r="B13" s="2761" t="s">
        <v>2870</v>
      </c>
      <c r="C13" s="2762" t="s">
        <v>2871</v>
      </c>
      <c r="D13" s="1805" t="s">
        <v>2872</v>
      </c>
      <c r="E13" s="1805" t="s">
        <v>2873</v>
      </c>
      <c r="F13" s="30" t="s">
        <v>2874</v>
      </c>
      <c r="G13" s="2763" t="s">
        <v>2875</v>
      </c>
      <c r="H13" s="2763" t="s">
        <v>2875</v>
      </c>
      <c r="I13" s="2763" t="s">
        <v>2875</v>
      </c>
      <c r="J13" s="2764" t="s">
        <v>2875</v>
      </c>
      <c r="K13" s="1367"/>
      <c r="L13" s="1367"/>
      <c r="M13" s="1367"/>
      <c r="N13" s="1367"/>
      <c r="O13" s="1367"/>
      <c r="P13" s="1367"/>
      <c r="Q13" s="1367"/>
      <c r="R13" s="1599">
        <v>12</v>
      </c>
      <c r="S13" s="1600"/>
      <c r="T13" s="1599" t="e">
        <f t="shared" si="0"/>
        <v>#DIV/0!</v>
      </c>
      <c r="U13" s="1600"/>
      <c r="V13" s="1599" t="e">
        <f t="shared" si="1"/>
        <v>#DIV/0!</v>
      </c>
      <c r="W13" s="3292"/>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297"/>
      <c r="B14" s="2765"/>
      <c r="C14" s="2766"/>
      <c r="D14" s="2767"/>
      <c r="E14" s="2767"/>
      <c r="F14" s="2768"/>
      <c r="G14" s="2769" t="s">
        <v>2876</v>
      </c>
      <c r="H14" s="2770"/>
      <c r="I14" s="2771"/>
      <c r="J14" s="2772"/>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8"/>
      <c r="B15" s="2773" t="s">
        <v>2877</v>
      </c>
      <c r="C15" s="228">
        <f>IF(C14="有",1.1,1)</f>
        <v>1</v>
      </c>
      <c r="D15" s="228">
        <f>IF(D14="有",1.1,1)</f>
        <v>1</v>
      </c>
      <c r="E15" s="228">
        <f>IF(E14="有",1.1,1)</f>
        <v>1</v>
      </c>
      <c r="F15" s="228">
        <f>IF(F14="500米范围内",1.2,IF(F14="500-1000米",1.1,1))</f>
        <v>1</v>
      </c>
      <c r="G15" s="944">
        <v>1</v>
      </c>
      <c r="H15" s="944">
        <v>1</v>
      </c>
      <c r="I15" s="944">
        <v>1</v>
      </c>
      <c r="J15" s="945">
        <v>1</v>
      </c>
      <c r="K15" s="1367"/>
      <c r="L15" s="2774" t="s">
        <v>2813</v>
      </c>
      <c r="M15" s="915" t="s">
        <v>2878</v>
      </c>
      <c r="N15" s="915" t="s">
        <v>2879</v>
      </c>
      <c r="O15" s="915" t="s">
        <v>2880</v>
      </c>
      <c r="P15" s="2775" t="s">
        <v>2881</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9" t="s">
        <v>2882</v>
      </c>
      <c r="B16" s="2742" t="s">
        <v>2883</v>
      </c>
      <c r="C16" s="1798" t="e">
        <f>ROUND(SUM(G17:J17)/C17,0)</f>
        <v>#DIV/0!</v>
      </c>
      <c r="D16" s="2776" t="s">
        <v>2884</v>
      </c>
      <c r="E16" s="2777"/>
      <c r="F16" s="2778"/>
      <c r="G16" s="2779"/>
      <c r="H16" s="2779"/>
      <c r="I16" s="2779"/>
      <c r="J16" s="2780"/>
      <c r="K16" s="1367"/>
      <c r="L16" s="2781" t="s">
        <v>2885</v>
      </c>
      <c r="M16" s="917">
        <v>0.25</v>
      </c>
      <c r="N16" s="917">
        <v>0.2</v>
      </c>
      <c r="O16" s="917">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0"/>
      <c r="B17" s="2782" t="s">
        <v>2886</v>
      </c>
      <c r="C17" s="919">
        <f>SUMPRODUCT((修正!A2:A5=E2)*(修正!B1:M1=G2)*(修正!B2:M5))</f>
        <v>0</v>
      </c>
      <c r="D17" s="2783"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7"/>
      <c r="L17" s="2784" t="s">
        <v>2889</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2890</v>
      </c>
      <c r="C18" s="921">
        <f>SUMIF(修正!C18:C39,E3,修正!E18:E39)</f>
        <v>0</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2891</v>
      </c>
      <c r="C19" s="922" t="e">
        <f>ROUND(IF(H19="按公示增长率计算",SUMPRODUCT((地价!A3:A22=YEAR(G19)&amp;"-"&amp;ROUNDUP(MONTH(G19)/3,0))*(地价!X2:AB2=E2)*(地价!X3:AB22)),IF(H19="地价指数",M20/M19,(1+I19)^O19)),4)</f>
        <v>#DIV/0!</v>
      </c>
      <c r="D19" s="2794" t="s">
        <v>2892</v>
      </c>
      <c r="E19" s="923">
        <v>41640</v>
      </c>
      <c r="F19" s="2794" t="s">
        <v>2893</v>
      </c>
      <c r="G19" s="924">
        <f>'数据-取费表'!B2</f>
        <v>43346</v>
      </c>
      <c r="H19" s="2795" t="s">
        <v>2894</v>
      </c>
      <c r="I19" s="925" t="str">
        <f>IF(H19="季度增幅（自定义）",SUMIF(N21:N24,E2,O21:O24),"")</f>
        <v/>
      </c>
      <c r="J19" s="2792"/>
      <c r="K19" s="1374"/>
      <c r="L19" s="2796" t="s">
        <v>2895</v>
      </c>
      <c r="M19" s="1731">
        <f>ROUND(SUMIF(地价!B2:F2,E2,地价!B22:F22),0)</f>
        <v>0</v>
      </c>
      <c r="N19" s="2797" t="s">
        <v>2896</v>
      </c>
      <c r="O19" s="926">
        <f>ROUNDDOWN(DATEDIF(E19,G19,"M")/3,0)</f>
        <v>18</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2897</v>
      </c>
      <c r="C20" s="927" t="e">
        <f>ROUND(POWER(1+G20,J20-I20)*(POWER(1+G20,I20)-1)/(POWER(1+G20,J20)-1),4)</f>
        <v>#DIV/0!</v>
      </c>
      <c r="D20" s="2803" t="s">
        <v>2898</v>
      </c>
      <c r="E20" s="1765">
        <f ca="1">存贷款利率!D4/100</f>
        <v>4.3499999999999997E-2</v>
      </c>
      <c r="F20" s="2803" t="s">
        <v>2889</v>
      </c>
      <c r="G20" s="932">
        <f>SUMIF(M15:P15,E2,M17:P17)</f>
        <v>0</v>
      </c>
      <c r="H20" s="2803" t="s">
        <v>2899</v>
      </c>
      <c r="I20" s="933" t="e">
        <f>SUMIF('数据-取费表'!C6:C15,E2,'数据-取费表'!F6:F15)/COUNTIF('数据-取费表'!C6:C15,E2)</f>
        <v>#DIV/0!</v>
      </c>
      <c r="J20" s="934">
        <f>IF(E2="住宅",70,IF(E2="商业",40,50))</f>
        <v>50</v>
      </c>
      <c r="K20" s="1374"/>
      <c r="L20" s="2804" t="s">
        <v>2900</v>
      </c>
      <c r="M20" s="1732">
        <f>ROUND(SUMPRODUCT((地价!A4:A22=YEAR(G19)&amp;"-"&amp;ROUNDUP(MONTH(G19)/3,0))*(地价!B2:F2=E2)*(地价!B4:F22)),0)</f>
        <v>0</v>
      </c>
      <c r="N20" s="2805" t="s">
        <v>2901</v>
      </c>
      <c r="O20" s="2806" t="s">
        <v>2902</v>
      </c>
      <c r="P20" s="2807" t="s">
        <v>2903</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2904</v>
      </c>
      <c r="C21" s="935" t="e">
        <f>IF(B21="容积率修正",IF(G3&lt;=10,D22,J22),C23)</f>
        <v>#DIV/0!</v>
      </c>
      <c r="D21" s="2810"/>
      <c r="E21" s="2810"/>
      <c r="F21" s="2810"/>
      <c r="G21" s="2810"/>
      <c r="H21" s="2810"/>
      <c r="I21" s="2810"/>
      <c r="J21" s="2811"/>
      <c r="K21" s="1374"/>
      <c r="N21" s="2812" t="s">
        <v>2905</v>
      </c>
      <c r="O21" s="1558"/>
      <c r="P21" s="1559">
        <f>SUMPRODUCT((地价!A3:A22=YEAR(G19)&amp;"-"&amp;ROUNDUP(MONTH(G19)/3,0))*(地价!AD2:AH2=N21)*(地价!AD3:AH22))</f>
        <v>0</v>
      </c>
      <c r="R21" s="1373"/>
      <c r="S21" s="1373"/>
      <c r="T21" s="1368"/>
      <c r="U21" s="1368"/>
      <c r="V21" s="1368"/>
      <c r="W21" s="1367"/>
      <c r="X21" s="1367"/>
      <c r="Y21" s="1367"/>
      <c r="Z21" s="1374"/>
      <c r="AA21" s="1375"/>
      <c r="AB21" s="1375"/>
      <c r="AC21" s="1375"/>
      <c r="AD21" s="1375"/>
      <c r="AE21" s="1375"/>
      <c r="AF21" s="1375"/>
    </row>
    <row r="22" spans="1:37" s="2735" customFormat="1" ht="14.25">
      <c r="A22" s="2661" t="s">
        <v>2906</v>
      </c>
      <c r="B22" s="2813" t="s">
        <v>2907</v>
      </c>
      <c r="C22" s="1807" t="s">
        <v>2908</v>
      </c>
      <c r="D22" s="1807" t="e">
        <f>IF(E22=G22,F22,IF(G3&lt;=10,ROUND(F22+(H22-F22)*(G3-E22)/(G22-E22),4),"——"))</f>
        <v>#DIV/0!</v>
      </c>
      <c r="E22" s="911"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4"/>
      <c r="N22" s="2812" t="s">
        <v>2909</v>
      </c>
      <c r="O22" s="1558"/>
      <c r="P22" s="1559">
        <f>SUMPRODUCT((地价!A3:A22=YEAR(G19)&amp;"-"&amp;ROUNDUP(MONTH(G19)/3,0))*(地价!AD2:AH2=N22)*(地价!AD3:AH22))</f>
        <v>0</v>
      </c>
      <c r="R22" s="1373"/>
      <c r="S22" s="1373"/>
      <c r="T22" s="1368"/>
      <c r="U22" s="1368"/>
      <c r="V22" s="1368"/>
      <c r="W22" s="1367"/>
      <c r="X22" s="1367"/>
      <c r="Y22" s="1367"/>
      <c r="Z22" s="1374"/>
      <c r="AA22" s="1375"/>
      <c r="AB22" s="1375"/>
      <c r="AC22" s="1375"/>
      <c r="AD22" s="1375"/>
      <c r="AE22" s="1375"/>
      <c r="AF22" s="1375"/>
    </row>
    <row r="23" spans="1:37" ht="27.75" thickBot="1">
      <c r="A23" s="2661" t="s">
        <v>2910</v>
      </c>
      <c r="B23" s="2814" t="s">
        <v>2911</v>
      </c>
      <c r="C23" s="1011" t="e">
        <f>ROUND(IF(G3&gt;1,IF(I3&lt;7,SUMPRODUCT((B93:B98=I3)*(C92:N92=G2)*(C93:N98)),SUMIF(C92:N92,G2,C100:N100)),IF(I3&lt;7,SUMPRODUCT((B102:B107=I3)*(C92:N92=G2)*(C102:N107)),SUMIF(C92:N92,G2,C109:N109))),4)</f>
        <v>#DIV/0!</v>
      </c>
      <c r="D23" s="2770"/>
      <c r="E23" s="2770"/>
      <c r="F23" s="2815"/>
      <c r="G23" s="2816"/>
      <c r="H23" s="2817"/>
      <c r="I23" s="2818"/>
      <c r="J23" s="2819"/>
      <c r="K23" s="1367"/>
      <c r="N23" s="2812" t="s">
        <v>2912</v>
      </c>
      <c r="O23" s="1558"/>
      <c r="P23" s="1559">
        <f>SUMPRODUCT((地价!A3:A22=YEAR(G19)&amp;"-"&amp;ROUNDUP(MONTH(G19)/3,0))*(地价!AD2:AH2=N23)*(地价!AD3:AH22))</f>
        <v>0</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2913</v>
      </c>
      <c r="C24" s="922">
        <f>SUMIF(A45:A88,E2,B45:B88)</f>
        <v>0</v>
      </c>
      <c r="D24" s="2790"/>
      <c r="E24" s="2820"/>
      <c r="F24" s="2820"/>
      <c r="G24" s="2820"/>
      <c r="H24" s="2820"/>
      <c r="I24" s="2820"/>
      <c r="J24" s="2821"/>
      <c r="K24" s="1374"/>
      <c r="N24" s="2822" t="s">
        <v>2914</v>
      </c>
      <c r="O24" s="1560"/>
      <c r="P24" s="1561">
        <f>SUMPRODUCT((地价!A3:A22=YEAR(G19)&amp;"-"&amp;ROUNDUP(MONTH(G19)/3,0))*(地价!AD2:AH2=N24)*(地价!AD3:AH22))</f>
        <v>0</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2915</v>
      </c>
      <c r="C25" s="928"/>
      <c r="D25" s="2745"/>
      <c r="E25" s="2745"/>
      <c r="F25" s="2824"/>
      <c r="G25" s="2745"/>
      <c r="H25" s="2745"/>
      <c r="I25" s="2745"/>
      <c r="J25" s="2746"/>
      <c r="K25" s="1367"/>
      <c r="N25" s="2825" t="s">
        <v>2916</v>
      </c>
      <c r="O25" s="1562"/>
      <c r="P25" s="1561">
        <f>SUMPRODUCT((地价!A3:A22=YEAR(G19)&amp;"-"&amp;ROUNDUP(MONTH(G19)/3,0))*(地价!AD2:AH2=N25)*(地价!AD3:AH22))</f>
        <v>0</v>
      </c>
      <c r="R25" s="1373"/>
      <c r="S25" s="1373"/>
      <c r="T25" s="1368"/>
      <c r="U25" s="1368"/>
      <c r="V25" s="1368"/>
      <c r="W25" s="1367"/>
      <c r="X25" s="1367"/>
      <c r="Y25" s="1367"/>
      <c r="Z25" s="1374"/>
      <c r="AA25" s="1375"/>
      <c r="AB25" s="1375"/>
      <c r="AC25" s="1375"/>
      <c r="AD25" s="1375"/>
    </row>
    <row r="26" spans="1:37" ht="15">
      <c r="A26" s="2826"/>
      <c r="B26" s="2813" t="s">
        <v>2917</v>
      </c>
      <c r="C26" s="205" t="e">
        <f>E29+SUM(E33:E39)</f>
        <v>#DIV/0!</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2918</v>
      </c>
      <c r="C27" s="929" t="e">
        <f>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2919</v>
      </c>
      <c r="C28" s="2837" t="s">
        <v>2920</v>
      </c>
      <c r="D28" s="2837" t="s">
        <v>2921</v>
      </c>
      <c r="E28" s="2838" t="s">
        <v>2922</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2923</v>
      </c>
      <c r="C29" s="205" t="e">
        <f>ROUND(C5*C18*C19*C20*C21*C24,0)</f>
        <v>#DIV/0!</v>
      </c>
      <c r="D29" s="2842"/>
      <c r="E29" s="940" t="e">
        <f>ROUND(C29*D29/10000,0)</f>
        <v>#DIV/0!</v>
      </c>
      <c r="F29" s="2843" t="s">
        <v>2924</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2925</v>
      </c>
      <c r="C30" s="228" t="e">
        <f>ROUND(IF(E2="工业",C29*M39,C29*M38),0)</f>
        <v>#DIV/0!</v>
      </c>
      <c r="D30" s="2848"/>
      <c r="E30" s="940" t="e">
        <f>ROUND(C30*D30/10000,0)</f>
        <v>#DIV/0!</v>
      </c>
      <c r="F30" s="2849" t="s">
        <v>2926</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0" t="s">
        <v>2920</v>
      </c>
      <c r="D32" s="497" t="s">
        <v>2921</v>
      </c>
      <c r="E32" s="497" t="s">
        <v>2922</v>
      </c>
      <c r="F32" s="387" t="s">
        <v>2930</v>
      </c>
      <c r="G32" s="2857" t="s">
        <v>2920</v>
      </c>
      <c r="H32" s="2857" t="s">
        <v>2921</v>
      </c>
      <c r="I32" s="2857" t="s">
        <v>2922</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87" t="s">
        <v>2931</v>
      </c>
      <c r="B33" s="2858" t="s">
        <v>2932</v>
      </c>
      <c r="C33" s="205" t="e">
        <f>ROUND(D5*C19*C20*C24*F33,0)</f>
        <v>#DIV/0!</v>
      </c>
      <c r="D33" s="2842"/>
      <c r="E33" s="199" t="e">
        <f>ROUND(C33*D33/10000,0)</f>
        <v>#DIV/0!</v>
      </c>
      <c r="F33" s="199">
        <f>SUMIF(修正!A45:A56,G2,修正!B45:B56)</f>
        <v>0</v>
      </c>
      <c r="G33" s="199" t="e">
        <f t="shared" ref="G33:G39" si="6">ROUND(IF(E2="工业",C33*$M$39,C33*$M$38),0)</f>
        <v>#DIV/0!</v>
      </c>
      <c r="H33" s="199">
        <f>D33</f>
        <v>0</v>
      </c>
      <c r="I33" s="199" t="e">
        <f>ROUND(G33*H33/10000,0)</f>
        <v>#DIV/0!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8"/>
      <c r="B34" s="2762" t="s">
        <v>2933</v>
      </c>
      <c r="C34" s="205" t="e">
        <f>ROUND(D5*C19*C20*C24*F34,0)</f>
        <v>#DIV/0!</v>
      </c>
      <c r="D34" s="2842"/>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8"/>
      <c r="B35" s="2762" t="s">
        <v>2934</v>
      </c>
      <c r="C35" s="205" t="e">
        <f>ROUND(D5*C19*C20*C24*F35,0)</f>
        <v>#DIV/0!</v>
      </c>
      <c r="D35" s="2842"/>
      <c r="E35" s="199" t="e">
        <f t="shared" si="7"/>
        <v>#DIV/0!</v>
      </c>
      <c r="F35" s="199">
        <f>SUMIF(修正!A45:A56,G2,修正!D45:D56)</f>
        <v>0</v>
      </c>
      <c r="G35" s="199" t="e">
        <f t="shared" si="6"/>
        <v>#DIV/0!</v>
      </c>
      <c r="H35" s="199">
        <f t="shared" si="8"/>
        <v>0</v>
      </c>
      <c r="I35" s="199" t="e">
        <f t="shared" si="9"/>
        <v>#DIV/0!</v>
      </c>
      <c r="J35" s="2859"/>
      <c r="K35" s="1367"/>
      <c r="L35" s="1367"/>
      <c r="M35" s="1367"/>
      <c r="N35" s="1367"/>
      <c r="O35" s="1367"/>
      <c r="P35" s="1367"/>
      <c r="Q35" s="1367"/>
      <c r="R35" s="1367"/>
      <c r="S35" s="1367"/>
      <c r="T35" s="1367"/>
      <c r="U35" s="1367"/>
      <c r="V35" s="1367"/>
      <c r="W35" s="1367"/>
      <c r="X35" s="1367"/>
      <c r="Y35" s="1367"/>
      <c r="Z35" s="1368"/>
    </row>
    <row r="36" spans="1:37" ht="13.5" thickBot="1">
      <c r="A36" s="3289"/>
      <c r="B36" s="2762" t="s">
        <v>2935</v>
      </c>
      <c r="C36" s="205" t="e">
        <f>ROUND(D5*C19*C20*C24*F36,0)</f>
        <v>#DIV/0!</v>
      </c>
      <c r="D36" s="2842"/>
      <c r="E36" s="199" t="e">
        <f t="shared" si="7"/>
        <v>#DIV/0!</v>
      </c>
      <c r="F36" s="199">
        <f>SUMIF(修正!A45:A56,G2,修正!E45:E56)</f>
        <v>0</v>
      </c>
      <c r="G36" s="199" t="e">
        <f t="shared" si="6"/>
        <v>#DIV/0!</v>
      </c>
      <c r="H36" s="199">
        <f t="shared" si="8"/>
        <v>0</v>
      </c>
      <c r="I36" s="199" t="e">
        <f t="shared" si="9"/>
        <v>#DIV/0!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2936</v>
      </c>
      <c r="C37" s="199" t="e">
        <f>ROUND(C5*C19*C20*C24*F37,0)</f>
        <v>#DIV/0!</v>
      </c>
      <c r="D37" s="2842"/>
      <c r="E37" s="199" t="e">
        <f t="shared" si="7"/>
        <v>#DIV/0!</v>
      </c>
      <c r="F37" s="205">
        <f>SUMIF(修正!A45:A56,G2,修正!F45:F56)</f>
        <v>0</v>
      </c>
      <c r="G37" s="199" t="e">
        <f t="shared" si="6"/>
        <v>#DIV/0!</v>
      </c>
      <c r="H37" s="199">
        <f t="shared" si="8"/>
        <v>0</v>
      </c>
      <c r="I37" s="199" t="e">
        <f t="shared" si="9"/>
        <v>#DIV/0!</v>
      </c>
      <c r="J37" s="2859"/>
      <c r="K37" s="1367"/>
      <c r="L37" s="2861" t="s">
        <v>2937</v>
      </c>
      <c r="M37" s="2862"/>
      <c r="N37" s="1367"/>
      <c r="O37" s="1367"/>
      <c r="P37" s="1367"/>
      <c r="Q37" s="1367"/>
      <c r="R37" s="1367"/>
      <c r="S37" s="1367"/>
      <c r="T37" s="1367"/>
      <c r="U37" s="1367"/>
      <c r="V37" s="1367"/>
      <c r="W37" s="1367"/>
      <c r="X37" s="1367"/>
      <c r="Y37" s="1367"/>
      <c r="Z37" s="1368"/>
    </row>
    <row r="38" spans="1:37">
      <c r="A38" s="2860"/>
      <c r="B38" s="2762" t="s">
        <v>2938</v>
      </c>
      <c r="C38" s="199" t="e">
        <f>ROUND(C5*C19*C20*C24*F38,0)</f>
        <v>#DIV/0!</v>
      </c>
      <c r="D38" s="2842"/>
      <c r="E38" s="199" t="e">
        <f t="shared" si="7"/>
        <v>#DIV/0!</v>
      </c>
      <c r="F38" s="205">
        <f>SUMIF(修正!A45:A56,G2,修正!G45:G56)</f>
        <v>0</v>
      </c>
      <c r="G38" s="199" t="e">
        <f t="shared" si="6"/>
        <v>#DIV/0!</v>
      </c>
      <c r="H38" s="199">
        <f t="shared" si="8"/>
        <v>0</v>
      </c>
      <c r="I38" s="199" t="e">
        <f t="shared" si="9"/>
        <v>#DIV/0!</v>
      </c>
      <c r="J38" s="2859"/>
      <c r="K38" s="1367"/>
      <c r="L38" s="1884" t="s">
        <v>2939</v>
      </c>
      <c r="M38" s="2863">
        <v>0.25</v>
      </c>
      <c r="N38" s="1367"/>
      <c r="O38" s="1367"/>
      <c r="P38" s="1367"/>
      <c r="Q38" s="1367"/>
      <c r="R38" s="1367"/>
      <c r="S38" s="1367"/>
      <c r="T38" s="1367"/>
      <c r="U38" s="1367"/>
      <c r="V38" s="1367"/>
      <c r="W38" s="1367"/>
      <c r="X38" s="1367"/>
      <c r="Y38" s="1367"/>
      <c r="Z38" s="1368"/>
    </row>
    <row r="39" spans="1:37" ht="13.5" thickBot="1">
      <c r="A39" s="2846"/>
      <c r="B39" s="2864" t="s">
        <v>2940</v>
      </c>
      <c r="C39" s="228" t="e">
        <f>ROUND(C5*C19*C20*C24*F39,0)</f>
        <v>#DIV/0!</v>
      </c>
      <c r="D39" s="2848"/>
      <c r="E39" s="228" t="e">
        <f t="shared" si="7"/>
        <v>#DIV/0!</v>
      </c>
      <c r="F39" s="930">
        <f>SUMIF(修正!A45:A56,G2,修正!H45:H56)</f>
        <v>0</v>
      </c>
      <c r="G39" s="228" t="e">
        <f t="shared" si="6"/>
        <v>#DIV/0!</v>
      </c>
      <c r="H39" s="228">
        <f t="shared" si="8"/>
        <v>0</v>
      </c>
      <c r="I39" s="228" t="e">
        <f t="shared" si="9"/>
        <v>#DIV/0!</v>
      </c>
      <c r="J39" s="2865"/>
      <c r="K39" s="1367"/>
      <c r="L39" s="2866" t="s">
        <v>2881</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2941</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2942</v>
      </c>
      <c r="B46" s="2872">
        <f>1+E48</f>
        <v>1</v>
      </c>
      <c r="C46" s="2873"/>
      <c r="D46" s="809"/>
      <c r="E46" s="810"/>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2943</v>
      </c>
      <c r="B47" s="1806" t="s">
        <v>2944</v>
      </c>
      <c r="C47" s="1806" t="s">
        <v>2945</v>
      </c>
      <c r="D47" s="1806" t="s">
        <v>2946</v>
      </c>
      <c r="E47" s="814" t="s">
        <v>2947</v>
      </c>
      <c r="F47" s="2876" t="s">
        <v>2948</v>
      </c>
      <c r="G47" s="1806" t="s">
        <v>754</v>
      </c>
      <c r="H47" s="2877" t="s">
        <v>2949</v>
      </c>
      <c r="I47" s="1806" t="s">
        <v>2950</v>
      </c>
      <c r="J47" s="602" t="s">
        <v>2596</v>
      </c>
      <c r="K47" s="602" t="s">
        <v>2597</v>
      </c>
      <c r="L47" s="602" t="s">
        <v>2598</v>
      </c>
      <c r="M47" s="602" t="s">
        <v>2599</v>
      </c>
      <c r="N47" s="602" t="s">
        <v>2600</v>
      </c>
      <c r="AA47" s="1368"/>
      <c r="AB47" s="1368"/>
      <c r="AC47" s="1368"/>
      <c r="AD47" s="1368"/>
      <c r="AE47" s="1368"/>
      <c r="AF47" s="1368"/>
      <c r="AG47" s="1368"/>
      <c r="AH47" s="1368"/>
      <c r="AI47" s="1368"/>
      <c r="AJ47" s="1368"/>
      <c r="AK47" s="1368"/>
    </row>
    <row r="48" spans="1:37" s="1367" customFormat="1" ht="38.25">
      <c r="A48" s="2875" t="s">
        <v>2951</v>
      </c>
      <c r="B48" s="2878" t="str">
        <f>估价对象房地状况!C4</f>
        <v>估价对象位于XX商圈，周边商业氛围成熟，人流量大，商业繁华度好</v>
      </c>
      <c r="C48" s="2767"/>
      <c r="D48" s="1283">
        <f t="shared" ref="D48:D56" si="10">SUMIF($J$47:$N$47,C48,J48:N48)</f>
        <v>0</v>
      </c>
      <c r="E48" s="816">
        <f>ROUND(SUM(D48:D56),4)</f>
        <v>0</v>
      </c>
      <c r="F48" s="2498" t="str">
        <f>IF(E2="商业",SUMIF(L1:L12,G2,N1:N12),"——")</f>
        <v>——</v>
      </c>
      <c r="G48" s="1281"/>
      <c r="H48" s="1285" t="str">
        <f t="shared" ref="H48:H56" si="11">IFERROR(ROUNDDOWN($F$48*I48/2,4),"——")</f>
        <v>——</v>
      </c>
      <c r="I48" s="815">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5" t="s">
        <v>2952</v>
      </c>
      <c r="B49" s="2879" t="str">
        <f>估价对象房地状况!C18</f>
        <v>估价对象周边道路状况、公共交通通达情况、停车便捷程度，综合评价交通便捷度较好</v>
      </c>
      <c r="C49" s="2767"/>
      <c r="D49" s="1283">
        <f t="shared" si="10"/>
        <v>0</v>
      </c>
      <c r="E49" s="817"/>
      <c r="F49" s="2498"/>
      <c r="G49" s="1281"/>
      <c r="H49" s="1285" t="str">
        <f t="shared" si="11"/>
        <v>——</v>
      </c>
      <c r="I49" s="815">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5" t="s">
        <v>2953</v>
      </c>
      <c r="B50" s="2879">
        <f>估价对象房地状况!C19</f>
        <v>0</v>
      </c>
      <c r="C50" s="2767"/>
      <c r="D50" s="1283">
        <f t="shared" si="10"/>
        <v>0</v>
      </c>
      <c r="E50" s="817"/>
      <c r="F50" s="2498"/>
      <c r="G50" s="1281"/>
      <c r="H50" s="1285" t="str">
        <f t="shared" si="11"/>
        <v>——</v>
      </c>
      <c r="I50" s="815">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5" t="s">
        <v>2954</v>
      </c>
      <c r="B51" s="2880" t="s">
        <v>2955</v>
      </c>
      <c r="C51" s="2767"/>
      <c r="D51" s="1283">
        <f t="shared" si="10"/>
        <v>0</v>
      </c>
      <c r="E51" s="817"/>
      <c r="F51" s="2498"/>
      <c r="G51" s="1281"/>
      <c r="H51" s="1285" t="str">
        <f t="shared" si="11"/>
        <v>——</v>
      </c>
      <c r="I51" s="815">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5" t="s">
        <v>2956</v>
      </c>
      <c r="B52" s="2879">
        <f>估价对象房地状况!C24</f>
        <v>0</v>
      </c>
      <c r="C52" s="2767"/>
      <c r="D52" s="1283">
        <f t="shared" si="10"/>
        <v>0</v>
      </c>
      <c r="E52" s="817"/>
      <c r="F52" s="2498"/>
      <c r="G52" s="1281"/>
      <c r="H52" s="1285" t="str">
        <f t="shared" si="11"/>
        <v>——</v>
      </c>
      <c r="I52" s="815">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5" t="s">
        <v>2957</v>
      </c>
      <c r="B53" s="2881" t="s">
        <v>2958</v>
      </c>
      <c r="C53" s="2767"/>
      <c r="D53" s="1283">
        <f t="shared" si="10"/>
        <v>0</v>
      </c>
      <c r="E53" s="817"/>
      <c r="F53" s="2498"/>
      <c r="G53" s="1281"/>
      <c r="H53" s="1285" t="str">
        <f t="shared" si="11"/>
        <v>——</v>
      </c>
      <c r="I53" s="815">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2" t="s">
        <v>2959</v>
      </c>
      <c r="B54" s="1722" t="str">
        <f>估价对象房地状况!C21</f>
        <v>估价对象所在区域公共配套设施齐备情况</v>
      </c>
      <c r="C54" s="2767"/>
      <c r="D54" s="1283">
        <f t="shared" si="10"/>
        <v>0</v>
      </c>
      <c r="E54" s="817"/>
      <c r="F54" s="2498"/>
      <c r="G54" s="1281"/>
      <c r="H54" s="1285" t="str">
        <f t="shared" si="11"/>
        <v>——</v>
      </c>
      <c r="I54" s="815">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2" t="s">
        <v>2960</v>
      </c>
      <c r="B55" s="2879" t="str">
        <f>估价对象房地状况!C22</f>
        <v>估价对象所在区域基础设施水平</v>
      </c>
      <c r="C55" s="2767"/>
      <c r="D55" s="1283">
        <f t="shared" si="10"/>
        <v>0</v>
      </c>
      <c r="E55" s="817"/>
      <c r="F55" s="2498"/>
      <c r="G55" s="1281"/>
      <c r="H55" s="1285" t="str">
        <f t="shared" si="11"/>
        <v>——</v>
      </c>
      <c r="I55" s="815">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3" t="s">
        <v>2961</v>
      </c>
      <c r="B56" s="2884" t="str">
        <f>估价对象房地状况!C20</f>
        <v>区域自然环境：；人文环境；综合评价环境状况一般</v>
      </c>
      <c r="C56" s="2767"/>
      <c r="D56" s="1283">
        <f t="shared" si="10"/>
        <v>0</v>
      </c>
      <c r="E56" s="820"/>
      <c r="F56" s="2498"/>
      <c r="G56" s="1281"/>
      <c r="H56" s="1285" t="str">
        <f t="shared" si="11"/>
        <v>——</v>
      </c>
      <c r="I56" s="819">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1" t="s">
        <v>2962</v>
      </c>
      <c r="B57" s="2872">
        <f>1+E59</f>
        <v>1</v>
      </c>
      <c r="C57" s="809"/>
      <c r="D57" s="809"/>
      <c r="E57" s="810"/>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2943</v>
      </c>
      <c r="B58" s="1806"/>
      <c r="C58" s="1806" t="s">
        <v>2945</v>
      </c>
      <c r="D58" s="1806" t="s">
        <v>2946</v>
      </c>
      <c r="E58" s="814" t="s">
        <v>2947</v>
      </c>
      <c r="F58" s="2876" t="s">
        <v>2963</v>
      </c>
      <c r="G58" s="1806" t="s">
        <v>754</v>
      </c>
      <c r="H58" s="2877" t="s">
        <v>2949</v>
      </c>
      <c r="I58" s="1806" t="s">
        <v>2950</v>
      </c>
      <c r="J58" s="602" t="s">
        <v>2596</v>
      </c>
      <c r="K58" s="602" t="s">
        <v>2597</v>
      </c>
      <c r="L58" s="602" t="s">
        <v>2598</v>
      </c>
      <c r="M58" s="602" t="s">
        <v>2599</v>
      </c>
      <c r="N58" s="602" t="s">
        <v>2600</v>
      </c>
      <c r="AA58" s="1368"/>
      <c r="AB58" s="1368"/>
      <c r="AC58" s="1368"/>
      <c r="AD58" s="1368"/>
      <c r="AE58" s="1368"/>
      <c r="AF58" s="1368"/>
      <c r="AG58" s="1368"/>
      <c r="AH58" s="1368"/>
      <c r="AI58" s="1368"/>
      <c r="AJ58" s="1368"/>
      <c r="AK58" s="1368"/>
    </row>
    <row r="59" spans="1:37" s="1367" customFormat="1" ht="38.25">
      <c r="A59" s="2875" t="s">
        <v>2964</v>
      </c>
      <c r="B59" s="2878" t="str">
        <f>估价对象房地状况!C17</f>
        <v>估价对象位于XX商圈，周边办公楼项目较多，入驻率高，办公集聚程度较好</v>
      </c>
      <c r="C59" s="2767"/>
      <c r="D59" s="1283">
        <f t="shared" ref="D59:D67" si="15">SUMIF($J$58:$N$58,C59,J59:N59)</f>
        <v>0</v>
      </c>
      <c r="E59" s="816">
        <f>ROUND(SUM(D59:D67),4)</f>
        <v>0</v>
      </c>
      <c r="F59" s="2498" t="str">
        <f>IF(E2="办公",SUMIF(L1:L12,G2,N1:N12),"——")</f>
        <v>——</v>
      </c>
      <c r="G59" s="1281"/>
      <c r="H59" s="1285" t="str">
        <f t="shared" ref="H59:H67" si="16">IFERROR(ROUNDDOWN($F$59*I59/2,4),"——")</f>
        <v>——</v>
      </c>
      <c r="I59" s="815">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5" t="s">
        <v>2952</v>
      </c>
      <c r="B60" s="2879" t="str">
        <f>估价对象房地状况!C18</f>
        <v>估价对象周边道路状况、公共交通通达情况、停车便捷程度，综合评价交通便捷度较好</v>
      </c>
      <c r="C60" s="2767"/>
      <c r="D60" s="1283">
        <f t="shared" si="15"/>
        <v>0</v>
      </c>
      <c r="E60" s="817"/>
      <c r="F60" s="2498"/>
      <c r="G60" s="1281"/>
      <c r="H60" s="1285" t="str">
        <f t="shared" si="16"/>
        <v>——</v>
      </c>
      <c r="I60" s="815">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5" t="s">
        <v>2953</v>
      </c>
      <c r="B61" s="2879">
        <f>估价对象房地状况!C19</f>
        <v>0</v>
      </c>
      <c r="C61" s="2767"/>
      <c r="D61" s="1283">
        <f t="shared" si="15"/>
        <v>0</v>
      </c>
      <c r="E61" s="817"/>
      <c r="F61" s="2498"/>
      <c r="G61" s="1281"/>
      <c r="H61" s="1285" t="str">
        <f t="shared" si="16"/>
        <v>——</v>
      </c>
      <c r="I61" s="815">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5" t="s">
        <v>2954</v>
      </c>
      <c r="B62" s="2880" t="s">
        <v>2955</v>
      </c>
      <c r="C62" s="2767"/>
      <c r="D62" s="1283">
        <f t="shared" si="15"/>
        <v>0</v>
      </c>
      <c r="E62" s="817"/>
      <c r="F62" s="2498"/>
      <c r="G62" s="1281"/>
      <c r="H62" s="1285" t="str">
        <f t="shared" si="16"/>
        <v>——</v>
      </c>
      <c r="I62" s="815">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5" t="s">
        <v>2956</v>
      </c>
      <c r="B63" s="2879">
        <f>估价对象房地状况!C24</f>
        <v>0</v>
      </c>
      <c r="C63" s="2767"/>
      <c r="D63" s="1283">
        <f t="shared" si="15"/>
        <v>0</v>
      </c>
      <c r="E63" s="817"/>
      <c r="F63" s="2498"/>
      <c r="G63" s="1281"/>
      <c r="H63" s="1285" t="str">
        <f t="shared" si="16"/>
        <v>——</v>
      </c>
      <c r="I63" s="815">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5" t="s">
        <v>2957</v>
      </c>
      <c r="B64" s="2881" t="s">
        <v>2958</v>
      </c>
      <c r="C64" s="2767"/>
      <c r="D64" s="1283">
        <f t="shared" si="15"/>
        <v>0</v>
      </c>
      <c r="E64" s="817"/>
      <c r="F64" s="2498"/>
      <c r="G64" s="1281"/>
      <c r="H64" s="1285" t="str">
        <f t="shared" si="16"/>
        <v>——</v>
      </c>
      <c r="I64" s="815">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5" t="s">
        <v>2959</v>
      </c>
      <c r="B65" s="1722" t="str">
        <f>估价对象房地状况!C21</f>
        <v>估价对象所在区域公共配套设施齐备情况</v>
      </c>
      <c r="C65" s="2767"/>
      <c r="D65" s="1283">
        <f t="shared" si="15"/>
        <v>0</v>
      </c>
      <c r="E65" s="817"/>
      <c r="F65" s="2498"/>
      <c r="G65" s="1281"/>
      <c r="H65" s="1285" t="str">
        <f t="shared" si="16"/>
        <v>——</v>
      </c>
      <c r="I65" s="815">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5" t="s">
        <v>2960</v>
      </c>
      <c r="B66" s="1722" t="str">
        <f>估价对象房地状况!C22</f>
        <v>估价对象所在区域基础设施水平</v>
      </c>
      <c r="C66" s="2767"/>
      <c r="D66" s="1283">
        <f t="shared" si="15"/>
        <v>0</v>
      </c>
      <c r="E66" s="817"/>
      <c r="F66" s="2498"/>
      <c r="G66" s="1281"/>
      <c r="H66" s="1285" t="str">
        <f t="shared" si="16"/>
        <v>——</v>
      </c>
      <c r="I66" s="815">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3" t="s">
        <v>2961</v>
      </c>
      <c r="B67" s="2885" t="str">
        <f>估价对象房地状况!C20</f>
        <v>区域自然环境：；人文环境；综合评价环境状况一般</v>
      </c>
      <c r="C67" s="2767"/>
      <c r="D67" s="1283">
        <f t="shared" si="15"/>
        <v>0</v>
      </c>
      <c r="E67" s="820"/>
      <c r="F67" s="2498"/>
      <c r="G67" s="1281"/>
      <c r="H67" s="1285" t="str">
        <f t="shared" si="16"/>
        <v>——</v>
      </c>
      <c r="I67" s="819">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1" t="s">
        <v>2965</v>
      </c>
      <c r="B68" s="2872">
        <f>1+E70</f>
        <v>1</v>
      </c>
      <c r="C68" s="809"/>
      <c r="D68" s="809"/>
      <c r="E68" s="810"/>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2943</v>
      </c>
      <c r="B69" s="1806"/>
      <c r="C69" s="1806" t="s">
        <v>2945</v>
      </c>
      <c r="D69" s="1806" t="s">
        <v>2946</v>
      </c>
      <c r="E69" s="814" t="s">
        <v>2947</v>
      </c>
      <c r="F69" s="2876" t="s">
        <v>2963</v>
      </c>
      <c r="G69" s="1806" t="s">
        <v>754</v>
      </c>
      <c r="H69" s="2877" t="s">
        <v>2949</v>
      </c>
      <c r="I69" s="1806" t="s">
        <v>2950</v>
      </c>
      <c r="J69" s="602" t="s">
        <v>2596</v>
      </c>
      <c r="K69" s="602" t="s">
        <v>2597</v>
      </c>
      <c r="L69" s="602" t="s">
        <v>2598</v>
      </c>
      <c r="M69" s="602" t="s">
        <v>2599</v>
      </c>
      <c r="N69" s="602" t="s">
        <v>2600</v>
      </c>
      <c r="AA69" s="1368"/>
      <c r="AB69" s="1368"/>
      <c r="AC69" s="1368"/>
      <c r="AD69" s="1368"/>
      <c r="AE69" s="1368"/>
      <c r="AF69" s="1368"/>
      <c r="AG69" s="1368"/>
      <c r="AH69" s="1368"/>
      <c r="AI69" s="1368"/>
      <c r="AJ69" s="1368"/>
      <c r="AK69" s="1368"/>
    </row>
    <row r="70" spans="1:37" s="1367" customFormat="1" ht="51">
      <c r="A70" s="2875" t="s">
        <v>2966</v>
      </c>
      <c r="B70" s="2878" t="str">
        <f>估价对象房地状况!C15</f>
        <v>估价对象周边居住用地比例、居住小区规模和社区发展完善程度，综合评价居住社区成熟度一般</v>
      </c>
      <c r="C70" s="2767"/>
      <c r="D70" s="1283">
        <f t="shared" ref="D70:D78" si="20">SUMIF($J$69:$N$69,C70,J70:N70)</f>
        <v>0</v>
      </c>
      <c r="E70" s="816">
        <f>ROUND(SUM(D70:D78),4)</f>
        <v>0</v>
      </c>
      <c r="F70" s="2498" t="str">
        <f>IF(E2="住宅",SUMIF(L1:L12,G2,N1:N12),"——")</f>
        <v>——</v>
      </c>
      <c r="G70" s="1281"/>
      <c r="H70" s="1285" t="str">
        <f t="shared" ref="H70:H78" si="21">IFERROR(ROUNDDOWN($F$70*I70/2,4),"——")</f>
        <v>——</v>
      </c>
      <c r="I70" s="815">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5" t="s">
        <v>2952</v>
      </c>
      <c r="B71" s="2879" t="str">
        <f>估价对象房地状况!C18</f>
        <v>估价对象周边道路状况、公共交通通达情况、停车便捷程度，综合评价交通便捷度较好</v>
      </c>
      <c r="C71" s="2767"/>
      <c r="D71" s="1283">
        <f t="shared" si="20"/>
        <v>0</v>
      </c>
      <c r="E71" s="821"/>
      <c r="F71" s="2498"/>
      <c r="G71" s="1281"/>
      <c r="H71" s="1285" t="str">
        <f t="shared" si="21"/>
        <v>——</v>
      </c>
      <c r="I71" s="815">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5" t="s">
        <v>2953</v>
      </c>
      <c r="B72" s="2879">
        <f>估价对象房地状况!C19</f>
        <v>0</v>
      </c>
      <c r="C72" s="2767"/>
      <c r="D72" s="1283">
        <f t="shared" si="20"/>
        <v>0</v>
      </c>
      <c r="E72" s="821"/>
      <c r="F72" s="2498"/>
      <c r="G72" s="1281"/>
      <c r="H72" s="1285" t="str">
        <f t="shared" si="21"/>
        <v>——</v>
      </c>
      <c r="I72" s="815">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2967</v>
      </c>
      <c r="B73" s="2879">
        <f>估价对象房地状况!C24</f>
        <v>0</v>
      </c>
      <c r="C73" s="2767"/>
      <c r="D73" s="1283">
        <f t="shared" si="20"/>
        <v>0</v>
      </c>
      <c r="E73" s="821"/>
      <c r="F73" s="2498"/>
      <c r="G73" s="1281"/>
      <c r="H73" s="1285" t="str">
        <f t="shared" si="21"/>
        <v>——</v>
      </c>
      <c r="I73" s="815">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5" t="s">
        <v>2959</v>
      </c>
      <c r="B74" s="1722" t="str">
        <f>估价对象房地状况!C21</f>
        <v>估价对象所在区域公共配套设施齐备情况</v>
      </c>
      <c r="C74" s="2767"/>
      <c r="D74" s="1283">
        <f t="shared" si="20"/>
        <v>0</v>
      </c>
      <c r="E74" s="821"/>
      <c r="F74" s="2498"/>
      <c r="G74" s="1281"/>
      <c r="H74" s="1285" t="str">
        <f t="shared" si="21"/>
        <v>——</v>
      </c>
      <c r="I74" s="815">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5" t="s">
        <v>2960</v>
      </c>
      <c r="B75" s="1722" t="str">
        <f>估价对象房地状况!C22</f>
        <v>估价对象所在区域基础设施水平</v>
      </c>
      <c r="C75" s="2767"/>
      <c r="D75" s="1283">
        <f t="shared" si="20"/>
        <v>0</v>
      </c>
      <c r="E75" s="821"/>
      <c r="F75" s="2498"/>
      <c r="G75" s="1281"/>
      <c r="H75" s="1285" t="str">
        <f t="shared" si="21"/>
        <v>——</v>
      </c>
      <c r="I75" s="815">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75" t="s">
        <v>2957</v>
      </c>
      <c r="B76" s="2881" t="s">
        <v>2958</v>
      </c>
      <c r="C76" s="2767"/>
      <c r="D76" s="1283">
        <f t="shared" si="20"/>
        <v>0</v>
      </c>
      <c r="E76" s="821"/>
      <c r="F76" s="2498"/>
      <c r="G76" s="1281"/>
      <c r="H76" s="1285" t="str">
        <f t="shared" si="21"/>
        <v>——</v>
      </c>
      <c r="I76" s="815">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c r="A77" s="2875" t="s">
        <v>2961</v>
      </c>
      <c r="B77" s="2878" t="str">
        <f>估价对象房地状况!C20</f>
        <v>区域自然环境：；人文环境；综合评价环境状况一般</v>
      </c>
      <c r="C77" s="2767"/>
      <c r="D77" s="1283">
        <f t="shared" si="20"/>
        <v>0</v>
      </c>
      <c r="E77" s="821"/>
      <c r="F77" s="2498"/>
      <c r="G77" s="1281"/>
      <c r="H77" s="1285" t="str">
        <f t="shared" si="21"/>
        <v>——</v>
      </c>
      <c r="I77" s="815">
        <v>0.15</v>
      </c>
      <c r="J77" s="1282">
        <f t="shared" si="22"/>
        <v>0</v>
      </c>
      <c r="K77" s="1282">
        <f t="shared" si="23"/>
        <v>0</v>
      </c>
      <c r="L77" s="1282">
        <v>0</v>
      </c>
      <c r="M77" s="1282">
        <f t="shared" si="24"/>
        <v>0</v>
      </c>
      <c r="N77" s="1282">
        <f t="shared" si="24"/>
        <v>0</v>
      </c>
      <c r="Z77" s="2717"/>
      <c r="AA77" s="2793"/>
      <c r="AG77" s="1369"/>
      <c r="AK77" s="2793"/>
    </row>
    <row r="78" spans="1:37" ht="24.75" thickBot="1">
      <c r="A78" s="2883" t="s">
        <v>2968</v>
      </c>
      <c r="B78" s="2887"/>
      <c r="C78" s="2767"/>
      <c r="D78" s="1283">
        <f t="shared" si="20"/>
        <v>0</v>
      </c>
      <c r="E78" s="822"/>
      <c r="F78" s="2498"/>
      <c r="G78" s="1281"/>
      <c r="H78" s="1285" t="str">
        <f t="shared" si="21"/>
        <v>——</v>
      </c>
      <c r="I78" s="819">
        <v>0.04</v>
      </c>
      <c r="J78" s="1282">
        <f t="shared" si="22"/>
        <v>0</v>
      </c>
      <c r="K78" s="1282">
        <f t="shared" si="23"/>
        <v>0</v>
      </c>
      <c r="L78" s="1282">
        <v>0</v>
      </c>
      <c r="M78" s="1282">
        <f t="shared" si="24"/>
        <v>0</v>
      </c>
      <c r="N78" s="1282">
        <f t="shared" si="24"/>
        <v>0</v>
      </c>
      <c r="Z78" s="2717"/>
      <c r="AA78" s="2793"/>
      <c r="AG78" s="1369"/>
      <c r="AK78" s="2793"/>
    </row>
    <row r="79" spans="1:37" ht="15">
      <c r="A79" s="2871" t="s">
        <v>2969</v>
      </c>
      <c r="B79" s="2872">
        <f>1+E81</f>
        <v>1</v>
      </c>
      <c r="C79" s="809"/>
      <c r="D79" s="809"/>
      <c r="E79" s="810"/>
      <c r="F79" s="2874"/>
      <c r="G79" s="6"/>
      <c r="H79" s="6"/>
      <c r="I79" s="6"/>
      <c r="J79" s="7"/>
      <c r="K79" s="7"/>
      <c r="L79" s="7"/>
      <c r="M79" s="7"/>
      <c r="N79" s="7"/>
      <c r="Z79" s="2717"/>
      <c r="AA79" s="2793"/>
      <c r="AG79" s="1369"/>
      <c r="AK79" s="2793"/>
    </row>
    <row r="80" spans="1:37" ht="24.75">
      <c r="A80" s="2875" t="s">
        <v>2943</v>
      </c>
      <c r="B80" s="1806"/>
      <c r="C80" s="1806" t="s">
        <v>2945</v>
      </c>
      <c r="D80" s="1806" t="s">
        <v>2946</v>
      </c>
      <c r="E80" s="814" t="s">
        <v>2947</v>
      </c>
      <c r="F80" s="2876" t="s">
        <v>2963</v>
      </c>
      <c r="G80" s="1806" t="s">
        <v>754</v>
      </c>
      <c r="H80" s="2877" t="s">
        <v>2949</v>
      </c>
      <c r="I80" s="1806" t="s">
        <v>2950</v>
      </c>
      <c r="J80" s="602" t="s">
        <v>2596</v>
      </c>
      <c r="K80" s="602" t="s">
        <v>2597</v>
      </c>
      <c r="L80" s="602" t="s">
        <v>2598</v>
      </c>
      <c r="M80" s="602" t="s">
        <v>2599</v>
      </c>
      <c r="N80" s="602" t="s">
        <v>2600</v>
      </c>
      <c r="Z80" s="2717"/>
      <c r="AA80" s="2793"/>
      <c r="AG80" s="1369"/>
      <c r="AK80" s="2793"/>
    </row>
    <row r="81" spans="1:37" ht="38.25">
      <c r="A81" s="2875" t="s">
        <v>2970</v>
      </c>
      <c r="B81" s="2879" t="str">
        <f>估价对象房地状况!G15</f>
        <v>估价对象位于XX开发区，园区建设成熟度XX，产业集聚程度XX</v>
      </c>
      <c r="C81" s="2767"/>
      <c r="D81" s="1283">
        <f t="shared" ref="D81:D88" si="25">SUMIF($J$80:$N$80,C81,J81:N81)</f>
        <v>0</v>
      </c>
      <c r="E81" s="816">
        <f>ROUND(SUM(D81:D88),4)</f>
        <v>0</v>
      </c>
      <c r="F81" s="2498" t="str">
        <f>IF(E2="工业",SUMIF(L1:L12,G2,N1:N12),"——")</f>
        <v>——</v>
      </c>
      <c r="G81" s="1281"/>
      <c r="H81" s="1285" t="str">
        <f t="shared" ref="H81:H88" si="26">IFERROR(ROUNDDOWN($F$81*I81/2,4),"——")</f>
        <v>——</v>
      </c>
      <c r="I81" s="815">
        <v>0.26</v>
      </c>
      <c r="J81" s="1282">
        <f t="shared" ref="J81:J88" si="27">K81+$G81</f>
        <v>0</v>
      </c>
      <c r="K81" s="1282">
        <f t="shared" ref="K81:K88" si="28">$L81+$G81</f>
        <v>0</v>
      </c>
      <c r="L81" s="1282">
        <v>0</v>
      </c>
      <c r="M81" s="1282">
        <f t="shared" ref="M81:N88" si="29">L81-$G81</f>
        <v>0</v>
      </c>
      <c r="N81" s="1282">
        <f t="shared" si="29"/>
        <v>0</v>
      </c>
      <c r="Z81" s="2717"/>
      <c r="AA81" s="2793"/>
      <c r="AG81" s="1369"/>
      <c r="AK81" s="2793"/>
    </row>
    <row r="82" spans="1:37" ht="51">
      <c r="A82" s="2875" t="s">
        <v>2952</v>
      </c>
      <c r="B82" s="2879" t="str">
        <f>估价对象房地状况!G16</f>
        <v>估价对象周边道路状况、公共交通通达情况、停车便捷程度，综合评价交通便捷度较好</v>
      </c>
      <c r="C82" s="2767"/>
      <c r="D82" s="1283">
        <f t="shared" si="25"/>
        <v>0</v>
      </c>
      <c r="E82" s="821"/>
      <c r="F82" s="2498"/>
      <c r="G82" s="1281"/>
      <c r="H82" s="1285" t="str">
        <f t="shared" si="26"/>
        <v>——</v>
      </c>
      <c r="I82" s="815">
        <v>0.33</v>
      </c>
      <c r="J82" s="1282">
        <f t="shared" si="27"/>
        <v>0</v>
      </c>
      <c r="K82" s="1282">
        <f t="shared" si="28"/>
        <v>0</v>
      </c>
      <c r="L82" s="1282">
        <v>0</v>
      </c>
      <c r="M82" s="1282">
        <f t="shared" si="29"/>
        <v>0</v>
      </c>
      <c r="N82" s="1282">
        <f t="shared" si="29"/>
        <v>0</v>
      </c>
      <c r="Z82" s="2717"/>
      <c r="AA82" s="2793"/>
      <c r="AG82" s="1369"/>
      <c r="AK82" s="2793"/>
    </row>
    <row r="83" spans="1:37" ht="24">
      <c r="A83" s="2875" t="s">
        <v>2953</v>
      </c>
      <c r="B83" s="2879">
        <f>估价对象房地状况!G17</f>
        <v>0</v>
      </c>
      <c r="C83" s="2767"/>
      <c r="D83" s="1283">
        <f t="shared" si="25"/>
        <v>0</v>
      </c>
      <c r="E83" s="821"/>
      <c r="F83" s="2498"/>
      <c r="G83" s="1281"/>
      <c r="H83" s="1285" t="str">
        <f t="shared" si="26"/>
        <v>——</v>
      </c>
      <c r="I83" s="815">
        <v>0.05</v>
      </c>
      <c r="J83" s="1282">
        <f t="shared" si="27"/>
        <v>0</v>
      </c>
      <c r="K83" s="1282">
        <f t="shared" si="28"/>
        <v>0</v>
      </c>
      <c r="L83" s="1282">
        <v>0</v>
      </c>
      <c r="M83" s="1282">
        <f t="shared" si="29"/>
        <v>0</v>
      </c>
      <c r="N83" s="1282">
        <f t="shared" si="29"/>
        <v>0</v>
      </c>
      <c r="Z83" s="2717"/>
      <c r="AA83" s="2793"/>
      <c r="AG83" s="1369"/>
      <c r="AK83" s="2793"/>
    </row>
    <row r="84" spans="1:37" ht="14.25">
      <c r="A84" s="2875" t="s">
        <v>2967</v>
      </c>
      <c r="B84" s="2879">
        <f>估价对象房地状况!G22</f>
        <v>0</v>
      </c>
      <c r="C84" s="2767"/>
      <c r="D84" s="1283">
        <f t="shared" si="25"/>
        <v>0</v>
      </c>
      <c r="E84" s="821"/>
      <c r="F84" s="2498"/>
      <c r="G84" s="1281"/>
      <c r="H84" s="1285" t="str">
        <f t="shared" si="26"/>
        <v>——</v>
      </c>
      <c r="I84" s="815">
        <v>0.04</v>
      </c>
      <c r="J84" s="1282">
        <f t="shared" si="27"/>
        <v>0</v>
      </c>
      <c r="K84" s="1282">
        <f t="shared" si="28"/>
        <v>0</v>
      </c>
      <c r="L84" s="1282">
        <v>0</v>
      </c>
      <c r="M84" s="1282">
        <f t="shared" si="29"/>
        <v>0</v>
      </c>
      <c r="N84" s="1282">
        <f t="shared" si="29"/>
        <v>0</v>
      </c>
      <c r="Z84" s="2717"/>
      <c r="AA84" s="2793"/>
      <c r="AG84" s="1369"/>
      <c r="AK84" s="2793"/>
    </row>
    <row r="85" spans="1:37" ht="25.5">
      <c r="A85" s="2875" t="s">
        <v>2959</v>
      </c>
      <c r="B85" s="1722" t="str">
        <f>估价对象房地状况!G19</f>
        <v>估价对象所在区域公共配套设施齐备情况</v>
      </c>
      <c r="C85" s="2767"/>
      <c r="D85" s="1283">
        <f t="shared" si="25"/>
        <v>0</v>
      </c>
      <c r="E85" s="821"/>
      <c r="F85" s="2498"/>
      <c r="G85" s="1281"/>
      <c r="H85" s="1285" t="str">
        <f t="shared" si="26"/>
        <v>——</v>
      </c>
      <c r="I85" s="815">
        <v>0.06</v>
      </c>
      <c r="J85" s="1282">
        <f t="shared" si="27"/>
        <v>0</v>
      </c>
      <c r="K85" s="1282">
        <f t="shared" si="28"/>
        <v>0</v>
      </c>
      <c r="L85" s="1282">
        <v>0</v>
      </c>
      <c r="M85" s="1282">
        <f t="shared" si="29"/>
        <v>0</v>
      </c>
      <c r="N85" s="1282">
        <f t="shared" si="29"/>
        <v>0</v>
      </c>
      <c r="Z85" s="2717"/>
      <c r="AA85" s="2793"/>
      <c r="AG85" s="1369"/>
      <c r="AK85" s="2793"/>
    </row>
    <row r="86" spans="1:37" ht="25.5">
      <c r="A86" s="2875" t="s">
        <v>2960</v>
      </c>
      <c r="B86" s="1722" t="str">
        <f>估价对象房地状况!G20</f>
        <v>估价对象所在区域基础设施水平</v>
      </c>
      <c r="C86" s="2767"/>
      <c r="D86" s="1283">
        <f t="shared" si="25"/>
        <v>0</v>
      </c>
      <c r="E86" s="821"/>
      <c r="F86" s="2498"/>
      <c r="G86" s="1281"/>
      <c r="H86" s="1285" t="str">
        <f t="shared" si="26"/>
        <v>——</v>
      </c>
      <c r="I86" s="815">
        <v>0.15</v>
      </c>
      <c r="J86" s="1282">
        <f t="shared" si="27"/>
        <v>0</v>
      </c>
      <c r="K86" s="1282">
        <f t="shared" si="28"/>
        <v>0</v>
      </c>
      <c r="L86" s="1282">
        <v>0</v>
      </c>
      <c r="M86" s="1282">
        <f t="shared" si="29"/>
        <v>0</v>
      </c>
      <c r="N86" s="1282">
        <f t="shared" si="29"/>
        <v>0</v>
      </c>
      <c r="Z86" s="2717"/>
      <c r="AA86" s="2793"/>
      <c r="AG86" s="1369"/>
      <c r="AK86" s="2793"/>
    </row>
    <row r="87" spans="1:37" ht="24">
      <c r="A87" s="2875" t="s">
        <v>2957</v>
      </c>
      <c r="B87" s="2881" t="s">
        <v>2971</v>
      </c>
      <c r="C87" s="2767"/>
      <c r="D87" s="1283">
        <f t="shared" si="25"/>
        <v>0</v>
      </c>
      <c r="E87" s="821"/>
      <c r="F87" s="2498"/>
      <c r="G87" s="1281"/>
      <c r="H87" s="1285" t="str">
        <f t="shared" si="26"/>
        <v>——</v>
      </c>
      <c r="I87" s="815">
        <v>0.05</v>
      </c>
      <c r="J87" s="1282">
        <f t="shared" si="27"/>
        <v>0</v>
      </c>
      <c r="K87" s="1282">
        <f t="shared" si="28"/>
        <v>0</v>
      </c>
      <c r="L87" s="1282">
        <v>0</v>
      </c>
      <c r="M87" s="1282">
        <f t="shared" si="29"/>
        <v>0</v>
      </c>
      <c r="N87" s="1282">
        <f t="shared" si="29"/>
        <v>0</v>
      </c>
      <c r="Z87" s="2717"/>
      <c r="AA87" s="2793"/>
      <c r="AG87" s="1369"/>
      <c r="AK87" s="2793"/>
    </row>
    <row r="88" spans="1:37" ht="39" thickBot="1">
      <c r="A88" s="2883" t="s">
        <v>2972</v>
      </c>
      <c r="B88" s="2888" t="str">
        <f>估价对象房地状况!G18</f>
        <v>该园区内是否有污染型企业，绿化情况，卫生条件，整体环境状况判断</v>
      </c>
      <c r="C88" s="2767"/>
      <c r="D88" s="1283">
        <f t="shared" si="25"/>
        <v>0</v>
      </c>
      <c r="E88" s="822"/>
      <c r="F88" s="2498"/>
      <c r="G88" s="1281"/>
      <c r="H88" s="1285" t="str">
        <f t="shared" si="26"/>
        <v>——</v>
      </c>
      <c r="I88" s="819">
        <v>0.06</v>
      </c>
      <c r="J88" s="1282">
        <f t="shared" si="27"/>
        <v>0</v>
      </c>
      <c r="K88" s="1282">
        <f t="shared" si="28"/>
        <v>0</v>
      </c>
      <c r="L88" s="1282">
        <v>0</v>
      </c>
      <c r="M88" s="1282">
        <f t="shared" si="29"/>
        <v>0</v>
      </c>
      <c r="N88" s="1282">
        <f t="shared" si="29"/>
        <v>0</v>
      </c>
      <c r="Z88" s="2717"/>
      <c r="AA88" s="2793"/>
      <c r="AG88" s="1369"/>
      <c r="AK88" s="2793"/>
    </row>
    <row r="90" spans="1:37">
      <c r="A90" s="3281" t="s">
        <v>2973</v>
      </c>
      <c r="B90" s="3281"/>
      <c r="C90" s="3281"/>
      <c r="D90" s="3281"/>
      <c r="E90" s="3281"/>
      <c r="F90" s="3281"/>
      <c r="G90" s="3281"/>
      <c r="H90" s="3281"/>
      <c r="I90" s="3281"/>
      <c r="J90" s="3281"/>
      <c r="K90" s="2889"/>
      <c r="L90" s="2889"/>
      <c r="M90" s="2889"/>
      <c r="N90" s="2889"/>
    </row>
    <row r="91" spans="1:37">
      <c r="A91" s="3283" t="s">
        <v>2974</v>
      </c>
      <c r="B91" s="3283" t="s">
        <v>2975</v>
      </c>
      <c r="C91" s="2843" t="s">
        <v>2976</v>
      </c>
      <c r="D91" s="2844"/>
      <c r="E91" s="2844"/>
      <c r="F91" s="2844"/>
      <c r="G91" s="2844"/>
      <c r="H91" s="2844"/>
      <c r="I91" s="2844"/>
      <c r="J91" s="2890"/>
      <c r="K91" s="2891"/>
      <c r="L91" s="2891"/>
      <c r="M91" s="2891"/>
      <c r="N91" s="2891"/>
    </row>
    <row r="92" spans="1:37">
      <c r="A92" s="3283"/>
      <c r="B92" s="3283"/>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284"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5"/>
      <c r="B99" s="2892" t="s">
        <v>2856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4" t="s">
        <v>2978</v>
      </c>
      <c r="B101" s="2896" t="s">
        <v>2979</v>
      </c>
      <c r="C101" s="2897" t="e">
        <f>$G$3</f>
        <v>#DIV/0!</v>
      </c>
      <c r="D101" s="2897" t="e">
        <f t="shared" ref="D101:N101" si="31">$G$3</f>
        <v>#DIV/0!</v>
      </c>
      <c r="E101" s="2897" t="e">
        <f t="shared" si="31"/>
        <v>#DIV/0!</v>
      </c>
      <c r="F101" s="2897" t="e">
        <f t="shared" si="31"/>
        <v>#DIV/0!</v>
      </c>
      <c r="G101" s="2897" t="e">
        <f t="shared" si="31"/>
        <v>#DIV/0!</v>
      </c>
      <c r="H101" s="2897" t="e">
        <f t="shared" si="31"/>
        <v>#DIV/0!</v>
      </c>
      <c r="I101" s="2897" t="e">
        <f t="shared" si="31"/>
        <v>#DIV/0!</v>
      </c>
      <c r="J101" s="2897" t="e">
        <f t="shared" si="31"/>
        <v>#DIV/0!</v>
      </c>
      <c r="K101" s="2897" t="e">
        <f t="shared" si="31"/>
        <v>#DIV/0!</v>
      </c>
      <c r="L101" s="2897" t="e">
        <f t="shared" si="31"/>
        <v>#DIV/0!</v>
      </c>
      <c r="M101" s="2897" t="e">
        <f t="shared" si="31"/>
        <v>#DIV/0!</v>
      </c>
      <c r="N101" s="2897" t="e">
        <f t="shared" si="31"/>
        <v>#DIV/0!</v>
      </c>
    </row>
    <row r="102" spans="1:14">
      <c r="A102" s="3285"/>
      <c r="B102" s="2892">
        <v>1</v>
      </c>
      <c r="C102" s="2893" t="e">
        <f>1.9362/C101</f>
        <v>#DIV/0!</v>
      </c>
      <c r="D102" s="2893" t="e">
        <f>1.9362/D101</f>
        <v>#DIV/0!</v>
      </c>
      <c r="E102" s="2893" t="e">
        <f>1.8629/E101</f>
        <v>#DIV/0!</v>
      </c>
      <c r="F102" s="2893" t="e">
        <f>1.8629/F101</f>
        <v>#DIV/0!</v>
      </c>
      <c r="G102" s="2893" t="e">
        <f>1.8629/G101</f>
        <v>#DIV/0!</v>
      </c>
      <c r="H102" s="2893" t="e">
        <f>1.8629/H101</f>
        <v>#DIV/0!</v>
      </c>
      <c r="I102" s="2893" t="e">
        <f>1.8629/I101</f>
        <v>#DIV/0!</v>
      </c>
      <c r="J102" s="2893" t="e">
        <f>1.942/J101</f>
        <v>#DIV/0!</v>
      </c>
      <c r="K102" s="2893" t="e">
        <f>1.942/K101</f>
        <v>#DIV/0!</v>
      </c>
      <c r="L102" s="2893" t="e">
        <f>1.942/L101</f>
        <v>#DIV/0!</v>
      </c>
      <c r="M102" s="2893" t="e">
        <f>1.942/M101</f>
        <v>#DIV/0!</v>
      </c>
      <c r="N102" s="2893" t="e">
        <f>1.942/N101</f>
        <v>#DIV/0!</v>
      </c>
    </row>
    <row r="103" spans="1:14">
      <c r="A103" s="3285"/>
      <c r="B103" s="2892">
        <v>2</v>
      </c>
      <c r="C103" s="2893" t="e">
        <f>1.4198/C101</f>
        <v>#DIV/0!</v>
      </c>
      <c r="D103" s="2893" t="e">
        <f>1.4198/D101</f>
        <v>#DIV/0!</v>
      </c>
      <c r="E103" s="2893" t="e">
        <f>1.3372/E101</f>
        <v>#DIV/0!</v>
      </c>
      <c r="F103" s="2893" t="e">
        <f>1.3372/F101</f>
        <v>#DIV/0!</v>
      </c>
      <c r="G103" s="2893" t="e">
        <f>1.3372/G101</f>
        <v>#DIV/0!</v>
      </c>
      <c r="H103" s="2893" t="e">
        <f>1.3372/H101</f>
        <v>#DIV/0!</v>
      </c>
      <c r="I103" s="2893" t="e">
        <f>1.3372/I101</f>
        <v>#DIV/0!</v>
      </c>
      <c r="J103" s="2893" t="e">
        <f>1.2799/J101</f>
        <v>#DIV/0!</v>
      </c>
      <c r="K103" s="2893" t="e">
        <f>1.2799/K101</f>
        <v>#DIV/0!</v>
      </c>
      <c r="L103" s="2893" t="e">
        <f>1.2799/L101</f>
        <v>#DIV/0!</v>
      </c>
      <c r="M103" s="2893" t="e">
        <f>1.2799/M101</f>
        <v>#DIV/0!</v>
      </c>
      <c r="N103" s="2893" t="e">
        <f>1.2799/N101</f>
        <v>#DIV/0!</v>
      </c>
    </row>
    <row r="104" spans="1:14">
      <c r="A104" s="3285"/>
      <c r="B104" s="2892">
        <v>3</v>
      </c>
      <c r="C104" s="2893" t="e">
        <f>1.1594/C101</f>
        <v>#DIV/0!</v>
      </c>
      <c r="D104" s="2893" t="e">
        <f>1.1594/D101</f>
        <v>#DIV/0!</v>
      </c>
      <c r="E104" s="2893" t="e">
        <f>1.0788/E101</f>
        <v>#DIV/0!</v>
      </c>
      <c r="F104" s="2893" t="e">
        <f>1.0788/F101</f>
        <v>#DIV/0!</v>
      </c>
      <c r="G104" s="2893" t="e">
        <f>1.0788/G101</f>
        <v>#DIV/0!</v>
      </c>
      <c r="H104" s="2893" t="e">
        <f>1.0788/H101</f>
        <v>#DIV/0!</v>
      </c>
      <c r="I104" s="2893" t="e">
        <f>1.0788/I101</f>
        <v>#DIV/0!</v>
      </c>
      <c r="J104" s="2893" t="e">
        <f>1.0072/J101</f>
        <v>#DIV/0!</v>
      </c>
      <c r="K104" s="2893" t="e">
        <f>1.0072/K101</f>
        <v>#DIV/0!</v>
      </c>
      <c r="L104" s="2893" t="e">
        <f>1.0072/L101</f>
        <v>#DIV/0!</v>
      </c>
      <c r="M104" s="2893" t="e">
        <f>1.0072/M101</f>
        <v>#DIV/0!</v>
      </c>
      <c r="N104" s="2893" t="e">
        <f>1.0072/N101</f>
        <v>#DIV/0!</v>
      </c>
    </row>
    <row r="105" spans="1:14">
      <c r="A105" s="3285"/>
      <c r="B105" s="2892">
        <v>4</v>
      </c>
      <c r="C105" s="2893" t="e">
        <f>0.9622/C101</f>
        <v>#DIV/0!</v>
      </c>
      <c r="D105" s="2893" t="e">
        <f>0.9622/D101</f>
        <v>#DIV/0!</v>
      </c>
      <c r="E105" s="2893" t="e">
        <f>0.8656/E101</f>
        <v>#DIV/0!</v>
      </c>
      <c r="F105" s="2893" t="e">
        <f>0.8656/F101</f>
        <v>#DIV/0!</v>
      </c>
      <c r="G105" s="2893" t="e">
        <f>0.8656/G101</f>
        <v>#DIV/0!</v>
      </c>
      <c r="H105" s="2893" t="e">
        <f>0.8656/H101</f>
        <v>#DIV/0!</v>
      </c>
      <c r="I105" s="2893" t="e">
        <f>0.8656/I101</f>
        <v>#DIV/0!</v>
      </c>
      <c r="J105" s="2893" t="e">
        <f>0.7525/J101</f>
        <v>#DIV/0!</v>
      </c>
      <c r="K105" s="2893" t="e">
        <f>0.7525/K101</f>
        <v>#DIV/0!</v>
      </c>
      <c r="L105" s="2893" t="e">
        <f>0.7525/L101</f>
        <v>#DIV/0!</v>
      </c>
      <c r="M105" s="2893" t="e">
        <f>0.7525/M101</f>
        <v>#DIV/0!</v>
      </c>
      <c r="N105" s="2893" t="e">
        <f>0.7525/N101</f>
        <v>#DIV/0!</v>
      </c>
    </row>
    <row r="106" spans="1:14">
      <c r="A106" s="3285"/>
      <c r="B106" s="2892">
        <v>5</v>
      </c>
      <c r="C106" s="2893" t="e">
        <f>0.8417/C101</f>
        <v>#DIV/0!</v>
      </c>
      <c r="D106" s="2893" t="e">
        <f>0.8417/D101</f>
        <v>#DIV/0!</v>
      </c>
      <c r="E106" s="2893" t="e">
        <f>0.7371/E101</f>
        <v>#DIV/0!</v>
      </c>
      <c r="F106" s="2893" t="e">
        <f>0.7371/F101</f>
        <v>#DIV/0!</v>
      </c>
      <c r="G106" s="2893" t="e">
        <f>0.7371/G101</f>
        <v>#DIV/0!</v>
      </c>
      <c r="H106" s="2893" t="e">
        <f>0.7371/H101</f>
        <v>#DIV/0!</v>
      </c>
      <c r="I106" s="2893" t="e">
        <f>0.7371/I101</f>
        <v>#DIV/0!</v>
      </c>
      <c r="J106" s="2893" t="e">
        <f>0.5659/J101</f>
        <v>#DIV/0!</v>
      </c>
      <c r="K106" s="2893" t="e">
        <f>0.5659/K101</f>
        <v>#DIV/0!</v>
      </c>
      <c r="L106" s="2893" t="e">
        <f>0.5659/L101</f>
        <v>#DIV/0!</v>
      </c>
      <c r="M106" s="2893" t="e">
        <f>0.5659/M101</f>
        <v>#DIV/0!</v>
      </c>
      <c r="N106" s="2893" t="e">
        <f>0.5659/N101</f>
        <v>#DIV/0!</v>
      </c>
    </row>
    <row r="107" spans="1:14">
      <c r="A107" s="3285"/>
      <c r="B107" s="2892">
        <v>6</v>
      </c>
      <c r="C107" s="2893" t="e">
        <f>0.7608/C101</f>
        <v>#DIV/0!</v>
      </c>
      <c r="D107" s="2893" t="e">
        <f>0.7608/D101</f>
        <v>#DIV/0!</v>
      </c>
      <c r="E107" s="2893" t="e">
        <f>0.6482/E101</f>
        <v>#DIV/0!</v>
      </c>
      <c r="F107" s="2893" t="e">
        <f>0.6482/F101</f>
        <v>#DIV/0!</v>
      </c>
      <c r="G107" s="2893" t="e">
        <f>0.6482/G101</f>
        <v>#DIV/0!</v>
      </c>
      <c r="H107" s="2893" t="e">
        <f>0.6482/H101</f>
        <v>#DIV/0!</v>
      </c>
      <c r="I107" s="2893" t="e">
        <f>0.6482/I101</f>
        <v>#DIV/0!</v>
      </c>
      <c r="J107" s="2893" t="e">
        <f>0.4525/J101</f>
        <v>#DIV/0!</v>
      </c>
      <c r="K107" s="2893" t="e">
        <f>0.4525/K101</f>
        <v>#DIV/0!</v>
      </c>
      <c r="L107" s="2893" t="e">
        <f>0.4525/L101</f>
        <v>#DIV/0!</v>
      </c>
      <c r="M107" s="2893" t="e">
        <f>0.4525/M101</f>
        <v>#DIV/0!</v>
      </c>
      <c r="N107" s="2893" t="e">
        <f>0.4525/N101</f>
        <v>#DIV/0!</v>
      </c>
    </row>
    <row r="108" spans="1:14">
      <c r="A108" s="3285"/>
      <c r="B108" s="3109" t="s">
        <v>2980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6"/>
      <c r="B109" s="3110"/>
      <c r="C109" s="2895" t="e">
        <f>(-0.163*(C108^2)-0.59*C108+7617)*(10^(-4))/C101</f>
        <v>#DIV/0!</v>
      </c>
      <c r="D109" s="2895" t="e">
        <f>(-0.163*(D108^2)-0.59*D108+7617)*(10^(-4))/D101</f>
        <v>#DIV/0!</v>
      </c>
      <c r="E109" s="2895" t="e">
        <f>(-0.161*(E108^2)-7.509*E108+6533)*(10^(-4))/E101</f>
        <v>#DIV/0!</v>
      </c>
      <c r="F109" s="2895" t="e">
        <f>(-0.161*(F108^2)-7.509*F108+6533)*(10^(-4))/F101</f>
        <v>#DIV/0!</v>
      </c>
      <c r="G109" s="2895" t="e">
        <f>(-0.161*(G108^2)-7.509*G108+6533)*(10^(-4))/G101</f>
        <v>#DIV/0!</v>
      </c>
      <c r="H109" s="2895" t="e">
        <f>(-0.161*(H108^2)-7.509*H108+6533)*(10^(-4))/H101</f>
        <v>#DIV/0!</v>
      </c>
      <c r="I109" s="2895" t="e">
        <f>(-0.161*(I108^2)-7.509*I108+6533)*(10^(-4))/I101</f>
        <v>#DIV/0!</v>
      </c>
      <c r="J109" s="2895" t="e">
        <f>(-0.214*(J108^2)-21.991*J108+4665)*(10^(-4))/J101</f>
        <v>#DIV/0!</v>
      </c>
      <c r="K109" s="2895" t="e">
        <f>(-0.214*(K108^2)-21.991*K108+4665)*(10^(-4))/K101</f>
        <v>#DIV/0!</v>
      </c>
      <c r="L109" s="2895" t="e">
        <f>(-0.214*(L108^2)-21.991*L108+4665)*(10^(-4))/L101</f>
        <v>#DIV/0!</v>
      </c>
      <c r="M109" s="2895" t="e">
        <f>(-0.214*(M108^2)-21.991*M108+4665)*(10^(-4))/M101</f>
        <v>#DIV/0!</v>
      </c>
      <c r="N109" s="2895" t="e">
        <f>(-0.214*(N108^2)-21.991*N108+4665)*(10^(-4))/N101</f>
        <v>#DIV/0!</v>
      </c>
    </row>
    <row r="110" spans="1:14">
      <c r="A110" s="3282" t="s">
        <v>2981</v>
      </c>
      <c r="B110" s="3282"/>
      <c r="C110" s="3282"/>
      <c r="D110" s="3282"/>
      <c r="E110" s="3282"/>
      <c r="F110" s="3282"/>
      <c r="G110" s="3282"/>
      <c r="H110" s="3282"/>
      <c r="I110" s="3282"/>
      <c r="J110" s="3282"/>
      <c r="K110" s="2898"/>
      <c r="L110" s="2898"/>
      <c r="M110" s="2898"/>
      <c r="N110" s="2898"/>
    </row>
    <row r="112" spans="1:14" ht="13.5" thickBot="1"/>
    <row r="113" spans="1:13" ht="25.5" thickBot="1">
      <c r="A113" s="898" t="s">
        <v>2982</v>
      </c>
      <c r="B113" s="1284" t="e">
        <f>G3</f>
        <v>#DIV/0!</v>
      </c>
      <c r="C113" s="899" t="s">
        <v>2983</v>
      </c>
      <c r="D113" s="900" t="e">
        <f>SUMPRODUCT((A115:A118=F113)*(B114:M114=H113)*B115:M118)</f>
        <v>#DIV/0!</v>
      </c>
      <c r="E113" s="2721" t="s">
        <v>2813</v>
      </c>
      <c r="F113" s="2900">
        <f>E2</f>
        <v>0</v>
      </c>
      <c r="G113" s="2721" t="s">
        <v>2814</v>
      </c>
      <c r="H113" s="2900">
        <f>G2</f>
        <v>0</v>
      </c>
      <c r="I113" s="2721"/>
      <c r="J113" s="2901"/>
      <c r="K113" s="2901"/>
      <c r="L113" s="2901"/>
      <c r="M113" s="2901"/>
    </row>
    <row r="114" spans="1:13">
      <c r="A114" s="903"/>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4" t="s">
        <v>2878</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2879</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2880</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09" t="s">
        <v>2881</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99" t="s">
        <v>183</v>
      </c>
      <c r="B18" s="877" t="s">
        <v>560</v>
      </c>
      <c r="C18" s="878" t="s">
        <v>561</v>
      </c>
      <c r="D18" s="879"/>
      <c r="E18" s="877">
        <v>1</v>
      </c>
      <c r="F18" s="880" t="s">
        <v>562</v>
      </c>
      <c r="G18" s="881"/>
      <c r="H18" s="873"/>
      <c r="I18" s="873"/>
    </row>
    <row r="19" spans="1:9" s="882" customFormat="1" ht="19.5" customHeight="1">
      <c r="A19" s="3299"/>
      <c r="B19" s="3299" t="s">
        <v>563</v>
      </c>
      <c r="C19" s="878" t="s">
        <v>564</v>
      </c>
      <c r="D19" s="879"/>
      <c r="E19" s="877">
        <v>0.9</v>
      </c>
      <c r="F19" s="880" t="s">
        <v>565</v>
      </c>
      <c r="G19" s="881"/>
      <c r="H19" s="873"/>
      <c r="I19" s="873"/>
    </row>
    <row r="20" spans="1:9" s="882" customFormat="1" ht="19.5" customHeight="1">
      <c r="A20" s="3299"/>
      <c r="B20" s="3299"/>
      <c r="C20" s="878" t="s">
        <v>566</v>
      </c>
      <c r="D20" s="879"/>
      <c r="E20" s="877">
        <v>1.1000000000000001</v>
      </c>
      <c r="F20" s="880" t="s">
        <v>567</v>
      </c>
      <c r="G20" s="881"/>
      <c r="H20" s="873"/>
      <c r="I20" s="873"/>
    </row>
    <row r="21" spans="1:9" s="882" customFormat="1" ht="19.5" customHeight="1">
      <c r="A21" s="3299"/>
      <c r="B21" s="3299"/>
      <c r="C21" s="878" t="s">
        <v>568</v>
      </c>
      <c r="D21" s="879"/>
      <c r="E21" s="877">
        <v>0.8</v>
      </c>
      <c r="F21" s="880" t="s">
        <v>569</v>
      </c>
      <c r="G21" s="881"/>
      <c r="H21" s="873"/>
      <c r="I21" s="873"/>
    </row>
    <row r="22" spans="1:9" s="882" customFormat="1" ht="19.5" customHeight="1">
      <c r="A22" s="3299"/>
      <c r="B22" s="3299"/>
      <c r="C22" s="878" t="s">
        <v>570</v>
      </c>
      <c r="D22" s="879"/>
      <c r="E22" s="877">
        <v>0.5</v>
      </c>
      <c r="F22" s="880"/>
      <c r="G22" s="881"/>
      <c r="H22" s="873"/>
      <c r="I22" s="873"/>
    </row>
    <row r="23" spans="1:9" s="882" customFormat="1" ht="19.5" customHeight="1">
      <c r="A23" s="3299" t="s">
        <v>184</v>
      </c>
      <c r="B23" s="877" t="s">
        <v>560</v>
      </c>
      <c r="C23" s="878" t="s">
        <v>571</v>
      </c>
      <c r="D23" s="879"/>
      <c r="E23" s="877">
        <v>1</v>
      </c>
      <c r="F23" s="880" t="s">
        <v>572</v>
      </c>
      <c r="G23" s="881"/>
      <c r="H23" s="873"/>
      <c r="I23" s="873"/>
    </row>
    <row r="24" spans="1:9" s="882" customFormat="1" ht="19.5" customHeight="1">
      <c r="A24" s="3299"/>
      <c r="B24" s="3299" t="s">
        <v>563</v>
      </c>
      <c r="C24" s="878" t="s">
        <v>573</v>
      </c>
      <c r="D24" s="879"/>
      <c r="E24" s="877">
        <v>0.5</v>
      </c>
      <c r="F24" s="880"/>
      <c r="G24" s="881"/>
      <c r="H24" s="873"/>
      <c r="I24" s="873"/>
    </row>
    <row r="25" spans="1:9" s="882" customFormat="1" ht="19.5" customHeight="1">
      <c r="A25" s="3299"/>
      <c r="B25" s="3299"/>
      <c r="C25" s="878" t="s">
        <v>574</v>
      </c>
      <c r="D25" s="879"/>
      <c r="E25" s="877">
        <v>1.1000000000000001</v>
      </c>
      <c r="F25" s="880"/>
      <c r="G25" s="881"/>
      <c r="H25" s="873"/>
      <c r="I25" s="873"/>
    </row>
    <row r="26" spans="1:9" s="882" customFormat="1" ht="19.5" customHeight="1">
      <c r="A26" s="3299"/>
      <c r="B26" s="3299"/>
      <c r="C26" s="878" t="s">
        <v>575</v>
      </c>
      <c r="D26" s="879"/>
      <c r="E26" s="877">
        <v>1.1000000000000001</v>
      </c>
      <c r="F26" s="880"/>
      <c r="G26" s="881"/>
      <c r="H26" s="873"/>
      <c r="I26" s="873"/>
    </row>
    <row r="27" spans="1:9" s="882" customFormat="1" ht="19.5" customHeight="1">
      <c r="A27" s="3299"/>
      <c r="B27" s="3299"/>
      <c r="C27" s="878" t="s">
        <v>576</v>
      </c>
      <c r="D27" s="879"/>
      <c r="E27" s="877">
        <v>0.9</v>
      </c>
      <c r="F27" s="880" t="s">
        <v>577</v>
      </c>
      <c r="G27" s="881"/>
      <c r="H27" s="873"/>
      <c r="I27" s="873"/>
    </row>
    <row r="28" spans="1:9" s="882" customFormat="1" ht="19.5" customHeight="1">
      <c r="A28" s="3299"/>
      <c r="B28" s="3299"/>
      <c r="C28" s="878" t="s">
        <v>578</v>
      </c>
      <c r="D28" s="879"/>
      <c r="E28" s="877">
        <v>0.9</v>
      </c>
      <c r="F28" s="880" t="s">
        <v>579</v>
      </c>
      <c r="G28" s="881"/>
      <c r="H28" s="873"/>
      <c r="I28" s="873"/>
    </row>
    <row r="29" spans="1:9" s="882" customFormat="1" ht="19.5" customHeight="1">
      <c r="A29" s="3299"/>
      <c r="B29" s="3299"/>
      <c r="C29" s="878" t="s">
        <v>580</v>
      </c>
      <c r="D29" s="879"/>
      <c r="E29" s="877">
        <v>0.9</v>
      </c>
      <c r="F29" s="880" t="s">
        <v>581</v>
      </c>
      <c r="G29" s="881"/>
      <c r="H29" s="873"/>
      <c r="I29" s="873"/>
    </row>
    <row r="30" spans="1:9" s="882" customFormat="1" ht="19.5" customHeight="1">
      <c r="A30" s="3299"/>
      <c r="B30" s="3299"/>
      <c r="C30" s="878" t="s">
        <v>582</v>
      </c>
      <c r="D30" s="879"/>
      <c r="E30" s="877">
        <v>0.9</v>
      </c>
      <c r="F30" s="880" t="s">
        <v>583</v>
      </c>
      <c r="G30" s="881"/>
      <c r="H30" s="873"/>
      <c r="I30" s="873"/>
    </row>
    <row r="31" spans="1:9" s="882" customFormat="1" ht="19.5" customHeight="1">
      <c r="A31" s="3299"/>
      <c r="B31" s="3299"/>
      <c r="C31" s="878" t="s">
        <v>584</v>
      </c>
      <c r="D31" s="879"/>
      <c r="E31" s="877">
        <v>0.8</v>
      </c>
      <c r="F31" s="880" t="s">
        <v>585</v>
      </c>
      <c r="G31" s="881"/>
      <c r="H31" s="873"/>
      <c r="I31" s="873"/>
    </row>
    <row r="32" spans="1:9" s="882" customFormat="1" ht="19.5" customHeight="1">
      <c r="A32" s="3299"/>
      <c r="B32" s="3299"/>
      <c r="C32" s="878" t="s">
        <v>586</v>
      </c>
      <c r="D32" s="879"/>
      <c r="E32" s="877">
        <v>0.8</v>
      </c>
      <c r="F32" s="880" t="s">
        <v>587</v>
      </c>
      <c r="G32" s="881"/>
      <c r="H32" s="873"/>
      <c r="I32" s="873"/>
    </row>
    <row r="33" spans="1:9" s="882" customFormat="1" ht="19.5" customHeight="1">
      <c r="A33" s="3299" t="s">
        <v>185</v>
      </c>
      <c r="B33" s="877" t="s">
        <v>560</v>
      </c>
      <c r="C33" s="878" t="s">
        <v>588</v>
      </c>
      <c r="D33" s="879"/>
      <c r="E33" s="877">
        <v>1</v>
      </c>
      <c r="F33" s="880" t="s">
        <v>589</v>
      </c>
      <c r="G33" s="881"/>
      <c r="H33" s="873"/>
      <c r="I33" s="873"/>
    </row>
    <row r="34" spans="1:9" s="882" customFormat="1" ht="19.5" customHeight="1">
      <c r="A34" s="3299"/>
      <c r="B34" s="877" t="s">
        <v>563</v>
      </c>
      <c r="C34" s="878" t="s">
        <v>590</v>
      </c>
      <c r="D34" s="879"/>
      <c r="E34" s="877">
        <v>1.5</v>
      </c>
      <c r="F34" s="880" t="s">
        <v>591</v>
      </c>
      <c r="G34" s="881"/>
      <c r="H34" s="873"/>
      <c r="I34" s="873"/>
    </row>
    <row r="35" spans="1:9" s="882" customFormat="1" ht="19.5" customHeight="1">
      <c r="A35" s="3299" t="s">
        <v>186</v>
      </c>
      <c r="B35" s="877" t="s">
        <v>560</v>
      </c>
      <c r="C35" s="878" t="s">
        <v>592</v>
      </c>
      <c r="D35" s="879"/>
      <c r="E35" s="877">
        <v>1</v>
      </c>
      <c r="F35" s="880" t="s">
        <v>593</v>
      </c>
      <c r="G35" s="881"/>
      <c r="H35" s="873"/>
      <c r="I35" s="873"/>
    </row>
    <row r="36" spans="1:9" s="882" customFormat="1" ht="19.5" customHeight="1">
      <c r="A36" s="3299"/>
      <c r="B36" s="3299" t="s">
        <v>563</v>
      </c>
      <c r="C36" s="878" t="s">
        <v>594</v>
      </c>
      <c r="D36" s="879"/>
      <c r="E36" s="877">
        <v>1</v>
      </c>
      <c r="F36" s="880" t="s">
        <v>595</v>
      </c>
      <c r="G36" s="881"/>
      <c r="H36" s="873"/>
      <c r="I36" s="873"/>
    </row>
    <row r="37" spans="1:9" s="882" customFormat="1" ht="19.5" customHeight="1">
      <c r="A37" s="3299"/>
      <c r="B37" s="3299"/>
      <c r="C37" s="878" t="s">
        <v>596</v>
      </c>
      <c r="D37" s="879"/>
      <c r="E37" s="877">
        <v>1.5</v>
      </c>
      <c r="F37" s="880" t="s">
        <v>597</v>
      </c>
      <c r="G37" s="881"/>
      <c r="H37" s="873"/>
      <c r="I37" s="873"/>
    </row>
    <row r="38" spans="1:9" s="882" customFormat="1" ht="19.5" customHeight="1">
      <c r="A38" s="3299"/>
      <c r="B38" s="3299"/>
      <c r="C38" s="878" t="s">
        <v>598</v>
      </c>
      <c r="D38" s="879"/>
      <c r="E38" s="877">
        <v>1</v>
      </c>
      <c r="F38" s="880" t="s">
        <v>599</v>
      </c>
      <c r="G38" s="881"/>
      <c r="H38" s="873"/>
      <c r="I38" s="873"/>
    </row>
    <row r="39" spans="1:9" s="882" customFormat="1" ht="19.5" customHeight="1">
      <c r="A39" s="3299"/>
      <c r="B39" s="329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99" t="s">
        <v>614</v>
      </c>
      <c r="C61" s="813" t="s">
        <v>615</v>
      </c>
      <c r="D61" s="813" t="s">
        <v>616</v>
      </c>
      <c r="E61" s="890">
        <v>0.5</v>
      </c>
      <c r="F61" s="877">
        <v>80</v>
      </c>
    </row>
    <row r="62" spans="1:8" s="873" customFormat="1" ht="24">
      <c r="A62" s="877">
        <v>2</v>
      </c>
      <c r="B62" s="3299"/>
      <c r="C62" s="813" t="s">
        <v>617</v>
      </c>
      <c r="D62" s="813" t="s">
        <v>618</v>
      </c>
      <c r="E62" s="890">
        <v>0.5</v>
      </c>
      <c r="F62" s="877">
        <v>80</v>
      </c>
    </row>
    <row r="63" spans="1:8" s="873" customFormat="1" ht="36">
      <c r="A63" s="877">
        <v>3</v>
      </c>
      <c r="B63" s="3299"/>
      <c r="C63" s="813" t="s">
        <v>619</v>
      </c>
      <c r="D63" s="813" t="s">
        <v>620</v>
      </c>
      <c r="E63" s="890">
        <v>0.5</v>
      </c>
      <c r="F63" s="877">
        <v>80</v>
      </c>
    </row>
    <row r="64" spans="1:8" s="873" customFormat="1" ht="36">
      <c r="A64" s="877">
        <v>4</v>
      </c>
      <c r="B64" s="3299"/>
      <c r="C64" s="813" t="s">
        <v>621</v>
      </c>
      <c r="D64" s="813" t="s">
        <v>622</v>
      </c>
      <c r="E64" s="890">
        <v>0.4</v>
      </c>
      <c r="F64" s="877">
        <v>60</v>
      </c>
    </row>
    <row r="65" spans="1:6" s="873" customFormat="1" ht="36">
      <c r="A65" s="877">
        <v>5</v>
      </c>
      <c r="B65" s="3299"/>
      <c r="C65" s="813" t="s">
        <v>623</v>
      </c>
      <c r="D65" s="813" t="s">
        <v>624</v>
      </c>
      <c r="E65" s="890">
        <v>0.2</v>
      </c>
      <c r="F65" s="877">
        <v>30</v>
      </c>
    </row>
    <row r="66" spans="1:6" s="873" customFormat="1" ht="36">
      <c r="A66" s="877">
        <v>6</v>
      </c>
      <c r="B66" s="3299"/>
      <c r="C66" s="813" t="s">
        <v>625</v>
      </c>
      <c r="D66" s="813" t="s">
        <v>626</v>
      </c>
      <c r="E66" s="890">
        <v>0.3</v>
      </c>
      <c r="F66" s="877">
        <v>50</v>
      </c>
    </row>
    <row r="67" spans="1:6" s="873" customFormat="1" ht="36">
      <c r="A67" s="877">
        <v>7</v>
      </c>
      <c r="B67" s="3299"/>
      <c r="C67" s="813" t="s">
        <v>627</v>
      </c>
      <c r="D67" s="813" t="s">
        <v>628</v>
      </c>
      <c r="E67" s="890">
        <v>0.2</v>
      </c>
      <c r="F67" s="877">
        <v>30</v>
      </c>
    </row>
    <row r="68" spans="1:6" s="873" customFormat="1" ht="36">
      <c r="A68" s="877">
        <v>8</v>
      </c>
      <c r="B68" s="3299"/>
      <c r="C68" s="813" t="s">
        <v>629</v>
      </c>
      <c r="D68" s="813" t="s">
        <v>630</v>
      </c>
      <c r="E68" s="890">
        <v>0.2</v>
      </c>
      <c r="F68" s="877">
        <v>30</v>
      </c>
    </row>
    <row r="69" spans="1:6" s="873" customFormat="1" ht="36">
      <c r="A69" s="877">
        <v>9</v>
      </c>
      <c r="B69" s="3299"/>
      <c r="C69" s="813" t="s">
        <v>631</v>
      </c>
      <c r="D69" s="813" t="s">
        <v>632</v>
      </c>
      <c r="E69" s="890">
        <v>0.2</v>
      </c>
      <c r="F69" s="877">
        <v>30</v>
      </c>
    </row>
    <row r="70" spans="1:6" s="873" customFormat="1" ht="48">
      <c r="A70" s="877">
        <v>10</v>
      </c>
      <c r="B70" s="3299"/>
      <c r="C70" s="813" t="s">
        <v>633</v>
      </c>
      <c r="D70" s="813" t="s">
        <v>634</v>
      </c>
      <c r="E70" s="890">
        <v>0.2</v>
      </c>
      <c r="F70" s="877">
        <v>30</v>
      </c>
    </row>
    <row r="71" spans="1:6" s="873" customFormat="1" ht="48">
      <c r="A71" s="877">
        <v>11</v>
      </c>
      <c r="B71" s="3299"/>
      <c r="C71" s="813" t="s">
        <v>635</v>
      </c>
      <c r="D71" s="813" t="s">
        <v>636</v>
      </c>
      <c r="E71" s="890">
        <v>0.2</v>
      </c>
      <c r="F71" s="877">
        <v>30</v>
      </c>
    </row>
    <row r="72" spans="1:6" s="873" customFormat="1" ht="36">
      <c r="A72" s="877">
        <v>12</v>
      </c>
      <c r="B72" s="3299"/>
      <c r="C72" s="813" t="s">
        <v>637</v>
      </c>
      <c r="D72" s="813" t="s">
        <v>638</v>
      </c>
      <c r="E72" s="890">
        <v>0.5</v>
      </c>
      <c r="F72" s="877">
        <v>80</v>
      </c>
    </row>
    <row r="73" spans="1:6" s="873" customFormat="1" ht="24">
      <c r="A73" s="877">
        <v>13</v>
      </c>
      <c r="B73" s="3299"/>
      <c r="C73" s="813" t="s">
        <v>639</v>
      </c>
      <c r="D73" s="813" t="s">
        <v>640</v>
      </c>
      <c r="E73" s="890">
        <v>0.4</v>
      </c>
      <c r="F73" s="877">
        <v>60</v>
      </c>
    </row>
    <row r="74" spans="1:6" s="873" customFormat="1" ht="24">
      <c r="A74" s="877">
        <v>14</v>
      </c>
      <c r="B74" s="3299"/>
      <c r="C74" s="813" t="s">
        <v>641</v>
      </c>
      <c r="D74" s="813" t="s">
        <v>642</v>
      </c>
      <c r="E74" s="890">
        <v>0.2</v>
      </c>
      <c r="F74" s="877">
        <v>30</v>
      </c>
    </row>
    <row r="75" spans="1:6" s="873" customFormat="1" ht="24">
      <c r="A75" s="877">
        <v>15</v>
      </c>
      <c r="B75" s="3299"/>
      <c r="C75" s="813" t="s">
        <v>643</v>
      </c>
      <c r="D75" s="813" t="s">
        <v>644</v>
      </c>
      <c r="E75" s="890">
        <v>0.2</v>
      </c>
      <c r="F75" s="877">
        <v>30</v>
      </c>
    </row>
    <row r="76" spans="1:6" s="873" customFormat="1" ht="24">
      <c r="A76" s="877">
        <v>16</v>
      </c>
      <c r="B76" s="3299" t="s">
        <v>645</v>
      </c>
      <c r="C76" s="813" t="s">
        <v>646</v>
      </c>
      <c r="D76" s="813" t="s">
        <v>647</v>
      </c>
      <c r="E76" s="890">
        <v>0.5</v>
      </c>
      <c r="F76" s="877">
        <v>80</v>
      </c>
    </row>
    <row r="77" spans="1:6" s="873" customFormat="1" ht="24">
      <c r="A77" s="877">
        <v>17</v>
      </c>
      <c r="B77" s="3299"/>
      <c r="C77" s="813" t="s">
        <v>648</v>
      </c>
      <c r="D77" s="813" t="s">
        <v>649</v>
      </c>
      <c r="E77" s="890">
        <v>0.5</v>
      </c>
      <c r="F77" s="877">
        <v>80</v>
      </c>
    </row>
    <row r="78" spans="1:6" s="873" customFormat="1" ht="24">
      <c r="A78" s="877">
        <v>18</v>
      </c>
      <c r="B78" s="3299"/>
      <c r="C78" s="813" t="s">
        <v>650</v>
      </c>
      <c r="D78" s="813" t="s">
        <v>651</v>
      </c>
      <c r="E78" s="890">
        <v>0.2</v>
      </c>
      <c r="F78" s="877">
        <v>30</v>
      </c>
    </row>
    <row r="79" spans="1:6" s="873" customFormat="1" ht="24">
      <c r="A79" s="877">
        <v>19</v>
      </c>
      <c r="B79" s="3299"/>
      <c r="C79" s="813" t="s">
        <v>652</v>
      </c>
      <c r="D79" s="813" t="s">
        <v>653</v>
      </c>
      <c r="E79" s="890">
        <v>0.5</v>
      </c>
      <c r="F79" s="877">
        <v>80</v>
      </c>
    </row>
    <row r="80" spans="1:6" s="873" customFormat="1" ht="36">
      <c r="A80" s="877">
        <v>20</v>
      </c>
      <c r="B80" s="3299"/>
      <c r="C80" s="813" t="s">
        <v>654</v>
      </c>
      <c r="D80" s="813" t="s">
        <v>655</v>
      </c>
      <c r="E80" s="890">
        <v>0.2</v>
      </c>
      <c r="F80" s="877">
        <v>30</v>
      </c>
    </row>
    <row r="81" spans="1:6" s="873" customFormat="1" ht="36">
      <c r="A81" s="877">
        <v>21</v>
      </c>
      <c r="B81" s="3299"/>
      <c r="C81" s="813" t="s">
        <v>656</v>
      </c>
      <c r="D81" s="813" t="s">
        <v>657</v>
      </c>
      <c r="E81" s="890">
        <v>0.2</v>
      </c>
      <c r="F81" s="877">
        <v>30</v>
      </c>
    </row>
    <row r="82" spans="1:6" s="873" customFormat="1" ht="48">
      <c r="A82" s="877">
        <v>22</v>
      </c>
      <c r="B82" s="3299"/>
      <c r="C82" s="813" t="s">
        <v>658</v>
      </c>
      <c r="D82" s="813" t="s">
        <v>659</v>
      </c>
      <c r="E82" s="890">
        <v>0.2</v>
      </c>
      <c r="F82" s="877">
        <v>30</v>
      </c>
    </row>
    <row r="83" spans="1:6" s="873" customFormat="1" ht="48">
      <c r="A83" s="877">
        <v>23</v>
      </c>
      <c r="B83" s="3299"/>
      <c r="C83" s="813" t="s">
        <v>660</v>
      </c>
      <c r="D83" s="813" t="s">
        <v>661</v>
      </c>
      <c r="E83" s="890">
        <v>0.2</v>
      </c>
      <c r="F83" s="877">
        <v>30</v>
      </c>
    </row>
    <row r="84" spans="1:6" s="873" customFormat="1" ht="36">
      <c r="A84" s="877">
        <v>24</v>
      </c>
      <c r="B84" s="3299"/>
      <c r="C84" s="813" t="s">
        <v>662</v>
      </c>
      <c r="D84" s="813" t="s">
        <v>663</v>
      </c>
      <c r="E84" s="890">
        <v>0.2</v>
      </c>
      <c r="F84" s="877">
        <v>30</v>
      </c>
    </row>
    <row r="85" spans="1:6" s="873" customFormat="1" ht="36">
      <c r="A85" s="877">
        <v>25</v>
      </c>
      <c r="B85" s="3299"/>
      <c r="C85" s="813" t="s">
        <v>664</v>
      </c>
      <c r="D85" s="813" t="s">
        <v>665</v>
      </c>
      <c r="E85" s="890">
        <v>0.5</v>
      </c>
      <c r="F85" s="877">
        <v>80</v>
      </c>
    </row>
    <row r="86" spans="1:6" s="873" customFormat="1" ht="36">
      <c r="A86" s="877">
        <v>26</v>
      </c>
      <c r="B86" s="3299"/>
      <c r="C86" s="813" t="s">
        <v>666</v>
      </c>
      <c r="D86" s="813" t="s">
        <v>667</v>
      </c>
      <c r="E86" s="890">
        <v>0.2</v>
      </c>
      <c r="F86" s="877">
        <v>30</v>
      </c>
    </row>
    <row r="87" spans="1:6" s="873" customFormat="1" ht="36">
      <c r="A87" s="877">
        <v>27</v>
      </c>
      <c r="B87" s="3299"/>
      <c r="C87" s="813" t="s">
        <v>668</v>
      </c>
      <c r="D87" s="813" t="s">
        <v>669</v>
      </c>
      <c r="E87" s="890">
        <v>0.2</v>
      </c>
      <c r="F87" s="877">
        <v>30</v>
      </c>
    </row>
    <row r="88" spans="1:6" s="873" customFormat="1" ht="36">
      <c r="A88" s="877">
        <v>28</v>
      </c>
      <c r="B88" s="3299"/>
      <c r="C88" s="813" t="s">
        <v>670</v>
      </c>
      <c r="D88" s="813" t="s">
        <v>671</v>
      </c>
      <c r="E88" s="890">
        <v>0.2</v>
      </c>
      <c r="F88" s="877">
        <v>30</v>
      </c>
    </row>
    <row r="89" spans="1:6" s="873" customFormat="1" ht="24">
      <c r="A89" s="877">
        <v>29</v>
      </c>
      <c r="B89" s="3299"/>
      <c r="C89" s="813" t="s">
        <v>672</v>
      </c>
      <c r="D89" s="813" t="s">
        <v>673</v>
      </c>
      <c r="E89" s="890">
        <v>0.2</v>
      </c>
      <c r="F89" s="877">
        <v>30</v>
      </c>
    </row>
    <row r="90" spans="1:6" s="873" customFormat="1" ht="24">
      <c r="A90" s="877">
        <v>30</v>
      </c>
      <c r="B90" s="3299"/>
      <c r="C90" s="813" t="s">
        <v>674</v>
      </c>
      <c r="D90" s="813" t="s">
        <v>675</v>
      </c>
      <c r="E90" s="890">
        <v>0.2</v>
      </c>
      <c r="F90" s="877">
        <v>30</v>
      </c>
    </row>
    <row r="91" spans="1:6" s="873" customFormat="1" ht="36">
      <c r="A91" s="877">
        <v>31</v>
      </c>
      <c r="B91" s="3299"/>
      <c r="C91" s="813" t="s">
        <v>676</v>
      </c>
      <c r="D91" s="813" t="s">
        <v>677</v>
      </c>
      <c r="E91" s="890">
        <v>0.2</v>
      </c>
      <c r="F91" s="877">
        <v>30</v>
      </c>
    </row>
    <row r="92" spans="1:6" s="873" customFormat="1" ht="24">
      <c r="A92" s="877">
        <v>32</v>
      </c>
      <c r="B92" s="3299" t="s">
        <v>678</v>
      </c>
      <c r="C92" s="877" t="s">
        <v>679</v>
      </c>
      <c r="D92" s="813" t="s">
        <v>680</v>
      </c>
      <c r="E92" s="890">
        <v>0.2</v>
      </c>
      <c r="F92" s="877">
        <v>30</v>
      </c>
    </row>
    <row r="93" spans="1:6" s="873" customFormat="1" ht="36">
      <c r="A93" s="877">
        <v>33</v>
      </c>
      <c r="B93" s="3299"/>
      <c r="C93" s="877" t="s">
        <v>681</v>
      </c>
      <c r="D93" s="813" t="s">
        <v>682</v>
      </c>
      <c r="E93" s="890">
        <v>0.2</v>
      </c>
      <c r="F93" s="877">
        <v>30</v>
      </c>
    </row>
    <row r="94" spans="1:6" s="873" customFormat="1" ht="48">
      <c r="A94" s="877">
        <v>34</v>
      </c>
      <c r="B94" s="3299"/>
      <c r="C94" s="877" t="s">
        <v>683</v>
      </c>
      <c r="D94" s="813" t="s">
        <v>684</v>
      </c>
      <c r="E94" s="890">
        <v>0.2</v>
      </c>
      <c r="F94" s="877">
        <v>30</v>
      </c>
    </row>
    <row r="95" spans="1:6" s="873" customFormat="1" ht="36">
      <c r="A95" s="877">
        <v>35</v>
      </c>
      <c r="B95" s="3299"/>
      <c r="C95" s="877" t="s">
        <v>685</v>
      </c>
      <c r="D95" s="813" t="s">
        <v>686</v>
      </c>
      <c r="E95" s="890">
        <v>0.2</v>
      </c>
      <c r="F95" s="877">
        <v>30</v>
      </c>
    </row>
    <row r="96" spans="1:6" s="873" customFormat="1" ht="48">
      <c r="A96" s="877">
        <v>36</v>
      </c>
      <c r="B96" s="3299"/>
      <c r="C96" s="813" t="s">
        <v>687</v>
      </c>
      <c r="D96" s="813" t="s">
        <v>688</v>
      </c>
      <c r="E96" s="890">
        <v>0.2</v>
      </c>
      <c r="F96" s="877">
        <v>30</v>
      </c>
    </row>
    <row r="97" spans="1:6" s="873" customFormat="1" ht="36">
      <c r="A97" s="877">
        <v>37</v>
      </c>
      <c r="B97" s="3299"/>
      <c r="C97" s="877" t="s">
        <v>689</v>
      </c>
      <c r="D97" s="813" t="s">
        <v>690</v>
      </c>
      <c r="E97" s="890">
        <v>0.2</v>
      </c>
      <c r="F97" s="877">
        <v>30</v>
      </c>
    </row>
    <row r="98" spans="1:6" s="873" customFormat="1" ht="36">
      <c r="A98" s="877">
        <v>38</v>
      </c>
      <c r="B98" s="3299"/>
      <c r="C98" s="877" t="s">
        <v>691</v>
      </c>
      <c r="D98" s="813" t="s">
        <v>692</v>
      </c>
      <c r="E98" s="890">
        <v>0.2</v>
      </c>
      <c r="F98" s="877">
        <v>30</v>
      </c>
    </row>
    <row r="99" spans="1:6" s="873" customFormat="1" ht="36">
      <c r="A99" s="877">
        <v>39</v>
      </c>
      <c r="B99" s="3299" t="s">
        <v>693</v>
      </c>
      <c r="C99" s="877" t="s">
        <v>694</v>
      </c>
      <c r="D99" s="813" t="s">
        <v>695</v>
      </c>
      <c r="E99" s="890">
        <v>0.3</v>
      </c>
      <c r="F99" s="877">
        <v>50</v>
      </c>
    </row>
    <row r="100" spans="1:6" s="873" customFormat="1" ht="24">
      <c r="A100" s="877">
        <v>40</v>
      </c>
      <c r="B100" s="3299"/>
      <c r="C100" s="877" t="s">
        <v>696</v>
      </c>
      <c r="D100" s="813" t="s">
        <v>697</v>
      </c>
      <c r="E100" s="890">
        <v>0.2</v>
      </c>
      <c r="F100" s="877">
        <v>30</v>
      </c>
    </row>
    <row r="101" spans="1:6" s="873" customFormat="1" ht="36">
      <c r="A101" s="877">
        <v>41</v>
      </c>
      <c r="B101" s="329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99" t="s">
        <v>708</v>
      </c>
      <c r="C105" s="877" t="s">
        <v>709</v>
      </c>
      <c r="D105" s="813" t="s">
        <v>710</v>
      </c>
      <c r="E105" s="890">
        <v>0.2</v>
      </c>
      <c r="F105" s="877">
        <v>30</v>
      </c>
    </row>
    <row r="106" spans="1:6" s="873" customFormat="1" ht="36">
      <c r="A106" s="877">
        <v>46</v>
      </c>
      <c r="B106" s="3299"/>
      <c r="C106" s="877" t="s">
        <v>711</v>
      </c>
      <c r="D106" s="813" t="s">
        <v>712</v>
      </c>
      <c r="E106" s="890">
        <v>0.2</v>
      </c>
      <c r="F106" s="877">
        <v>30</v>
      </c>
    </row>
    <row r="107" spans="1:6" s="873" customFormat="1" ht="36">
      <c r="A107" s="877">
        <v>47</v>
      </c>
      <c r="B107" s="3299" t="s">
        <v>713</v>
      </c>
      <c r="C107" s="877" t="s">
        <v>714</v>
      </c>
      <c r="D107" s="813" t="s">
        <v>715</v>
      </c>
      <c r="E107" s="890">
        <v>0.3</v>
      </c>
      <c r="F107" s="877">
        <v>50</v>
      </c>
    </row>
    <row r="108" spans="1:6" s="873" customFormat="1" ht="36">
      <c r="A108" s="877">
        <v>48</v>
      </c>
      <c r="B108" s="329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99" t="s">
        <v>724</v>
      </c>
      <c r="C111" s="877" t="s">
        <v>725</v>
      </c>
      <c r="D111" s="813" t="s">
        <v>726</v>
      </c>
      <c r="E111" s="890">
        <v>0.2</v>
      </c>
      <c r="F111" s="877">
        <v>30</v>
      </c>
    </row>
    <row r="112" spans="1:6" s="873" customFormat="1" ht="24">
      <c r="A112" s="877">
        <v>52</v>
      </c>
      <c r="B112" s="3299"/>
      <c r="C112" s="877" t="s">
        <v>727</v>
      </c>
      <c r="D112" s="813" t="s">
        <v>728</v>
      </c>
      <c r="E112" s="890">
        <v>0.2</v>
      </c>
      <c r="F112" s="877">
        <v>30</v>
      </c>
    </row>
    <row r="113" spans="1:6" s="873" customFormat="1" ht="24">
      <c r="A113" s="877">
        <v>53</v>
      </c>
      <c r="B113" s="329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99" t="s">
        <v>737</v>
      </c>
      <c r="C116" s="877" t="s">
        <v>738</v>
      </c>
      <c r="D116" s="813" t="s">
        <v>739</v>
      </c>
      <c r="E116" s="890">
        <v>0.2</v>
      </c>
      <c r="F116" s="877">
        <v>30</v>
      </c>
    </row>
    <row r="117" spans="1:6" ht="36">
      <c r="A117" s="877">
        <v>57</v>
      </c>
      <c r="B117" s="329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3004</v>
      </c>
    </row>
    <row r="2" spans="1:5" ht="15.75">
      <c r="A2" s="2907" t="s">
        <v>2996</v>
      </c>
      <c r="B2" s="2908" t="e">
        <f ca="1">SUMIF(B6:B13,"&lt;&gt;#ref!",B6:B13)</f>
        <v>#DIV/0!</v>
      </c>
      <c r="C2" s="2907" t="s">
        <v>2997</v>
      </c>
      <c r="D2" s="2907" t="s">
        <v>2998</v>
      </c>
      <c r="E2" s="2908" t="e">
        <f ca="1">SUM(E6:E13)</f>
        <v>#REF!</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2">
        <f ca="1">SUMIF(INDIRECT("'"&amp;A6&amp;"'"&amp;"!C:C"),"建筑面积",INDIRECT("'"&amp;A6&amp;"'"&amp;"!D:D"))</f>
        <v>0</v>
      </c>
    </row>
    <row r="7" spans="1:5" ht="15.75">
      <c r="A7" s="2912"/>
      <c r="B7" s="2908" t="e">
        <f ca="1">SUMIF(INDIRECT("'"&amp;A7&amp;"'"&amp;"!A:A"),"总价",INDIRECT("'"&amp;A7&amp;"'"&amp;"!B:B"))</f>
        <v>#REF!</v>
      </c>
      <c r="C7" s="2907" t="s">
        <v>2997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2" t="e">
        <f t="shared" ca="1" si="0"/>
        <v>#REF!</v>
      </c>
    </row>
    <row r="9" spans="1:5" ht="15.75">
      <c r="A9" s="2912"/>
      <c r="B9" s="2908" t="e">
        <f t="shared" ca="1" si="1"/>
        <v>#REF!</v>
      </c>
      <c r="C9" s="2907" t="s">
        <v>2997</v>
      </c>
      <c r="D9" s="2909"/>
      <c r="E9" s="2572" t="e">
        <f t="shared" ca="1" si="0"/>
        <v>#REF!</v>
      </c>
    </row>
    <row r="10" spans="1:5" ht="15.75">
      <c r="A10" s="2912"/>
      <c r="B10" s="2908" t="e">
        <f t="shared" ca="1" si="1"/>
        <v>#REF!</v>
      </c>
      <c r="C10" s="2907" t="s">
        <v>2997</v>
      </c>
      <c r="D10" s="2909"/>
      <c r="E10" s="2572" t="e">
        <f t="shared" ca="1" si="0"/>
        <v>#REF!</v>
      </c>
    </row>
    <row r="11" spans="1:5" ht="15.75">
      <c r="A11" s="2912"/>
      <c r="B11" s="2908" t="e">
        <f t="shared" ca="1" si="1"/>
        <v>#REF!</v>
      </c>
      <c r="C11" s="2907" t="s">
        <v>2997</v>
      </c>
      <c r="D11" s="2909"/>
      <c r="E11" s="2572" t="e">
        <f t="shared" ca="1" si="0"/>
        <v>#REF!</v>
      </c>
    </row>
    <row r="12" spans="1:5" ht="15.75">
      <c r="A12" s="2912"/>
      <c r="B12" s="2908" t="e">
        <f t="shared" ca="1" si="1"/>
        <v>#REF!</v>
      </c>
      <c r="C12" s="2907" t="s">
        <v>2997</v>
      </c>
      <c r="D12" s="2909"/>
      <c r="E12" s="2572" t="e">
        <f t="shared" ca="1" si="0"/>
        <v>#REF!</v>
      </c>
    </row>
    <row r="13" spans="1:5" ht="15.75">
      <c r="A13" s="2912"/>
      <c r="B13" s="2908" t="e">
        <f t="shared" ca="1" si="1"/>
        <v>#REF!</v>
      </c>
      <c r="C13" s="2907" t="s">
        <v>2997</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7"/>
      <c r="B4" s="2990" t="s">
        <v>1630</v>
      </c>
      <c r="C4" s="2990"/>
      <c r="D4" s="2990"/>
      <c r="E4" s="1957"/>
    </row>
    <row r="5" spans="1:5" ht="16.5" thickTop="1">
      <c r="A5" s="1955"/>
      <c r="B5" s="2988" t="s">
        <v>1622</v>
      </c>
      <c r="C5" s="1958" t="s">
        <v>1623</v>
      </c>
      <c r="D5" s="1038">
        <f ca="1">结果表!H101</f>
        <v>8739</v>
      </c>
      <c r="E5" s="1955"/>
    </row>
    <row r="6" spans="1:5" ht="15.75">
      <c r="A6" s="1955"/>
      <c r="B6" s="2988"/>
      <c r="C6" s="1958" t="s">
        <v>1624</v>
      </c>
      <c r="D6" s="1038" t="str">
        <f ca="1">NUMBERSTRING(INT(D5*10000),2)&amp;"元整"</f>
        <v>捌仟柒佰叁拾玖万元整</v>
      </c>
      <c r="E6" s="1955"/>
    </row>
    <row r="7" spans="1:5" ht="15.75">
      <c r="A7" s="1955"/>
      <c r="B7" s="2993"/>
      <c r="C7" s="1959" t="s">
        <v>1625</v>
      </c>
      <c r="D7" s="1039">
        <f ca="1">结果表!H102</f>
        <v>11036</v>
      </c>
      <c r="E7" s="1955"/>
    </row>
    <row r="8" spans="1:5" ht="15.75">
      <c r="A8" s="1955"/>
      <c r="B8" s="2994" t="str">
        <f>结果表!E103</f>
        <v>2.估价师知悉的法定优先受偿款</v>
      </c>
      <c r="C8" s="1960" t="s">
        <v>1626</v>
      </c>
      <c r="D8" s="1039">
        <f>结果表!H103</f>
        <v>0</v>
      </c>
      <c r="E8" s="1955"/>
    </row>
    <row r="9" spans="1:5" ht="15.75">
      <c r="A9" s="1955"/>
      <c r="B9" s="2996"/>
      <c r="C9" s="1958" t="s">
        <v>1624</v>
      </c>
      <c r="D9" s="1038" t="str">
        <f>NUMBERSTRING(INT(D8*10000),2)&amp;"元整"</f>
        <v>零元整</v>
      </c>
      <c r="E9" s="1955"/>
    </row>
    <row r="10" spans="1:5" ht="15">
      <c r="A10" s="1955"/>
      <c r="B10" s="1961" t="s">
        <v>1629</v>
      </c>
      <c r="C10" s="1962" t="s">
        <v>1627</v>
      </c>
      <c r="D10" s="1040">
        <f>结果表!H104</f>
        <v>0</v>
      </c>
      <c r="E10" s="1955"/>
    </row>
    <row r="11" spans="1:5" ht="15">
      <c r="A11" s="1955"/>
      <c r="B11" s="1961" t="s">
        <v>1631</v>
      </c>
      <c r="C11" s="1962" t="s">
        <v>1632</v>
      </c>
      <c r="D11" s="1040">
        <f>结果表!H105</f>
        <v>0</v>
      </c>
      <c r="E11" s="1955"/>
    </row>
    <row r="12" spans="1:5" ht="15">
      <c r="A12" s="1955"/>
      <c r="B12" s="1961" t="s">
        <v>1633</v>
      </c>
      <c r="C12" s="1962" t="s">
        <v>1632</v>
      </c>
      <c r="D12" s="1040">
        <f>结果表!H106</f>
        <v>0</v>
      </c>
      <c r="E12" s="1955"/>
    </row>
    <row r="13" spans="1:5" ht="15.75">
      <c r="A13" s="1955"/>
      <c r="B13" s="2987" t="str">
        <f>结果表!E107</f>
        <v>3.房地产抵押价值</v>
      </c>
      <c r="C13" s="1963" t="s">
        <v>1623</v>
      </c>
      <c r="D13" s="1041">
        <f ca="1">结果表!H107</f>
        <v>8739</v>
      </c>
      <c r="E13" s="1955"/>
    </row>
    <row r="14" spans="1:5" ht="15.75">
      <c r="A14" s="1955"/>
      <c r="B14" s="2988"/>
      <c r="C14" s="1958" t="s">
        <v>1624</v>
      </c>
      <c r="D14" s="1038" t="str">
        <f ca="1">NUMBERSTRING(INT(D13*10000),2)&amp;"元整"</f>
        <v>捌仟柒佰叁拾玖万元整</v>
      </c>
      <c r="E14" s="1955"/>
    </row>
    <row r="15" spans="1:5" ht="15">
      <c r="A15" s="1955"/>
      <c r="B15" s="2993"/>
      <c r="C15" s="1959" t="s">
        <v>1634</v>
      </c>
      <c r="D15" s="1050">
        <f ca="1">结果表!H108</f>
        <v>11036</v>
      </c>
      <c r="E15" s="1955"/>
    </row>
    <row r="16" spans="1:5" ht="15">
      <c r="A16" s="1955"/>
      <c r="B16" s="2994" t="str">
        <f>结果表!E109</f>
        <v>——</v>
      </c>
      <c r="C16" s="1963" t="s">
        <v>1635</v>
      </c>
      <c r="D16" s="1964" t="str">
        <f>结果表!H109</f>
        <v>——</v>
      </c>
      <c r="E16" s="1955"/>
    </row>
    <row r="17" spans="1:5" ht="15.75">
      <c r="A17" s="1955"/>
      <c r="B17" s="2995"/>
      <c r="C17" s="1958" t="s">
        <v>1636</v>
      </c>
      <c r="D17" s="1038" t="e">
        <f>NUMBERSTRING(INT(D16*10000),2)&amp;"元整"</f>
        <v>#VALUE!</v>
      </c>
      <c r="E17" s="1955"/>
    </row>
    <row r="18" spans="1:5" ht="15">
      <c r="A18" s="1955"/>
      <c r="B18" s="2996"/>
      <c r="C18" s="1959" t="s">
        <v>1625</v>
      </c>
      <c r="D18" s="1050" t="str">
        <f>结果表!H110</f>
        <v>——</v>
      </c>
      <c r="E18" s="1955"/>
    </row>
    <row r="19" spans="1:5" ht="15.75">
      <c r="A19" s="1955"/>
      <c r="B19" s="2987" t="str">
        <f>结果表!E111</f>
        <v>——</v>
      </c>
      <c r="C19" s="1963" t="s">
        <v>1623</v>
      </c>
      <c r="D19" s="1039" t="str">
        <f>结果表!H111</f>
        <v>——</v>
      </c>
      <c r="E19" s="1955"/>
    </row>
    <row r="20" spans="1:5" ht="15.75">
      <c r="A20" s="1955"/>
      <c r="B20" s="2988"/>
      <c r="C20" s="1958" t="s">
        <v>1636</v>
      </c>
      <c r="D20" s="1038" t="e">
        <f>NUMBERSTRING(INT(D19*10000),2)&amp;"元整"</f>
        <v>#VALUE!</v>
      </c>
      <c r="E20" s="1955"/>
    </row>
    <row r="21" spans="1:5" ht="15.75" thickBot="1">
      <c r="A21" s="1955"/>
      <c r="B21" s="2989"/>
      <c r="C21" s="1965" t="s">
        <v>1634</v>
      </c>
      <c r="D21" s="1051"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5" t="s">
        <v>1150</v>
      </c>
      <c r="C1" s="3305"/>
      <c r="D1" s="3305"/>
      <c r="E1" s="3305"/>
      <c r="F1" s="3305"/>
      <c r="G1" s="3301" t="s">
        <v>1151</v>
      </c>
      <c r="H1" s="3301"/>
      <c r="I1" s="3301"/>
      <c r="J1" s="3301"/>
      <c r="K1" s="3301"/>
      <c r="L1" s="3301"/>
      <c r="N1" s="3301" t="s">
        <v>1152</v>
      </c>
      <c r="O1" s="3301"/>
      <c r="P1" s="3301"/>
      <c r="Q1" s="3301"/>
      <c r="R1" s="1443"/>
      <c r="S1" s="3301" t="s">
        <v>1153</v>
      </c>
      <c r="T1" s="3301"/>
      <c r="U1" s="3301"/>
      <c r="V1" s="3301"/>
      <c r="X1" s="3300" t="s">
        <v>1154</v>
      </c>
      <c r="Y1" s="3301"/>
      <c r="Z1" s="3301"/>
      <c r="AA1" s="3301"/>
      <c r="AB1" s="3301"/>
      <c r="AD1" s="3300" t="s">
        <v>1155</v>
      </c>
      <c r="AE1" s="3301"/>
      <c r="AF1" s="3301"/>
      <c r="AG1" s="3301"/>
      <c r="AH1" s="330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3037</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3043</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3038</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3036</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3033</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3034</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06">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303"/>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303"/>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304"/>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302">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303"/>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303"/>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304"/>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302">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303"/>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303"/>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304"/>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7">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8"/>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8"/>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9"/>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302">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303"/>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303"/>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304"/>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302">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303">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303">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304">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302">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303">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303">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304">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302">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303">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303">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304">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302">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303">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303">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304">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302">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303">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303">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304">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302">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303">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303">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304">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302">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303">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303">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304">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302">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303">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303">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304">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302">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303">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303">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304">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302">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303">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303">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304">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8" customWidth="1"/>
    <col min="2" max="2" width="9.25" style="27" customWidth="1"/>
    <col min="3" max="3" width="10.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6.37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699"/>
    <col min="19" max="19" width="9" style="138"/>
    <col min="20" max="45" width="9" style="790"/>
    <col min="46" max="16384" width="9" style="138"/>
  </cols>
  <sheetData>
    <row r="1" spans="1:45" ht="14.25" customHeight="1" thickBot="1">
      <c r="A1" s="154"/>
      <c r="B1" s="1202" t="s">
        <v>3006</v>
      </c>
      <c r="C1" s="3311" t="s">
        <v>3007</v>
      </c>
      <c r="D1" s="3312"/>
      <c r="E1" s="3312"/>
      <c r="F1" s="3312"/>
      <c r="G1" s="3312"/>
      <c r="H1" s="3312"/>
      <c r="I1" s="3312"/>
      <c r="J1" s="3312"/>
      <c r="K1" s="3312"/>
      <c r="L1" s="3312"/>
      <c r="M1" s="3312"/>
      <c r="N1" s="3312"/>
      <c r="O1" s="3312"/>
      <c r="P1" s="3312"/>
      <c r="Q1" s="3312"/>
      <c r="R1" s="3312"/>
      <c r="S1" s="3313"/>
      <c r="T1" s="1202" t="s">
        <v>3008</v>
      </c>
    </row>
    <row r="2" spans="1:45" s="704" customFormat="1" ht="39" thickBot="1">
      <c r="A2" s="1203"/>
      <c r="B2" s="700" t="s">
        <v>3009</v>
      </c>
      <c r="C2" s="701" t="str">
        <f t="shared" ref="C2:L2" si="0">C3&amp;"(含)"&amp;"-"&amp;D3</f>
        <v>0(含)-100</v>
      </c>
      <c r="D2" s="702" t="str">
        <f t="shared" si="0"/>
        <v>100(含)-500</v>
      </c>
      <c r="E2" s="702" t="str">
        <f t="shared" si="0"/>
        <v>500(含)-1000</v>
      </c>
      <c r="F2" s="702" t="str">
        <f t="shared" si="0"/>
        <v>1000(含)-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4" t="str">
        <f>S3&amp;"(含)"&amp;"-"</f>
        <v>(含)-</v>
      </c>
      <c r="T2" s="703"/>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ht="15" thickTop="1">
      <c r="A3" s="1205"/>
      <c r="B3" s="705"/>
      <c r="C3" s="624">
        <v>0</v>
      </c>
      <c r="D3" s="624">
        <v>100</v>
      </c>
      <c r="E3" s="624">
        <v>500</v>
      </c>
      <c r="F3" s="624">
        <v>1000</v>
      </c>
      <c r="G3" s="1701"/>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5" thickBot="1">
      <c r="A4" s="1206"/>
      <c r="B4" s="1207"/>
      <c r="C4" s="559">
        <v>100</v>
      </c>
      <c r="D4" s="535">
        <v>97</v>
      </c>
      <c r="E4" s="559">
        <v>94</v>
      </c>
      <c r="F4" s="535">
        <v>91</v>
      </c>
      <c r="G4" s="1208"/>
      <c r="H4" s="1209"/>
      <c r="I4" s="1208"/>
      <c r="J4" s="1209"/>
      <c r="K4" s="1208"/>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idden="1">
      <c r="A5" s="1213"/>
      <c r="B5" s="1766" t="s">
        <v>3010</v>
      </c>
      <c r="C5" s="1214"/>
      <c r="D5" s="1215"/>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213"/>
      <c r="B7" s="1767" t="s">
        <v>3011</v>
      </c>
      <c r="C7" s="1119"/>
      <c r="D7" s="1113"/>
      <c r="E7" s="1113"/>
      <c r="F7" s="1713"/>
      <c r="G7" s="1713"/>
      <c r="H7" s="1713"/>
      <c r="I7" s="1713"/>
      <c r="J7" s="1713"/>
      <c r="K7" s="1713"/>
      <c r="L7" s="1713"/>
      <c r="M7" s="1714"/>
      <c r="N7" s="1715"/>
      <c r="O7" s="1716"/>
      <c r="P7" s="1717"/>
      <c r="Q7" s="1718"/>
      <c r="R7" s="1719"/>
      <c r="S7" s="1720"/>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213"/>
      <c r="B9" s="1767" t="s">
        <v>3012</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213"/>
      <c r="B11" s="1766" t="s">
        <v>3013</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213"/>
      <c r="B13" s="1766" t="s">
        <v>3014</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213"/>
      <c r="B15" s="1766" t="s">
        <v>3015</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4.25" thickTop="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4" customFormat="1">
      <c r="A17" s="2913" t="s">
        <v>3016</v>
      </c>
      <c r="B17" s="2914" t="s">
        <v>3017</v>
      </c>
      <c r="C17" s="1229">
        <v>1</v>
      </c>
      <c r="D17" s="1229" t="s">
        <v>3182</v>
      </c>
      <c r="E17" s="1230" t="s">
        <v>3184</v>
      </c>
      <c r="F17" s="1230"/>
      <c r="G17" s="1230"/>
      <c r="H17" s="1230"/>
      <c r="I17" s="1230"/>
      <c r="J17" s="1230"/>
      <c r="K17" s="2942"/>
      <c r="L17" s="2942"/>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1"/>
      <c r="AS17" s="791"/>
    </row>
    <row r="18" spans="1:45" s="704" customFormat="1" ht="13.5" thickBot="1">
      <c r="A18" s="1238"/>
      <c r="B18" s="1239"/>
      <c r="C18" s="1240">
        <v>100</v>
      </c>
      <c r="D18" s="1240">
        <f>(100+60)/2</f>
        <v>80</v>
      </c>
      <c r="E18" s="1241">
        <f>(100+60+50)/3</f>
        <v>70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1"/>
      <c r="AS18" s="791"/>
    </row>
    <row r="19" spans="1:45">
      <c r="A19" s="137"/>
      <c r="B19" s="167"/>
      <c r="C19" s="167"/>
      <c r="D19" s="2915" t="s">
        <v>3018</v>
      </c>
      <c r="E19" s="1789"/>
      <c r="F19" s="1789"/>
      <c r="G19" s="1789"/>
      <c r="H19" s="1277"/>
      <c r="I19" s="167"/>
      <c r="J19" s="167"/>
      <c r="K19" s="167"/>
      <c r="L19" s="167"/>
      <c r="M19" s="167"/>
      <c r="N19" s="167"/>
      <c r="O19" s="167"/>
      <c r="P19" s="167"/>
      <c r="Q19" s="167"/>
      <c r="R19" s="783"/>
      <c r="S19" s="137"/>
    </row>
    <row r="20" spans="1:45" ht="16.5" thickBot="1">
      <c r="A20" s="710" t="s">
        <v>3019</v>
      </c>
      <c r="B20" s="337">
        <f ca="1">IF(D20="——",S22,S22-F20)</f>
        <v>33122</v>
      </c>
      <c r="C20" s="167"/>
      <c r="D20" s="2916" t="s">
        <v>70</v>
      </c>
      <c r="E20" s="1790"/>
      <c r="F20" s="1202" t="e">
        <f ca="1">SUMIF(INDIRECT("'"&amp;H20&amp;"'"&amp;"!A:A"),"承租人权益价值",INDIRECT("'"&amp;H20&amp;"'"&amp;"!c:c"))</f>
        <v>#REF!</v>
      </c>
      <c r="G20" s="1202" t="s">
        <v>3020</v>
      </c>
      <c r="H20" s="2917"/>
      <c r="I20" s="167"/>
      <c r="J20" s="167"/>
      <c r="K20" s="167"/>
      <c r="L20" s="167"/>
      <c r="M20" s="167"/>
      <c r="N20" s="167"/>
      <c r="O20" s="167"/>
      <c r="P20" s="167"/>
      <c r="Q20" s="167"/>
      <c r="R20" s="783"/>
      <c r="S20" s="137"/>
    </row>
    <row r="21" spans="1:45" ht="15.75">
      <c r="A21" s="710" t="s">
        <v>3021</v>
      </c>
      <c r="B21" s="337">
        <f ca="1">R22</f>
        <v>11574</v>
      </c>
      <c r="C21" s="167"/>
      <c r="D21" s="167"/>
      <c r="E21" s="167"/>
      <c r="F21" s="167"/>
      <c r="G21" s="167"/>
      <c r="H21" s="167"/>
      <c r="I21" s="167"/>
      <c r="J21" s="167"/>
      <c r="K21" s="167"/>
      <c r="L21" s="167"/>
      <c r="M21" s="167"/>
      <c r="N21" s="167"/>
      <c r="O21" s="167"/>
      <c r="P21" s="167"/>
      <c r="Q21" s="167"/>
      <c r="R21" s="783"/>
      <c r="S21" s="137"/>
    </row>
    <row r="22" spans="1:45">
      <c r="A22" s="360" t="s">
        <v>3022</v>
      </c>
      <c r="B22" s="24">
        <f>SUM(B24:B10000)</f>
        <v>28616.400000000001</v>
      </c>
      <c r="C22" s="3090" t="s">
        <v>33</v>
      </c>
      <c r="D22" s="3091"/>
      <c r="E22" s="3091"/>
      <c r="F22" s="3091"/>
      <c r="G22" s="3091"/>
      <c r="H22" s="3091"/>
      <c r="I22" s="3091"/>
      <c r="J22" s="3091"/>
      <c r="K22" s="3091"/>
      <c r="L22" s="3091"/>
      <c r="M22" s="3091"/>
      <c r="N22" s="3091"/>
      <c r="O22" s="3091"/>
      <c r="P22" s="3091"/>
      <c r="Q22" s="3310"/>
      <c r="R22" s="711">
        <f ca="1">ROUND(S22*10000/B22,0)</f>
        <v>11574</v>
      </c>
      <c r="S22" s="24">
        <f ca="1">SUM(S24:S10000)</f>
        <v>33122</v>
      </c>
      <c r="T22" s="790">
        <f ca="1">S22+[1]典型户型修正!$S$22</f>
        <v>182083</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2" t="s">
        <v>3026</v>
      </c>
      <c r="S23" s="11" t="s">
        <v>3027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4.25">
      <c r="A24" s="2965" t="s">
        <v>3114</v>
      </c>
      <c r="B24" s="713">
        <f>'数据-汇总表'!E3</f>
        <v>7918.4</v>
      </c>
      <c r="C24" s="714">
        <v>1</v>
      </c>
      <c r="D24" s="715"/>
      <c r="E24" s="714">
        <v>1</v>
      </c>
      <c r="F24" s="715"/>
      <c r="G24" s="714">
        <v>1</v>
      </c>
      <c r="H24" s="715"/>
      <c r="I24" s="714">
        <v>1</v>
      </c>
      <c r="J24" s="715"/>
      <c r="K24" s="714">
        <v>1</v>
      </c>
      <c r="L24" s="715"/>
      <c r="M24" s="714">
        <v>1</v>
      </c>
      <c r="N24" s="715"/>
      <c r="O24" s="714">
        <v>1</v>
      </c>
      <c r="P24" s="715" t="s">
        <v>3139</v>
      </c>
      <c r="Q24" s="714">
        <v>1</v>
      </c>
      <c r="R24" s="716">
        <f ca="1">结果表!G20</f>
        <v>11037</v>
      </c>
      <c r="S24" s="714">
        <f t="shared" ref="S24:S54" ca="1" si="11">ROUND(R24*B24/10000,0)</f>
        <v>8740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4.25">
      <c r="A25" s="2965" t="s">
        <v>3117</v>
      </c>
      <c r="B25" s="59">
        <f>'面积表-1'!E4</f>
        <v>4702.53</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3139</v>
      </c>
      <c r="Q25" s="24">
        <f>(SUMIF($17:$17,P25,$18:$18)-SUMIF($17:$17,$P$24,$18:$18)+100)/100</f>
        <v>1</v>
      </c>
      <c r="R25" s="711">
        <f ca="1">IF(B25="",0,ROUND($R$24*C25*E25*G25*I25*K25*M25*O25*Q25,0))</f>
        <v>11037</v>
      </c>
      <c r="S25" s="360">
        <f t="shared" ca="1" si="11"/>
        <v>5190</v>
      </c>
    </row>
    <row r="26" spans="1:45" ht="14.25">
      <c r="A26" s="2965" t="s">
        <v>3118</v>
      </c>
      <c r="B26" s="59">
        <f>'面积表-1'!E5</f>
        <v>4786.18</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3139</v>
      </c>
      <c r="Q26" s="24">
        <f t="shared" ref="Q26:Q89" si="19">(SUMIF($17:$17,P26,$18:$18)-SUMIF($17:$17,$P$24,$18:$18)+100)/100</f>
        <v>1</v>
      </c>
      <c r="R26" s="711">
        <f t="shared" ref="R26:R89" ca="1" si="20">IF(B26="",0,ROUND($R$24*C26*E26*G26*I26*K26*M26*O26*Q26,0))</f>
        <v>11037</v>
      </c>
      <c r="S26" s="360">
        <f t="shared" ca="1" si="11"/>
        <v>5283</v>
      </c>
    </row>
    <row r="27" spans="1:45" ht="14.25">
      <c r="A27" s="2965" t="s">
        <v>3119</v>
      </c>
      <c r="B27" s="59">
        <f>'面积表-1'!E6</f>
        <v>3177.76</v>
      </c>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t="s">
        <v>3183</v>
      </c>
      <c r="Q27" s="24">
        <f t="shared" si="19"/>
        <v>1.1000000000000001</v>
      </c>
      <c r="R27" s="711">
        <f t="shared" ca="1" si="20"/>
        <v>12141</v>
      </c>
      <c r="S27" s="360">
        <f t="shared" ca="1" si="11"/>
        <v>3858</v>
      </c>
    </row>
    <row r="28" spans="1:45" ht="14.25">
      <c r="A28" s="2965" t="s">
        <v>3121</v>
      </c>
      <c r="B28" s="59">
        <f>'面积表-1'!E7</f>
        <v>4397.32</v>
      </c>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t="s">
        <v>3183</v>
      </c>
      <c r="Q28" s="24">
        <f t="shared" si="19"/>
        <v>1.1000000000000001</v>
      </c>
      <c r="R28" s="711">
        <f t="shared" ca="1" si="20"/>
        <v>12141</v>
      </c>
      <c r="S28" s="360">
        <f t="shared" ca="1" si="11"/>
        <v>5339</v>
      </c>
    </row>
    <row r="29" spans="1:45" ht="14.25">
      <c r="A29" s="2965" t="str">
        <f>结果表链接报告!C7</f>
        <v>润州区润旺路15号</v>
      </c>
      <c r="B29" s="59">
        <f>结果表链接报告!H7</f>
        <v>190.46</v>
      </c>
      <c r="C29" s="24">
        <f t="shared" si="12"/>
        <v>1.06</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t="s">
        <v>3183</v>
      </c>
      <c r="Q29" s="24">
        <f t="shared" si="19"/>
        <v>1.1000000000000001</v>
      </c>
      <c r="R29" s="711">
        <f t="shared" ca="1" si="20"/>
        <v>12869</v>
      </c>
      <c r="S29" s="360">
        <f t="shared" ca="1" si="11"/>
        <v>245</v>
      </c>
    </row>
    <row r="30" spans="1:45" ht="14.25">
      <c r="A30" s="2965" t="str">
        <f>结果表链接报告!C8</f>
        <v>润州区润旺路15号</v>
      </c>
      <c r="B30" s="59">
        <f>结果表链接报告!H8</f>
        <v>134.77000000000001</v>
      </c>
      <c r="C30" s="24">
        <f t="shared" si="12"/>
        <v>1.06</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t="s">
        <v>3183</v>
      </c>
      <c r="Q30" s="24">
        <f t="shared" si="19"/>
        <v>1.1000000000000001</v>
      </c>
      <c r="R30" s="711">
        <f t="shared" ca="1" si="20"/>
        <v>12869</v>
      </c>
      <c r="S30" s="360">
        <f t="shared" ca="1" si="11"/>
        <v>173</v>
      </c>
    </row>
    <row r="31" spans="1:45" ht="14.25">
      <c r="A31" s="2965" t="str">
        <f>结果表链接报告!C9</f>
        <v>润州区润旺路15号</v>
      </c>
      <c r="B31" s="59">
        <f>结果表链接报告!H9</f>
        <v>131.19999999999999</v>
      </c>
      <c r="C31" s="24">
        <f t="shared" si="12"/>
        <v>1.06</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t="s">
        <v>3183</v>
      </c>
      <c r="Q31" s="24">
        <f t="shared" si="19"/>
        <v>1.1000000000000001</v>
      </c>
      <c r="R31" s="711">
        <f t="shared" ca="1" si="20"/>
        <v>12869</v>
      </c>
      <c r="S31" s="360">
        <f t="shared" ca="1" si="11"/>
        <v>169</v>
      </c>
    </row>
    <row r="32" spans="1:45" ht="14.25">
      <c r="A32" s="2965" t="str">
        <f>结果表链接报告!C10</f>
        <v>润州区润旺路15号</v>
      </c>
      <c r="B32" s="59">
        <f>结果表链接报告!H10</f>
        <v>134.77000000000001</v>
      </c>
      <c r="C32" s="24">
        <f t="shared" si="12"/>
        <v>1.06</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t="s">
        <v>3183</v>
      </c>
      <c r="Q32" s="24">
        <f t="shared" si="19"/>
        <v>1.1000000000000001</v>
      </c>
      <c r="R32" s="711">
        <f t="shared" ca="1" si="20"/>
        <v>12869</v>
      </c>
      <c r="S32" s="360">
        <f t="shared" ca="1" si="11"/>
        <v>173</v>
      </c>
    </row>
    <row r="33" spans="1:19" ht="14.25">
      <c r="A33" s="2965" t="str">
        <f>结果表链接报告!C11</f>
        <v>润州区润旺路15号</v>
      </c>
      <c r="B33" s="59">
        <f>结果表链接报告!H11</f>
        <v>222.8</v>
      </c>
      <c r="C33" s="24">
        <f t="shared" si="12"/>
        <v>1.06</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t="s">
        <v>3183</v>
      </c>
      <c r="Q33" s="24">
        <f t="shared" si="19"/>
        <v>1.1000000000000001</v>
      </c>
      <c r="R33" s="711">
        <f t="shared" ca="1" si="20"/>
        <v>12869</v>
      </c>
      <c r="S33" s="360">
        <f t="shared" ca="1" si="11"/>
        <v>287</v>
      </c>
    </row>
    <row r="34" spans="1:19" ht="14.25">
      <c r="A34" s="2965" t="str">
        <f>结果表链接报告!C12</f>
        <v>润州区润旺路17号</v>
      </c>
      <c r="B34" s="59">
        <f>结果表链接报告!H12</f>
        <v>496.96</v>
      </c>
      <c r="C34" s="24">
        <f t="shared" si="12"/>
        <v>1.06</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t="s">
        <v>3183</v>
      </c>
      <c r="Q34" s="24">
        <f t="shared" si="19"/>
        <v>1.1000000000000001</v>
      </c>
      <c r="R34" s="711">
        <f t="shared" ca="1" si="20"/>
        <v>12869</v>
      </c>
      <c r="S34" s="360">
        <f t="shared" ca="1" si="11"/>
        <v>640</v>
      </c>
    </row>
    <row r="35" spans="1:19" ht="14.25">
      <c r="A35" s="2965" t="str">
        <f>结果表链接报告!C13</f>
        <v>润州区润旺路21号</v>
      </c>
      <c r="B35" s="59">
        <f>结果表链接报告!H13</f>
        <v>459.74</v>
      </c>
      <c r="C35" s="24">
        <f t="shared" si="12"/>
        <v>1.06</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t="s">
        <v>3183</v>
      </c>
      <c r="Q35" s="24">
        <f t="shared" si="19"/>
        <v>1.1000000000000001</v>
      </c>
      <c r="R35" s="711">
        <f t="shared" ca="1" si="20"/>
        <v>12869</v>
      </c>
      <c r="S35" s="360">
        <f t="shared" ca="1" si="11"/>
        <v>592</v>
      </c>
    </row>
    <row r="36" spans="1:19" ht="14.25">
      <c r="A36" s="2965" t="str">
        <f>结果表链接报告!C14</f>
        <v>润州区润旺路21号</v>
      </c>
      <c r="B36" s="59">
        <f>结果表链接报告!H14</f>
        <v>155.5</v>
      </c>
      <c r="C36" s="24">
        <f t="shared" si="12"/>
        <v>1.06</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v>1</v>
      </c>
      <c r="Q36" s="24">
        <f t="shared" si="19"/>
        <v>1.3</v>
      </c>
      <c r="R36" s="711">
        <f t="shared" ca="1" si="20"/>
        <v>15209</v>
      </c>
      <c r="S36" s="360">
        <f t="shared" ca="1" si="11"/>
        <v>236</v>
      </c>
    </row>
    <row r="37" spans="1:19" ht="14.25">
      <c r="A37" s="2965" t="str">
        <f>结果表链接报告!C15</f>
        <v>润州区润旺路23号</v>
      </c>
      <c r="B37" s="59">
        <f>结果表链接报告!H15</f>
        <v>190.46</v>
      </c>
      <c r="C37" s="24">
        <f t="shared" si="12"/>
        <v>1.06</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t="s">
        <v>3183</v>
      </c>
      <c r="Q37" s="24">
        <f t="shared" si="19"/>
        <v>1.1000000000000001</v>
      </c>
      <c r="R37" s="711">
        <f t="shared" ca="1" si="20"/>
        <v>12869</v>
      </c>
      <c r="S37" s="360">
        <f t="shared" ca="1" si="11"/>
        <v>245</v>
      </c>
    </row>
    <row r="38" spans="1:19" ht="14.25">
      <c r="A38" s="2965" t="str">
        <f>结果表链接报告!C16</f>
        <v>润州区润旺路23号</v>
      </c>
      <c r="B38" s="59">
        <f>结果表链接报告!H16</f>
        <v>134.77000000000001</v>
      </c>
      <c r="C38" s="24">
        <f t="shared" si="12"/>
        <v>1.06</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t="s">
        <v>3183</v>
      </c>
      <c r="Q38" s="24">
        <f t="shared" si="19"/>
        <v>1.1000000000000001</v>
      </c>
      <c r="R38" s="711">
        <f t="shared" ca="1" si="20"/>
        <v>12869</v>
      </c>
      <c r="S38" s="360">
        <f t="shared" ca="1" si="11"/>
        <v>173</v>
      </c>
    </row>
    <row r="39" spans="1:19" ht="14.25">
      <c r="A39" s="2965" t="str">
        <f>结果表链接报告!C17</f>
        <v>润州区润旺路23号</v>
      </c>
      <c r="B39" s="59">
        <f>结果表链接报告!H17</f>
        <v>131.19999999999999</v>
      </c>
      <c r="C39" s="24">
        <f t="shared" si="12"/>
        <v>1.06</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t="s">
        <v>3183</v>
      </c>
      <c r="Q39" s="24">
        <f t="shared" si="19"/>
        <v>1.1000000000000001</v>
      </c>
      <c r="R39" s="711">
        <f t="shared" ca="1" si="20"/>
        <v>12869</v>
      </c>
      <c r="S39" s="360">
        <f t="shared" ca="1" si="11"/>
        <v>169</v>
      </c>
    </row>
    <row r="40" spans="1:19" ht="14.25">
      <c r="A40" s="2965" t="str">
        <f>结果表链接报告!C18</f>
        <v>润州区润旺路23号</v>
      </c>
      <c r="B40" s="59">
        <f>结果表链接报告!H18</f>
        <v>222.8</v>
      </c>
      <c r="C40" s="24">
        <f t="shared" si="12"/>
        <v>1.06</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t="s">
        <v>3183</v>
      </c>
      <c r="Q40" s="24">
        <f t="shared" si="19"/>
        <v>1.1000000000000001</v>
      </c>
      <c r="R40" s="711">
        <f t="shared" ca="1" si="20"/>
        <v>12869</v>
      </c>
      <c r="S40" s="360">
        <f t="shared" ca="1" si="11"/>
        <v>287</v>
      </c>
    </row>
    <row r="41" spans="1:19" ht="14.25">
      <c r="A41" s="2965" t="str">
        <f>结果表链接报告!C19</f>
        <v>润州区润旺路27号</v>
      </c>
      <c r="B41" s="59">
        <f>结果表链接报告!H19</f>
        <v>114.21</v>
      </c>
      <c r="C41" s="24">
        <f t="shared" si="12"/>
        <v>1.06</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t="s">
        <v>3183</v>
      </c>
      <c r="Q41" s="24">
        <f t="shared" si="19"/>
        <v>1.1000000000000001</v>
      </c>
      <c r="R41" s="711">
        <f t="shared" ca="1" si="20"/>
        <v>12869</v>
      </c>
      <c r="S41" s="360">
        <f t="shared" ca="1" si="11"/>
        <v>147</v>
      </c>
    </row>
    <row r="42" spans="1:19" ht="14.25">
      <c r="A42" s="2965" t="str">
        <f>结果表链接报告!C20</f>
        <v>润州区润旺路27号</v>
      </c>
      <c r="B42" s="59">
        <f>结果表链接报告!H20</f>
        <v>130.34</v>
      </c>
      <c r="C42" s="24">
        <f t="shared" si="12"/>
        <v>1.06</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t="s">
        <v>3183</v>
      </c>
      <c r="Q42" s="24">
        <f t="shared" si="19"/>
        <v>1.1000000000000001</v>
      </c>
      <c r="R42" s="711">
        <f t="shared" ca="1" si="20"/>
        <v>12869</v>
      </c>
      <c r="S42" s="360">
        <f t="shared" ca="1" si="11"/>
        <v>168</v>
      </c>
    </row>
    <row r="43" spans="1:19" ht="14.25">
      <c r="A43" s="2965" t="str">
        <f>结果表链接报告!C21</f>
        <v>润州区润旺路27号</v>
      </c>
      <c r="B43" s="59">
        <f>结果表链接报告!H21</f>
        <v>185.27</v>
      </c>
      <c r="C43" s="24">
        <f t="shared" si="12"/>
        <v>1.06</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t="s">
        <v>3183</v>
      </c>
      <c r="Q43" s="24">
        <f t="shared" si="19"/>
        <v>1.1000000000000001</v>
      </c>
      <c r="R43" s="711">
        <f t="shared" ca="1" si="20"/>
        <v>12869</v>
      </c>
      <c r="S43" s="360">
        <f t="shared" ca="1" si="11"/>
        <v>238</v>
      </c>
    </row>
    <row r="44" spans="1:19" ht="14.25">
      <c r="A44" s="2965" t="str">
        <f>结果表链接报告!C22</f>
        <v>润州区润旺路27号</v>
      </c>
      <c r="B44" s="59">
        <f>结果表链接报告!H22</f>
        <v>185.27</v>
      </c>
      <c r="C44" s="24">
        <f t="shared" si="12"/>
        <v>1.06</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t="s">
        <v>3183</v>
      </c>
      <c r="Q44" s="24">
        <f t="shared" si="19"/>
        <v>1.1000000000000001</v>
      </c>
      <c r="R44" s="711">
        <f t="shared" ca="1" si="20"/>
        <v>12869</v>
      </c>
      <c r="S44" s="360">
        <f t="shared" ca="1" si="11"/>
        <v>238</v>
      </c>
    </row>
    <row r="45" spans="1:19" ht="14.25">
      <c r="A45" s="2965" t="str">
        <f>结果表链接报告!C23</f>
        <v>润州区润旺路27号</v>
      </c>
      <c r="B45" s="59">
        <f>结果表链接报告!H23</f>
        <v>159.21</v>
      </c>
      <c r="C45" s="24">
        <f t="shared" si="12"/>
        <v>1.06</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t="s">
        <v>3183</v>
      </c>
      <c r="Q45" s="24">
        <f t="shared" si="19"/>
        <v>1.1000000000000001</v>
      </c>
      <c r="R45" s="711">
        <f t="shared" ca="1" si="20"/>
        <v>12869</v>
      </c>
      <c r="S45" s="360">
        <f t="shared" ca="1" si="11"/>
        <v>205</v>
      </c>
    </row>
    <row r="46" spans="1:19" ht="14.25">
      <c r="A46" s="2965" t="str">
        <f>结果表链接报告!C24</f>
        <v>润州区润旺路27号</v>
      </c>
      <c r="B46" s="59">
        <f>结果表链接报告!H24</f>
        <v>138.41</v>
      </c>
      <c r="C46" s="24">
        <f t="shared" si="12"/>
        <v>1.06</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t="s">
        <v>3183</v>
      </c>
      <c r="Q46" s="24">
        <f t="shared" si="19"/>
        <v>1.1000000000000001</v>
      </c>
      <c r="R46" s="711">
        <f t="shared" ca="1" si="20"/>
        <v>12869</v>
      </c>
      <c r="S46" s="360">
        <f t="shared" ca="1" si="11"/>
        <v>178</v>
      </c>
    </row>
    <row r="47" spans="1:19" ht="14.25">
      <c r="A47" s="2965" t="str">
        <f>结果表链接报告!C25</f>
        <v>润州区润旺路27号</v>
      </c>
      <c r="B47" s="59">
        <f>结果表链接报告!H25</f>
        <v>116.07</v>
      </c>
      <c r="C47" s="24">
        <f t="shared" si="12"/>
        <v>1.06</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t="s">
        <v>3183</v>
      </c>
      <c r="Q47" s="24">
        <f t="shared" si="19"/>
        <v>1.1000000000000001</v>
      </c>
      <c r="R47" s="711">
        <f t="shared" ca="1" si="20"/>
        <v>12869</v>
      </c>
      <c r="S47" s="360">
        <f t="shared" ca="1" si="11"/>
        <v>149</v>
      </c>
    </row>
    <row r="48" spans="1:19" ht="14.25">
      <c r="A48" s="2965">
        <f>结果表链接报告!C26</f>
        <v>0</v>
      </c>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0.3</v>
      </c>
      <c r="R48" s="711">
        <f t="shared" si="20"/>
        <v>0</v>
      </c>
      <c r="S48" s="360">
        <f t="shared" si="11"/>
        <v>0</v>
      </c>
    </row>
    <row r="49" spans="1:19" ht="14.25">
      <c r="A49" s="2965">
        <f>结果表链接报告!C27</f>
        <v>0</v>
      </c>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0.3</v>
      </c>
      <c r="R49" s="711">
        <f t="shared" si="20"/>
        <v>0</v>
      </c>
      <c r="S49" s="360">
        <f t="shared" si="11"/>
        <v>0</v>
      </c>
    </row>
    <row r="50" spans="1:19" ht="14.25">
      <c r="A50" s="2965">
        <f>结果表链接报告!C28</f>
        <v>0</v>
      </c>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0.3</v>
      </c>
      <c r="R50" s="711">
        <f t="shared" si="20"/>
        <v>0</v>
      </c>
      <c r="S50" s="360">
        <f t="shared" si="11"/>
        <v>0</v>
      </c>
    </row>
    <row r="51" spans="1:19" ht="14.25">
      <c r="A51" s="2965">
        <f>结果表链接报告!C29</f>
        <v>0</v>
      </c>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0.3</v>
      </c>
      <c r="R51" s="711">
        <f t="shared" si="20"/>
        <v>0</v>
      </c>
      <c r="S51" s="360">
        <f t="shared" si="11"/>
        <v>0</v>
      </c>
    </row>
    <row r="52" spans="1:19" ht="14.25">
      <c r="A52" s="2965">
        <f>结果表链接报告!C30</f>
        <v>0</v>
      </c>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0.3</v>
      </c>
      <c r="R52" s="711">
        <f t="shared" si="20"/>
        <v>0</v>
      </c>
      <c r="S52" s="360">
        <f t="shared" si="11"/>
        <v>0</v>
      </c>
    </row>
    <row r="53" spans="1:19" ht="14.25">
      <c r="A53" s="2965">
        <f>结果表链接报告!C31</f>
        <v>0</v>
      </c>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0.3</v>
      </c>
      <c r="R53" s="711">
        <f t="shared" si="20"/>
        <v>0</v>
      </c>
      <c r="S53" s="360">
        <f t="shared" si="11"/>
        <v>0</v>
      </c>
    </row>
    <row r="54" spans="1:19" ht="14.25">
      <c r="A54" s="2965">
        <f>结果表链接报告!C32</f>
        <v>0</v>
      </c>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0.3</v>
      </c>
      <c r="R54" s="711">
        <f t="shared" si="20"/>
        <v>0</v>
      </c>
      <c r="S54" s="360">
        <f t="shared" si="11"/>
        <v>0</v>
      </c>
    </row>
    <row r="55" spans="1:19" ht="14.25">
      <c r="A55" s="2965">
        <f>结果表链接报告!C33</f>
        <v>0</v>
      </c>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0.3</v>
      </c>
      <c r="R55" s="711">
        <f t="shared" si="20"/>
        <v>0</v>
      </c>
      <c r="S55" s="360">
        <f t="shared" ref="S55:S77" si="21">ROUND(R55*B55/10000,0)</f>
        <v>0</v>
      </c>
    </row>
    <row r="56" spans="1:19" ht="14.25">
      <c r="A56" s="2965">
        <f>结果表链接报告!C34</f>
        <v>0</v>
      </c>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0.3</v>
      </c>
      <c r="R56" s="711">
        <f t="shared" si="20"/>
        <v>0</v>
      </c>
      <c r="S56" s="360">
        <f t="shared" si="21"/>
        <v>0</v>
      </c>
    </row>
    <row r="57" spans="1:19" ht="14.25">
      <c r="A57" s="2965">
        <f>结果表链接报告!C35</f>
        <v>0</v>
      </c>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0.3</v>
      </c>
      <c r="R57" s="711">
        <f t="shared" si="20"/>
        <v>0</v>
      </c>
      <c r="S57" s="360">
        <f t="shared" si="21"/>
        <v>0</v>
      </c>
    </row>
    <row r="58" spans="1:19" ht="14.25">
      <c r="A58" s="2965">
        <f>结果表链接报告!C36</f>
        <v>0</v>
      </c>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0.3</v>
      </c>
      <c r="R58" s="711">
        <f t="shared" si="20"/>
        <v>0</v>
      </c>
      <c r="S58" s="360">
        <f t="shared" si="21"/>
        <v>0</v>
      </c>
    </row>
    <row r="59" spans="1:19">
      <c r="A59" s="2940"/>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0.3</v>
      </c>
      <c r="R59" s="711">
        <f t="shared" si="20"/>
        <v>0</v>
      </c>
      <c r="S59" s="360">
        <f t="shared" si="21"/>
        <v>0</v>
      </c>
    </row>
    <row r="60" spans="1:19">
      <c r="A60" s="2940"/>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0.3</v>
      </c>
      <c r="R60" s="711">
        <f t="shared" si="20"/>
        <v>0</v>
      </c>
      <c r="S60" s="360">
        <f t="shared" si="21"/>
        <v>0</v>
      </c>
    </row>
    <row r="61" spans="1:19">
      <c r="A61" s="2940"/>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0.3</v>
      </c>
      <c r="R61" s="711">
        <f t="shared" si="20"/>
        <v>0</v>
      </c>
      <c r="S61" s="360">
        <f t="shared" si="21"/>
        <v>0</v>
      </c>
    </row>
    <row r="62" spans="1:19">
      <c r="A62" s="2940"/>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0.3</v>
      </c>
      <c r="R62" s="711">
        <f t="shared" si="20"/>
        <v>0</v>
      </c>
      <c r="S62" s="360">
        <f t="shared" si="21"/>
        <v>0</v>
      </c>
    </row>
    <row r="63" spans="1:19">
      <c r="A63" s="2940"/>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0.3</v>
      </c>
      <c r="R63" s="711">
        <f t="shared" si="20"/>
        <v>0</v>
      </c>
      <c r="S63" s="360">
        <f t="shared" si="21"/>
        <v>0</v>
      </c>
    </row>
    <row r="64" spans="1:19">
      <c r="A64" s="2940"/>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0.3</v>
      </c>
      <c r="R64" s="711">
        <f t="shared" si="20"/>
        <v>0</v>
      </c>
      <c r="S64" s="360">
        <f t="shared" si="21"/>
        <v>0</v>
      </c>
    </row>
    <row r="65" spans="1:19">
      <c r="A65" s="2940"/>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0.3</v>
      </c>
      <c r="R65" s="711">
        <f t="shared" si="20"/>
        <v>0</v>
      </c>
      <c r="S65" s="360">
        <f t="shared" si="21"/>
        <v>0</v>
      </c>
    </row>
    <row r="66" spans="1:19">
      <c r="A66" s="2940"/>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0.3</v>
      </c>
      <c r="R66" s="711">
        <f t="shared" si="20"/>
        <v>0</v>
      </c>
      <c r="S66" s="360">
        <f t="shared" si="21"/>
        <v>0</v>
      </c>
    </row>
    <row r="67" spans="1:19">
      <c r="A67" s="2940"/>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0.3</v>
      </c>
      <c r="R67" s="711">
        <f t="shared" si="20"/>
        <v>0</v>
      </c>
      <c r="S67" s="360">
        <f t="shared" si="21"/>
        <v>0</v>
      </c>
    </row>
    <row r="68" spans="1:19">
      <c r="A68" s="2940"/>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0.3</v>
      </c>
      <c r="R68" s="711">
        <f t="shared" si="20"/>
        <v>0</v>
      </c>
      <c r="S68" s="360">
        <f t="shared" si="21"/>
        <v>0</v>
      </c>
    </row>
    <row r="69" spans="1:19">
      <c r="A69" s="2940"/>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0.3</v>
      </c>
      <c r="R69" s="711">
        <f t="shared" si="20"/>
        <v>0</v>
      </c>
      <c r="S69" s="360">
        <f t="shared" si="21"/>
        <v>0</v>
      </c>
    </row>
    <row r="70" spans="1:19">
      <c r="A70" s="2940"/>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0.3</v>
      </c>
      <c r="R70" s="711">
        <f t="shared" si="20"/>
        <v>0</v>
      </c>
      <c r="S70" s="360">
        <f t="shared" si="21"/>
        <v>0</v>
      </c>
    </row>
    <row r="71" spans="1:19">
      <c r="A71" s="2940"/>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0.3</v>
      </c>
      <c r="R71" s="711">
        <f t="shared" si="20"/>
        <v>0</v>
      </c>
      <c r="S71" s="360">
        <f t="shared" si="21"/>
        <v>0</v>
      </c>
    </row>
    <row r="72" spans="1:19">
      <c r="A72" s="2940"/>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0.3</v>
      </c>
      <c r="R72" s="711">
        <f t="shared" si="20"/>
        <v>0</v>
      </c>
      <c r="S72" s="360">
        <f t="shared" si="21"/>
        <v>0</v>
      </c>
    </row>
    <row r="73" spans="1:19">
      <c r="A73" s="2940"/>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0.3</v>
      </c>
      <c r="R73" s="711">
        <f t="shared" si="20"/>
        <v>0</v>
      </c>
      <c r="S73" s="360">
        <f t="shared" si="21"/>
        <v>0</v>
      </c>
    </row>
    <row r="74" spans="1:19">
      <c r="A74" s="2940"/>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0.3</v>
      </c>
      <c r="R74" s="711">
        <f t="shared" si="20"/>
        <v>0</v>
      </c>
      <c r="S74" s="360">
        <f t="shared" si="21"/>
        <v>0</v>
      </c>
    </row>
    <row r="75" spans="1:19">
      <c r="A75" s="2940"/>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0.3</v>
      </c>
      <c r="R75" s="711">
        <f t="shared" si="20"/>
        <v>0</v>
      </c>
      <c r="S75" s="360">
        <f t="shared" si="21"/>
        <v>0</v>
      </c>
    </row>
    <row r="76" spans="1:19">
      <c r="A76" s="2940"/>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0.3</v>
      </c>
      <c r="R76" s="711">
        <f t="shared" si="20"/>
        <v>0</v>
      </c>
      <c r="S76" s="360">
        <f t="shared" si="21"/>
        <v>0</v>
      </c>
    </row>
    <row r="77" spans="1:19">
      <c r="A77" s="2940"/>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0.3</v>
      </c>
      <c r="R77" s="711">
        <f t="shared" si="20"/>
        <v>0</v>
      </c>
      <c r="S77" s="360">
        <f t="shared" si="21"/>
        <v>0</v>
      </c>
    </row>
    <row r="78" spans="1:19">
      <c r="A78" s="2940"/>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0.3</v>
      </c>
      <c r="R78" s="711">
        <f t="shared" si="20"/>
        <v>0</v>
      </c>
      <c r="S78" s="360">
        <f t="shared" ref="S78:S122" si="22">ROUND(R78*B78/10000,0)</f>
        <v>0</v>
      </c>
    </row>
    <row r="79" spans="1:19">
      <c r="A79" s="2940"/>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0.3</v>
      </c>
      <c r="R79" s="711">
        <f t="shared" si="20"/>
        <v>0</v>
      </c>
      <c r="S79" s="360">
        <f t="shared" si="22"/>
        <v>0</v>
      </c>
    </row>
    <row r="80" spans="1:19">
      <c r="A80" s="2940"/>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0.3</v>
      </c>
      <c r="R80" s="711">
        <f t="shared" si="20"/>
        <v>0</v>
      </c>
      <c r="S80" s="360">
        <f t="shared" si="22"/>
        <v>0</v>
      </c>
    </row>
    <row r="81" spans="1:19">
      <c r="A81" s="2940"/>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0.3</v>
      </c>
      <c r="R81" s="711">
        <f t="shared" si="20"/>
        <v>0</v>
      </c>
      <c r="S81" s="360">
        <f t="shared" si="22"/>
        <v>0</v>
      </c>
    </row>
    <row r="82" spans="1:19">
      <c r="A82" s="2940"/>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0.3</v>
      </c>
      <c r="R82" s="711">
        <f t="shared" si="20"/>
        <v>0</v>
      </c>
      <c r="S82" s="360">
        <f t="shared" si="22"/>
        <v>0</v>
      </c>
    </row>
    <row r="83" spans="1:19">
      <c r="A83" s="2940"/>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0.3</v>
      </c>
      <c r="R83" s="711">
        <f t="shared" si="20"/>
        <v>0</v>
      </c>
      <c r="S83" s="360">
        <f t="shared" si="22"/>
        <v>0</v>
      </c>
    </row>
    <row r="84" spans="1:19">
      <c r="A84" s="2940"/>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0.3</v>
      </c>
      <c r="R84" s="711">
        <f t="shared" si="20"/>
        <v>0</v>
      </c>
      <c r="S84" s="360">
        <f t="shared" si="22"/>
        <v>0</v>
      </c>
    </row>
    <row r="85" spans="1:19">
      <c r="A85" s="2940"/>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0.3</v>
      </c>
      <c r="R85" s="711">
        <f t="shared" si="20"/>
        <v>0</v>
      </c>
      <c r="S85" s="360">
        <f t="shared" si="22"/>
        <v>0</v>
      </c>
    </row>
    <row r="86" spans="1:19">
      <c r="A86" s="2940"/>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t="s">
        <v>3183</v>
      </c>
      <c r="Q86" s="24">
        <f t="shared" si="19"/>
        <v>1.1000000000000001</v>
      </c>
      <c r="R86" s="711">
        <f t="shared" si="20"/>
        <v>0</v>
      </c>
      <c r="S86" s="360">
        <f t="shared" si="22"/>
        <v>0</v>
      </c>
    </row>
    <row r="87" spans="1:19">
      <c r="A87" s="2940"/>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t="s">
        <v>3183</v>
      </c>
      <c r="Q87" s="24">
        <f t="shared" si="19"/>
        <v>1.1000000000000001</v>
      </c>
      <c r="R87" s="711">
        <f t="shared" si="20"/>
        <v>0</v>
      </c>
      <c r="S87" s="360">
        <f t="shared" si="22"/>
        <v>0</v>
      </c>
    </row>
    <row r="88" spans="1:19">
      <c r="A88" s="2940"/>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t="s">
        <v>3183</v>
      </c>
      <c r="Q88" s="24">
        <f t="shared" si="19"/>
        <v>1.1000000000000001</v>
      </c>
      <c r="R88" s="711">
        <f t="shared" si="20"/>
        <v>0</v>
      </c>
      <c r="S88" s="360">
        <f t="shared" si="22"/>
        <v>0</v>
      </c>
    </row>
    <row r="89" spans="1:19">
      <c r="A89" s="2940"/>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t="s">
        <v>3183</v>
      </c>
      <c r="Q89" s="24">
        <f t="shared" si="19"/>
        <v>1.1000000000000001</v>
      </c>
      <c r="R89" s="711">
        <f t="shared" si="20"/>
        <v>0</v>
      </c>
      <c r="S89" s="360">
        <f t="shared" si="22"/>
        <v>0</v>
      </c>
    </row>
    <row r="90" spans="1:19">
      <c r="A90" s="2940"/>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t="s">
        <v>3183</v>
      </c>
      <c r="Q90" s="24">
        <f t="shared" ref="Q90:Q153" si="30">(SUMIF($17:$17,P90,$18:$18)-SUMIF($17:$17,$P$24,$18:$18)+100)/100</f>
        <v>1.1000000000000001</v>
      </c>
      <c r="R90" s="711">
        <f t="shared" ref="R90:R153" si="31">IF(B90="",0,ROUND($R$24*C90*E90*G90*I90*K90*M90*O90*Q90,0))</f>
        <v>0</v>
      </c>
      <c r="S90" s="360">
        <f t="shared" si="22"/>
        <v>0</v>
      </c>
    </row>
    <row r="91" spans="1:19">
      <c r="A91" s="2940"/>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t="s">
        <v>3183</v>
      </c>
      <c r="Q91" s="24">
        <f t="shared" si="30"/>
        <v>1.1000000000000001</v>
      </c>
      <c r="R91" s="711">
        <f t="shared" si="31"/>
        <v>0</v>
      </c>
      <c r="S91" s="360">
        <f t="shared" si="22"/>
        <v>0</v>
      </c>
    </row>
    <row r="92" spans="1:19">
      <c r="A92" s="2940"/>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t="s">
        <v>3183</v>
      </c>
      <c r="Q92" s="24">
        <f t="shared" si="30"/>
        <v>1.1000000000000001</v>
      </c>
      <c r="R92" s="711">
        <f t="shared" si="31"/>
        <v>0</v>
      </c>
      <c r="S92" s="360">
        <f t="shared" si="22"/>
        <v>0</v>
      </c>
    </row>
    <row r="93" spans="1:19">
      <c r="A93" s="2940"/>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t="s">
        <v>3183</v>
      </c>
      <c r="Q93" s="24">
        <f t="shared" si="30"/>
        <v>1.1000000000000001</v>
      </c>
      <c r="R93" s="711">
        <f t="shared" si="31"/>
        <v>0</v>
      </c>
      <c r="S93" s="360">
        <f t="shared" si="22"/>
        <v>0</v>
      </c>
    </row>
    <row r="94" spans="1:19">
      <c r="A94" s="2940"/>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t="s">
        <v>3183</v>
      </c>
      <c r="Q94" s="24">
        <f t="shared" si="30"/>
        <v>1.1000000000000001</v>
      </c>
      <c r="R94" s="711">
        <f t="shared" si="31"/>
        <v>0</v>
      </c>
      <c r="S94" s="360">
        <f t="shared" si="22"/>
        <v>0</v>
      </c>
    </row>
    <row r="95" spans="1:19">
      <c r="A95" s="2940"/>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t="s">
        <v>3183</v>
      </c>
      <c r="Q95" s="24">
        <f t="shared" si="30"/>
        <v>1.1000000000000001</v>
      </c>
      <c r="R95" s="711">
        <f t="shared" si="31"/>
        <v>0</v>
      </c>
      <c r="S95" s="360">
        <f t="shared" si="22"/>
        <v>0</v>
      </c>
    </row>
    <row r="96" spans="1:19">
      <c r="A96" s="2940"/>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t="s">
        <v>3183</v>
      </c>
      <c r="Q96" s="24">
        <f t="shared" si="30"/>
        <v>1.1000000000000001</v>
      </c>
      <c r="R96" s="711">
        <f t="shared" si="31"/>
        <v>0</v>
      </c>
      <c r="S96" s="360">
        <f t="shared" si="22"/>
        <v>0</v>
      </c>
    </row>
    <row r="97" spans="1:19">
      <c r="A97" s="2940"/>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t="s">
        <v>3183</v>
      </c>
      <c r="Q97" s="24">
        <f t="shared" si="30"/>
        <v>1.1000000000000001</v>
      </c>
      <c r="R97" s="711">
        <f t="shared" si="31"/>
        <v>0</v>
      </c>
      <c r="S97" s="360">
        <f t="shared" si="22"/>
        <v>0</v>
      </c>
    </row>
    <row r="98" spans="1:19">
      <c r="A98" s="2940"/>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t="s">
        <v>3183</v>
      </c>
      <c r="Q98" s="24">
        <f t="shared" si="30"/>
        <v>1.1000000000000001</v>
      </c>
      <c r="R98" s="711">
        <f t="shared" si="31"/>
        <v>0</v>
      </c>
      <c r="S98" s="360">
        <f t="shared" si="22"/>
        <v>0</v>
      </c>
    </row>
    <row r="99" spans="1:19">
      <c r="A99" s="2940"/>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t="s">
        <v>3183</v>
      </c>
      <c r="Q99" s="24">
        <f t="shared" si="30"/>
        <v>1.1000000000000001</v>
      </c>
      <c r="R99" s="711">
        <f t="shared" si="31"/>
        <v>0</v>
      </c>
      <c r="S99" s="360">
        <f t="shared" si="22"/>
        <v>0</v>
      </c>
    </row>
    <row r="100" spans="1:19">
      <c r="A100" s="2940"/>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t="s">
        <v>3183</v>
      </c>
      <c r="Q100" s="24">
        <f t="shared" si="30"/>
        <v>1.1000000000000001</v>
      </c>
      <c r="R100" s="711">
        <f t="shared" si="31"/>
        <v>0</v>
      </c>
      <c r="S100" s="360">
        <f t="shared" si="22"/>
        <v>0</v>
      </c>
    </row>
    <row r="101" spans="1:19">
      <c r="A101" s="2940"/>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t="s">
        <v>3183</v>
      </c>
      <c r="Q101" s="24">
        <f t="shared" si="30"/>
        <v>1.1000000000000001</v>
      </c>
      <c r="R101" s="711">
        <f t="shared" si="31"/>
        <v>0</v>
      </c>
      <c r="S101" s="360">
        <f t="shared" si="22"/>
        <v>0</v>
      </c>
    </row>
    <row r="102" spans="1:19">
      <c r="A102" s="2940"/>
      <c r="B102" s="2941"/>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t="s">
        <v>3183</v>
      </c>
      <c r="Q102" s="24">
        <f t="shared" si="30"/>
        <v>1.1000000000000001</v>
      </c>
      <c r="R102" s="711">
        <f t="shared" si="31"/>
        <v>0</v>
      </c>
      <c r="S102" s="360">
        <f t="shared" si="22"/>
        <v>0</v>
      </c>
    </row>
    <row r="103" spans="1:19">
      <c r="A103" s="158"/>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t="s">
        <v>3183</v>
      </c>
      <c r="Q103" s="24">
        <f t="shared" si="30"/>
        <v>1.1000000000000001</v>
      </c>
      <c r="R103" s="711">
        <f t="shared" si="31"/>
        <v>0</v>
      </c>
      <c r="S103" s="360">
        <f t="shared" si="22"/>
        <v>0</v>
      </c>
    </row>
    <row r="104" spans="1:19">
      <c r="A104" s="158"/>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t="s">
        <v>3183</v>
      </c>
      <c r="Q104" s="24">
        <f t="shared" si="30"/>
        <v>1.1000000000000001</v>
      </c>
      <c r="R104" s="711">
        <f t="shared" si="31"/>
        <v>0</v>
      </c>
      <c r="S104" s="360">
        <f t="shared" si="22"/>
        <v>0</v>
      </c>
    </row>
    <row r="105" spans="1:19">
      <c r="A105" s="158"/>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t="s">
        <v>3183</v>
      </c>
      <c r="Q105" s="24">
        <f t="shared" si="30"/>
        <v>1.1000000000000001</v>
      </c>
      <c r="R105" s="711">
        <f t="shared" si="31"/>
        <v>0</v>
      </c>
      <c r="S105" s="360">
        <f t="shared" si="22"/>
        <v>0</v>
      </c>
    </row>
    <row r="106" spans="1:19">
      <c r="A106" s="158"/>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t="s">
        <v>3183</v>
      </c>
      <c r="Q106" s="24">
        <f t="shared" si="30"/>
        <v>1.1000000000000001</v>
      </c>
      <c r="R106" s="711">
        <f t="shared" si="31"/>
        <v>0</v>
      </c>
      <c r="S106" s="360">
        <f t="shared" si="22"/>
        <v>0</v>
      </c>
    </row>
    <row r="107" spans="1:19">
      <c r="A107" s="158"/>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t="s">
        <v>3183</v>
      </c>
      <c r="Q107" s="24">
        <f t="shared" si="30"/>
        <v>1.1000000000000001</v>
      </c>
      <c r="R107" s="711">
        <f t="shared" si="31"/>
        <v>0</v>
      </c>
      <c r="S107" s="360">
        <f t="shared" si="22"/>
        <v>0</v>
      </c>
    </row>
    <row r="108" spans="1:19">
      <c r="A108" s="158"/>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t="s">
        <v>3183</v>
      </c>
      <c r="Q108" s="24">
        <f t="shared" si="30"/>
        <v>1.1000000000000001</v>
      </c>
      <c r="R108" s="711">
        <f t="shared" si="31"/>
        <v>0</v>
      </c>
      <c r="S108" s="360">
        <f t="shared" si="22"/>
        <v>0</v>
      </c>
    </row>
    <row r="109" spans="1:19">
      <c r="A109" s="158"/>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0.3</v>
      </c>
      <c r="R109" s="711">
        <f t="shared" si="31"/>
        <v>0</v>
      </c>
      <c r="S109" s="360">
        <f t="shared" si="22"/>
        <v>0</v>
      </c>
    </row>
    <row r="110" spans="1:19">
      <c r="A110" s="158"/>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0.3</v>
      </c>
      <c r="R110" s="711">
        <f t="shared" si="31"/>
        <v>0</v>
      </c>
      <c r="S110" s="360">
        <f t="shared" si="22"/>
        <v>0</v>
      </c>
    </row>
    <row r="111" spans="1:19">
      <c r="A111" s="158"/>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0.3</v>
      </c>
      <c r="R111" s="711">
        <f t="shared" si="31"/>
        <v>0</v>
      </c>
      <c r="S111" s="360">
        <f t="shared" si="22"/>
        <v>0</v>
      </c>
    </row>
    <row r="112" spans="1:19">
      <c r="A112" s="158"/>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0.3</v>
      </c>
      <c r="R112" s="711">
        <f t="shared" si="31"/>
        <v>0</v>
      </c>
      <c r="S112" s="360">
        <f t="shared" si="22"/>
        <v>0</v>
      </c>
    </row>
    <row r="113" spans="1:19">
      <c r="A113" s="158"/>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0.3</v>
      </c>
      <c r="R113" s="711">
        <f t="shared" si="31"/>
        <v>0</v>
      </c>
      <c r="S113" s="360">
        <f t="shared" si="22"/>
        <v>0</v>
      </c>
    </row>
    <row r="114" spans="1:19">
      <c r="A114" s="158"/>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0.3</v>
      </c>
      <c r="R114" s="711">
        <f t="shared" si="31"/>
        <v>0</v>
      </c>
      <c r="S114" s="360">
        <f t="shared" si="22"/>
        <v>0</v>
      </c>
    </row>
    <row r="115" spans="1:19">
      <c r="A115" s="158"/>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0.3</v>
      </c>
      <c r="R115" s="711">
        <f t="shared" si="31"/>
        <v>0</v>
      </c>
      <c r="S115" s="360">
        <f t="shared" si="22"/>
        <v>0</v>
      </c>
    </row>
    <row r="116" spans="1:19">
      <c r="A116" s="158"/>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0.3</v>
      </c>
      <c r="R116" s="711">
        <f t="shared" si="31"/>
        <v>0</v>
      </c>
      <c r="S116" s="360">
        <f t="shared" si="22"/>
        <v>0</v>
      </c>
    </row>
    <row r="117" spans="1:19">
      <c r="A117" s="158"/>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0.3</v>
      </c>
      <c r="R117" s="711">
        <f t="shared" si="31"/>
        <v>0</v>
      </c>
      <c r="S117" s="360">
        <f t="shared" si="22"/>
        <v>0</v>
      </c>
    </row>
    <row r="118" spans="1:19">
      <c r="A118" s="158"/>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0.3</v>
      </c>
      <c r="R118" s="711">
        <f t="shared" si="31"/>
        <v>0</v>
      </c>
      <c r="S118" s="360">
        <f t="shared" si="22"/>
        <v>0</v>
      </c>
    </row>
    <row r="119" spans="1:19">
      <c r="A119" s="158"/>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0.3</v>
      </c>
      <c r="R119" s="711">
        <f t="shared" si="31"/>
        <v>0</v>
      </c>
      <c r="S119" s="360">
        <f t="shared" si="22"/>
        <v>0</v>
      </c>
    </row>
    <row r="120" spans="1:19">
      <c r="A120" s="158"/>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0.3</v>
      </c>
      <c r="R120" s="711">
        <f t="shared" si="31"/>
        <v>0</v>
      </c>
      <c r="S120" s="360">
        <f t="shared" si="22"/>
        <v>0</v>
      </c>
    </row>
    <row r="121" spans="1:19">
      <c r="A121" s="158"/>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0.3</v>
      </c>
      <c r="R121" s="711">
        <f t="shared" si="31"/>
        <v>0</v>
      </c>
      <c r="S121" s="360">
        <f t="shared" si="22"/>
        <v>0</v>
      </c>
    </row>
    <row r="122" spans="1:19">
      <c r="A122" s="158"/>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0.3</v>
      </c>
      <c r="R122" s="711">
        <f t="shared" si="31"/>
        <v>0</v>
      </c>
      <c r="S122" s="360">
        <f t="shared" si="22"/>
        <v>0</v>
      </c>
    </row>
    <row r="123" spans="1:19">
      <c r="A123" s="158"/>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0.3</v>
      </c>
      <c r="R123" s="711">
        <f t="shared" si="31"/>
        <v>0</v>
      </c>
      <c r="S123" s="360">
        <f t="shared" ref="S123:S186" si="32">ROUND(R123*B123/10000,0)</f>
        <v>0</v>
      </c>
    </row>
    <row r="124" spans="1:19">
      <c r="A124" s="158"/>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0.3</v>
      </c>
      <c r="R124" s="711">
        <f t="shared" si="31"/>
        <v>0</v>
      </c>
      <c r="S124" s="360">
        <f t="shared" si="32"/>
        <v>0</v>
      </c>
    </row>
    <row r="125" spans="1:19">
      <c r="A125" s="158"/>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0.3</v>
      </c>
      <c r="R125" s="711">
        <f t="shared" si="31"/>
        <v>0</v>
      </c>
      <c r="S125" s="360">
        <f t="shared" si="32"/>
        <v>0</v>
      </c>
    </row>
    <row r="126" spans="1:19">
      <c r="A126" s="158"/>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0.3</v>
      </c>
      <c r="R126" s="711">
        <f t="shared" si="31"/>
        <v>0</v>
      </c>
      <c r="S126" s="360">
        <f t="shared" si="32"/>
        <v>0</v>
      </c>
    </row>
    <row r="127" spans="1:19">
      <c r="A127" s="158"/>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0.3</v>
      </c>
      <c r="R127" s="711">
        <f t="shared" si="31"/>
        <v>0</v>
      </c>
      <c r="S127" s="360">
        <f t="shared" si="32"/>
        <v>0</v>
      </c>
    </row>
    <row r="128" spans="1:19">
      <c r="A128" s="158"/>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0.3</v>
      </c>
      <c r="R128" s="711">
        <f t="shared" si="31"/>
        <v>0</v>
      </c>
      <c r="S128" s="360">
        <f t="shared" si="32"/>
        <v>0</v>
      </c>
    </row>
    <row r="129" spans="1:19">
      <c r="A129" s="158"/>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0.3</v>
      </c>
      <c r="R129" s="711">
        <f t="shared" si="31"/>
        <v>0</v>
      </c>
      <c r="S129" s="360">
        <f t="shared" si="32"/>
        <v>0</v>
      </c>
    </row>
    <row r="130" spans="1:19">
      <c r="A130" s="158"/>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0.3</v>
      </c>
      <c r="R130" s="711">
        <f t="shared" si="31"/>
        <v>0</v>
      </c>
      <c r="S130" s="360">
        <f t="shared" si="32"/>
        <v>0</v>
      </c>
    </row>
    <row r="131" spans="1:19">
      <c r="A131" s="158"/>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0.3</v>
      </c>
      <c r="R131" s="711">
        <f t="shared" si="31"/>
        <v>0</v>
      </c>
      <c r="S131" s="360">
        <f t="shared" si="32"/>
        <v>0</v>
      </c>
    </row>
    <row r="132" spans="1:19">
      <c r="A132" s="158"/>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0.3</v>
      </c>
      <c r="R132" s="711">
        <f t="shared" si="31"/>
        <v>0</v>
      </c>
      <c r="S132" s="360">
        <f t="shared" si="32"/>
        <v>0</v>
      </c>
    </row>
    <row r="133" spans="1:19">
      <c r="A133" s="158"/>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0.3</v>
      </c>
      <c r="R133" s="711">
        <f t="shared" si="31"/>
        <v>0</v>
      </c>
      <c r="S133" s="360">
        <f t="shared" si="32"/>
        <v>0</v>
      </c>
    </row>
    <row r="134" spans="1:19">
      <c r="A134" s="158"/>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0.3</v>
      </c>
      <c r="R134" s="711">
        <f t="shared" si="31"/>
        <v>0</v>
      </c>
      <c r="S134" s="360">
        <f t="shared" si="32"/>
        <v>0</v>
      </c>
    </row>
    <row r="135" spans="1:19">
      <c r="A135" s="158"/>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0.3</v>
      </c>
      <c r="R135" s="711">
        <f t="shared" si="31"/>
        <v>0</v>
      </c>
      <c r="S135" s="360">
        <f t="shared" si="32"/>
        <v>0</v>
      </c>
    </row>
    <row r="136" spans="1:19">
      <c r="A136" s="158"/>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0.3</v>
      </c>
      <c r="R136" s="711">
        <f t="shared" si="31"/>
        <v>0</v>
      </c>
      <c r="S136" s="360">
        <f t="shared" si="32"/>
        <v>0</v>
      </c>
    </row>
    <row r="137" spans="1:19">
      <c r="A137" s="158"/>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0.3</v>
      </c>
      <c r="R137" s="711">
        <f t="shared" si="31"/>
        <v>0</v>
      </c>
      <c r="S137" s="360">
        <f t="shared" si="32"/>
        <v>0</v>
      </c>
    </row>
    <row r="138" spans="1:19">
      <c r="A138" s="158"/>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0.3</v>
      </c>
      <c r="R138" s="711">
        <f t="shared" si="31"/>
        <v>0</v>
      </c>
      <c r="S138" s="360">
        <f t="shared" si="32"/>
        <v>0</v>
      </c>
    </row>
    <row r="139" spans="1:19">
      <c r="A139" s="158"/>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0.3</v>
      </c>
      <c r="R139" s="711">
        <f t="shared" si="31"/>
        <v>0</v>
      </c>
      <c r="S139" s="360">
        <f t="shared" si="32"/>
        <v>0</v>
      </c>
    </row>
    <row r="140" spans="1:19">
      <c r="A140" s="158"/>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0.3</v>
      </c>
      <c r="R140" s="711">
        <f t="shared" si="31"/>
        <v>0</v>
      </c>
      <c r="S140" s="360">
        <f t="shared" si="32"/>
        <v>0</v>
      </c>
    </row>
    <row r="141" spans="1:19">
      <c r="A141" s="158"/>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0.3</v>
      </c>
      <c r="R141" s="711">
        <f t="shared" si="31"/>
        <v>0</v>
      </c>
      <c r="S141" s="360">
        <f t="shared" si="32"/>
        <v>0</v>
      </c>
    </row>
    <row r="142" spans="1:19">
      <c r="A142" s="158"/>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0.3</v>
      </c>
      <c r="R142" s="711">
        <f t="shared" si="31"/>
        <v>0</v>
      </c>
      <c r="S142" s="360">
        <f t="shared" si="32"/>
        <v>0</v>
      </c>
    </row>
    <row r="143" spans="1:19">
      <c r="A143" s="158"/>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0.3</v>
      </c>
      <c r="R143" s="711">
        <f t="shared" si="31"/>
        <v>0</v>
      </c>
      <c r="S143" s="360">
        <f t="shared" si="32"/>
        <v>0</v>
      </c>
    </row>
    <row r="144" spans="1:19">
      <c r="A144" s="158"/>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0.3</v>
      </c>
      <c r="R144" s="711">
        <f t="shared" si="31"/>
        <v>0</v>
      </c>
      <c r="S144" s="360">
        <f t="shared" si="32"/>
        <v>0</v>
      </c>
    </row>
    <row r="145" spans="1:19">
      <c r="A145" s="158"/>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0.3</v>
      </c>
      <c r="R145" s="711">
        <f t="shared" si="31"/>
        <v>0</v>
      </c>
      <c r="S145" s="360">
        <f t="shared" si="32"/>
        <v>0</v>
      </c>
    </row>
    <row r="146" spans="1:19">
      <c r="A146" s="158"/>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0.3</v>
      </c>
      <c r="R146" s="711">
        <f t="shared" si="31"/>
        <v>0</v>
      </c>
      <c r="S146" s="360">
        <f t="shared" si="32"/>
        <v>0</v>
      </c>
    </row>
    <row r="147" spans="1:19">
      <c r="A147" s="158"/>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0.3</v>
      </c>
      <c r="R147" s="711">
        <f t="shared" si="31"/>
        <v>0</v>
      </c>
      <c r="S147" s="360">
        <f t="shared" si="32"/>
        <v>0</v>
      </c>
    </row>
    <row r="148" spans="1:19">
      <c r="A148" s="158"/>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0.3</v>
      </c>
      <c r="R148" s="711">
        <f t="shared" si="31"/>
        <v>0</v>
      </c>
      <c r="S148" s="360">
        <f t="shared" si="32"/>
        <v>0</v>
      </c>
    </row>
    <row r="149" spans="1:19">
      <c r="A149" s="158"/>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0.3</v>
      </c>
      <c r="R149" s="711">
        <f t="shared" si="31"/>
        <v>0</v>
      </c>
      <c r="S149" s="360">
        <f t="shared" si="32"/>
        <v>0</v>
      </c>
    </row>
    <row r="150" spans="1:19">
      <c r="A150" s="158"/>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0.3</v>
      </c>
      <c r="R150" s="711">
        <f t="shared" si="31"/>
        <v>0</v>
      </c>
      <c r="S150" s="360">
        <f t="shared" si="32"/>
        <v>0</v>
      </c>
    </row>
    <row r="151" spans="1:19">
      <c r="A151" s="158"/>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0.3</v>
      </c>
      <c r="R151" s="711">
        <f t="shared" si="31"/>
        <v>0</v>
      </c>
      <c r="S151" s="360">
        <f t="shared" si="32"/>
        <v>0</v>
      </c>
    </row>
    <row r="152" spans="1:19">
      <c r="A152" s="158"/>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0.3</v>
      </c>
      <c r="R152" s="711">
        <f t="shared" si="31"/>
        <v>0</v>
      </c>
      <c r="S152" s="360">
        <f t="shared" si="32"/>
        <v>0</v>
      </c>
    </row>
    <row r="153" spans="1:19">
      <c r="A153" s="158"/>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0.3</v>
      </c>
      <c r="R153" s="711">
        <f t="shared" si="31"/>
        <v>0</v>
      </c>
      <c r="S153" s="360">
        <f t="shared" si="32"/>
        <v>0</v>
      </c>
    </row>
    <row r="154" spans="1:19">
      <c r="A154" s="158"/>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0.3</v>
      </c>
      <c r="R154" s="711">
        <f t="shared" ref="R154:R217" si="41">IF(B154="",0,ROUND($R$24*C154*E154*G154*I154*K154*M154*O154*Q154,0))</f>
        <v>0</v>
      </c>
      <c r="S154" s="360">
        <f t="shared" si="32"/>
        <v>0</v>
      </c>
    </row>
    <row r="155" spans="1:19">
      <c r="A155" s="158"/>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0.3</v>
      </c>
      <c r="R155" s="711">
        <f t="shared" si="41"/>
        <v>0</v>
      </c>
      <c r="S155" s="360">
        <f t="shared" si="32"/>
        <v>0</v>
      </c>
    </row>
    <row r="156" spans="1:19">
      <c r="A156" s="158"/>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0.3</v>
      </c>
      <c r="R156" s="711">
        <f t="shared" si="41"/>
        <v>0</v>
      </c>
      <c r="S156" s="360">
        <f t="shared" si="32"/>
        <v>0</v>
      </c>
    </row>
    <row r="157" spans="1:19">
      <c r="A157" s="158"/>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0.3</v>
      </c>
      <c r="R157" s="711">
        <f t="shared" si="41"/>
        <v>0</v>
      </c>
      <c r="S157" s="360">
        <f t="shared" si="32"/>
        <v>0</v>
      </c>
    </row>
    <row r="158" spans="1:19">
      <c r="A158" s="158"/>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0.3</v>
      </c>
      <c r="R158" s="711">
        <f t="shared" si="41"/>
        <v>0</v>
      </c>
      <c r="S158" s="360">
        <f t="shared" si="32"/>
        <v>0</v>
      </c>
    </row>
    <row r="159" spans="1:19">
      <c r="A159" s="158"/>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0.3</v>
      </c>
      <c r="R159" s="711">
        <f t="shared" si="41"/>
        <v>0</v>
      </c>
      <c r="S159" s="360">
        <f t="shared" si="32"/>
        <v>0</v>
      </c>
    </row>
    <row r="160" spans="1:19">
      <c r="A160" s="158"/>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0.3</v>
      </c>
      <c r="R160" s="711">
        <f t="shared" si="41"/>
        <v>0</v>
      </c>
      <c r="S160" s="360">
        <f t="shared" si="32"/>
        <v>0</v>
      </c>
    </row>
    <row r="161" spans="1:19">
      <c r="A161" s="158"/>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0.3</v>
      </c>
      <c r="R161" s="711">
        <f t="shared" si="41"/>
        <v>0</v>
      </c>
      <c r="S161" s="360">
        <f t="shared" si="32"/>
        <v>0</v>
      </c>
    </row>
    <row r="162" spans="1:19">
      <c r="A162" s="158"/>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0.3</v>
      </c>
      <c r="R162" s="711">
        <f t="shared" si="41"/>
        <v>0</v>
      </c>
      <c r="S162" s="360">
        <f t="shared" si="32"/>
        <v>0</v>
      </c>
    </row>
    <row r="163" spans="1:19">
      <c r="A163" s="158"/>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0.3</v>
      </c>
      <c r="R163" s="711">
        <f t="shared" si="41"/>
        <v>0</v>
      </c>
      <c r="S163" s="360">
        <f t="shared" si="32"/>
        <v>0</v>
      </c>
    </row>
    <row r="164" spans="1:19">
      <c r="A164" s="158"/>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0.3</v>
      </c>
      <c r="R164" s="711">
        <f t="shared" si="41"/>
        <v>0</v>
      </c>
      <c r="S164" s="360">
        <f t="shared" si="32"/>
        <v>0</v>
      </c>
    </row>
    <row r="165" spans="1:19">
      <c r="A165" s="158"/>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0.3</v>
      </c>
      <c r="R165" s="711">
        <f t="shared" si="41"/>
        <v>0</v>
      </c>
      <c r="S165" s="360">
        <f t="shared" si="32"/>
        <v>0</v>
      </c>
    </row>
    <row r="166" spans="1:19">
      <c r="A166" s="158"/>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0.3</v>
      </c>
      <c r="R166" s="711">
        <f t="shared" si="41"/>
        <v>0</v>
      </c>
      <c r="S166" s="360">
        <f t="shared" si="32"/>
        <v>0</v>
      </c>
    </row>
    <row r="167" spans="1:19">
      <c r="A167" s="158"/>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0.3</v>
      </c>
      <c r="R167" s="711">
        <f t="shared" si="41"/>
        <v>0</v>
      </c>
      <c r="S167" s="360">
        <f t="shared" si="32"/>
        <v>0</v>
      </c>
    </row>
    <row r="168" spans="1:19">
      <c r="A168" s="158"/>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0.3</v>
      </c>
      <c r="R168" s="711">
        <f t="shared" si="41"/>
        <v>0</v>
      </c>
      <c r="S168" s="360">
        <f t="shared" si="32"/>
        <v>0</v>
      </c>
    </row>
    <row r="169" spans="1:19">
      <c r="A169" s="158"/>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0.3</v>
      </c>
      <c r="R169" s="711">
        <f t="shared" si="41"/>
        <v>0</v>
      </c>
      <c r="S169" s="360">
        <f t="shared" si="32"/>
        <v>0</v>
      </c>
    </row>
    <row r="170" spans="1:19">
      <c r="A170" s="158"/>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0.3</v>
      </c>
      <c r="R170" s="711">
        <f t="shared" si="41"/>
        <v>0</v>
      </c>
      <c r="S170" s="360">
        <f t="shared" si="32"/>
        <v>0</v>
      </c>
    </row>
    <row r="171" spans="1:19">
      <c r="A171" s="158"/>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0.3</v>
      </c>
      <c r="R171" s="711">
        <f t="shared" si="41"/>
        <v>0</v>
      </c>
      <c r="S171" s="360">
        <f t="shared" si="32"/>
        <v>0</v>
      </c>
    </row>
    <row r="172" spans="1:19">
      <c r="A172" s="158"/>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0.3</v>
      </c>
      <c r="R172" s="711">
        <f t="shared" si="41"/>
        <v>0</v>
      </c>
      <c r="S172" s="360">
        <f t="shared" si="32"/>
        <v>0</v>
      </c>
    </row>
    <row r="173" spans="1:19">
      <c r="A173" s="158"/>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0.3</v>
      </c>
      <c r="R173" s="711">
        <f t="shared" si="41"/>
        <v>0</v>
      </c>
      <c r="S173" s="360">
        <f t="shared" si="32"/>
        <v>0</v>
      </c>
    </row>
    <row r="174" spans="1:19">
      <c r="A174" s="158"/>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0.3</v>
      </c>
      <c r="R174" s="711">
        <f t="shared" si="41"/>
        <v>0</v>
      </c>
      <c r="S174" s="360">
        <f t="shared" si="32"/>
        <v>0</v>
      </c>
    </row>
    <row r="175" spans="1:19">
      <c r="A175" s="158"/>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0.3</v>
      </c>
      <c r="R175" s="711">
        <f t="shared" si="41"/>
        <v>0</v>
      </c>
      <c r="S175" s="360">
        <f t="shared" si="32"/>
        <v>0</v>
      </c>
    </row>
    <row r="176" spans="1:19">
      <c r="A176" s="158"/>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0.3</v>
      </c>
      <c r="R176" s="711">
        <f t="shared" si="41"/>
        <v>0</v>
      </c>
      <c r="S176" s="360">
        <f t="shared" si="32"/>
        <v>0</v>
      </c>
    </row>
    <row r="177" spans="1:19">
      <c r="A177" s="158"/>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0.3</v>
      </c>
      <c r="R177" s="711">
        <f t="shared" si="41"/>
        <v>0</v>
      </c>
      <c r="S177" s="360">
        <f t="shared" si="32"/>
        <v>0</v>
      </c>
    </row>
    <row r="178" spans="1:19">
      <c r="A178" s="158"/>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0.3</v>
      </c>
      <c r="R178" s="711">
        <f t="shared" si="41"/>
        <v>0</v>
      </c>
      <c r="S178" s="360">
        <f t="shared" si="32"/>
        <v>0</v>
      </c>
    </row>
    <row r="179" spans="1:19">
      <c r="A179" s="158"/>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0.3</v>
      </c>
      <c r="R179" s="711">
        <f t="shared" si="41"/>
        <v>0</v>
      </c>
      <c r="S179" s="360">
        <f t="shared" si="32"/>
        <v>0</v>
      </c>
    </row>
    <row r="180" spans="1:19">
      <c r="A180" s="158"/>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0.3</v>
      </c>
      <c r="R180" s="711">
        <f t="shared" si="41"/>
        <v>0</v>
      </c>
      <c r="S180" s="360">
        <f t="shared" si="32"/>
        <v>0</v>
      </c>
    </row>
    <row r="181" spans="1:19">
      <c r="A181" s="158"/>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0.3</v>
      </c>
      <c r="R181" s="711">
        <f t="shared" si="41"/>
        <v>0</v>
      </c>
      <c r="S181" s="360">
        <f t="shared" si="32"/>
        <v>0</v>
      </c>
    </row>
    <row r="182" spans="1:19">
      <c r="A182" s="158"/>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0.3</v>
      </c>
      <c r="R182" s="711">
        <f t="shared" si="41"/>
        <v>0</v>
      </c>
      <c r="S182" s="360">
        <f t="shared" si="32"/>
        <v>0</v>
      </c>
    </row>
    <row r="183" spans="1:19">
      <c r="A183" s="158"/>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0.3</v>
      </c>
      <c r="R183" s="711">
        <f t="shared" si="41"/>
        <v>0</v>
      </c>
      <c r="S183" s="360">
        <f t="shared" si="32"/>
        <v>0</v>
      </c>
    </row>
    <row r="184" spans="1:19">
      <c r="A184" s="158"/>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0.3</v>
      </c>
      <c r="R184" s="711">
        <f t="shared" si="41"/>
        <v>0</v>
      </c>
      <c r="S184" s="360">
        <f t="shared" si="32"/>
        <v>0</v>
      </c>
    </row>
    <row r="185" spans="1:19">
      <c r="A185" s="158"/>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0.3</v>
      </c>
      <c r="R185" s="711">
        <f t="shared" si="41"/>
        <v>0</v>
      </c>
      <c r="S185" s="360">
        <f t="shared" si="32"/>
        <v>0</v>
      </c>
    </row>
    <row r="186" spans="1:19">
      <c r="A186" s="158"/>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0.3</v>
      </c>
      <c r="R186" s="711">
        <f t="shared" si="41"/>
        <v>0</v>
      </c>
      <c r="S186" s="360">
        <f t="shared" si="32"/>
        <v>0</v>
      </c>
    </row>
    <row r="187" spans="1:19">
      <c r="A187" s="158"/>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0.3</v>
      </c>
      <c r="R187" s="711">
        <f t="shared" si="41"/>
        <v>0</v>
      </c>
      <c r="S187" s="360">
        <f t="shared" ref="S187:S222" si="42">ROUND(R187*B187/10000,0)</f>
        <v>0</v>
      </c>
    </row>
    <row r="188" spans="1:19">
      <c r="A188" s="158"/>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0.3</v>
      </c>
      <c r="R188" s="711">
        <f t="shared" si="41"/>
        <v>0</v>
      </c>
      <c r="S188" s="360">
        <f t="shared" si="42"/>
        <v>0</v>
      </c>
    </row>
    <row r="189" spans="1:19">
      <c r="A189" s="158"/>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0.3</v>
      </c>
      <c r="R189" s="711">
        <f t="shared" si="41"/>
        <v>0</v>
      </c>
      <c r="S189" s="360">
        <f t="shared" si="42"/>
        <v>0</v>
      </c>
    </row>
    <row r="190" spans="1:19">
      <c r="A190" s="158"/>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0.3</v>
      </c>
      <c r="R190" s="711">
        <f t="shared" si="41"/>
        <v>0</v>
      </c>
      <c r="S190" s="360">
        <f t="shared" si="42"/>
        <v>0</v>
      </c>
    </row>
    <row r="191" spans="1:19">
      <c r="A191" s="158"/>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0.3</v>
      </c>
      <c r="R191" s="711">
        <f t="shared" si="41"/>
        <v>0</v>
      </c>
      <c r="S191" s="360">
        <f t="shared" si="42"/>
        <v>0</v>
      </c>
    </row>
    <row r="192" spans="1:19">
      <c r="A192" s="158"/>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0.3</v>
      </c>
      <c r="R192" s="711">
        <f t="shared" si="41"/>
        <v>0</v>
      </c>
      <c r="S192" s="360">
        <f t="shared" si="42"/>
        <v>0</v>
      </c>
    </row>
    <row r="193" spans="1:19">
      <c r="A193" s="158"/>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0.3</v>
      </c>
      <c r="R193" s="711">
        <f t="shared" si="41"/>
        <v>0</v>
      </c>
      <c r="S193" s="360">
        <f t="shared" si="42"/>
        <v>0</v>
      </c>
    </row>
    <row r="194" spans="1:19">
      <c r="A194" s="158"/>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0.3</v>
      </c>
      <c r="R194" s="711">
        <f t="shared" si="41"/>
        <v>0</v>
      </c>
      <c r="S194" s="360">
        <f t="shared" si="42"/>
        <v>0</v>
      </c>
    </row>
    <row r="195" spans="1:19">
      <c r="A195" s="158"/>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0.3</v>
      </c>
      <c r="R195" s="711">
        <f t="shared" si="41"/>
        <v>0</v>
      </c>
      <c r="S195" s="360">
        <f t="shared" si="42"/>
        <v>0</v>
      </c>
    </row>
    <row r="196" spans="1:19">
      <c r="A196" s="158"/>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0.3</v>
      </c>
      <c r="R196" s="711">
        <f t="shared" si="41"/>
        <v>0</v>
      </c>
      <c r="S196" s="360">
        <f t="shared" si="42"/>
        <v>0</v>
      </c>
    </row>
    <row r="197" spans="1:19">
      <c r="A197" s="158"/>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0.3</v>
      </c>
      <c r="R197" s="711">
        <f t="shared" si="41"/>
        <v>0</v>
      </c>
      <c r="S197" s="360">
        <f t="shared" si="42"/>
        <v>0</v>
      </c>
    </row>
    <row r="198" spans="1:19">
      <c r="A198" s="158"/>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0.3</v>
      </c>
      <c r="R198" s="711">
        <f t="shared" si="41"/>
        <v>0</v>
      </c>
      <c r="S198" s="360">
        <f t="shared" si="42"/>
        <v>0</v>
      </c>
    </row>
    <row r="199" spans="1:19">
      <c r="A199" s="158"/>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0.3</v>
      </c>
      <c r="R199" s="711">
        <f t="shared" si="41"/>
        <v>0</v>
      </c>
      <c r="S199" s="360">
        <f t="shared" si="42"/>
        <v>0</v>
      </c>
    </row>
    <row r="200" spans="1:19">
      <c r="A200" s="158"/>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0.3</v>
      </c>
      <c r="R200" s="711">
        <f t="shared" si="41"/>
        <v>0</v>
      </c>
      <c r="S200" s="360">
        <f t="shared" si="42"/>
        <v>0</v>
      </c>
    </row>
    <row r="201" spans="1:19">
      <c r="A201" s="158"/>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0.3</v>
      </c>
      <c r="R201" s="711">
        <f t="shared" si="41"/>
        <v>0</v>
      </c>
      <c r="S201" s="360">
        <f t="shared" si="42"/>
        <v>0</v>
      </c>
    </row>
    <row r="202" spans="1:19">
      <c r="A202" s="158"/>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0.3</v>
      </c>
      <c r="R202" s="711">
        <f t="shared" si="41"/>
        <v>0</v>
      </c>
      <c r="S202" s="360">
        <f t="shared" si="42"/>
        <v>0</v>
      </c>
    </row>
    <row r="203" spans="1:19">
      <c r="A203" s="158"/>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0.3</v>
      </c>
      <c r="R203" s="711">
        <f t="shared" si="41"/>
        <v>0</v>
      </c>
      <c r="S203" s="360">
        <f t="shared" si="42"/>
        <v>0</v>
      </c>
    </row>
    <row r="204" spans="1:19">
      <c r="A204" s="158"/>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0.3</v>
      </c>
      <c r="R204" s="711">
        <f t="shared" si="41"/>
        <v>0</v>
      </c>
      <c r="S204" s="360">
        <f t="shared" si="42"/>
        <v>0</v>
      </c>
    </row>
    <row r="205" spans="1:19">
      <c r="A205" s="158"/>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0.3</v>
      </c>
      <c r="R205" s="711">
        <f t="shared" si="41"/>
        <v>0</v>
      </c>
      <c r="S205" s="360">
        <f t="shared" si="42"/>
        <v>0</v>
      </c>
    </row>
    <row r="206" spans="1:19">
      <c r="A206" s="158"/>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0.3</v>
      </c>
      <c r="R206" s="711">
        <f t="shared" si="41"/>
        <v>0</v>
      </c>
      <c r="S206" s="360">
        <f t="shared" si="42"/>
        <v>0</v>
      </c>
    </row>
    <row r="207" spans="1:19">
      <c r="A207" s="158"/>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0.3</v>
      </c>
      <c r="R207" s="711">
        <f t="shared" si="41"/>
        <v>0</v>
      </c>
      <c r="S207" s="360">
        <f t="shared" si="42"/>
        <v>0</v>
      </c>
    </row>
    <row r="208" spans="1:19">
      <c r="A208" s="158"/>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0.3</v>
      </c>
      <c r="R208" s="711">
        <f t="shared" si="41"/>
        <v>0</v>
      </c>
      <c r="S208" s="360">
        <f t="shared" si="42"/>
        <v>0</v>
      </c>
    </row>
    <row r="209" spans="1:19">
      <c r="A209" s="158"/>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0.3</v>
      </c>
      <c r="R209" s="711">
        <f t="shared" si="41"/>
        <v>0</v>
      </c>
      <c r="S209" s="360">
        <f t="shared" si="42"/>
        <v>0</v>
      </c>
    </row>
    <row r="210" spans="1:19">
      <c r="A210" s="158"/>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0.3</v>
      </c>
      <c r="R210" s="711">
        <f t="shared" si="41"/>
        <v>0</v>
      </c>
      <c r="S210" s="360">
        <f t="shared" si="42"/>
        <v>0</v>
      </c>
    </row>
    <row r="211" spans="1:19">
      <c r="A211" s="158"/>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0.3</v>
      </c>
      <c r="R211" s="711">
        <f t="shared" si="41"/>
        <v>0</v>
      </c>
      <c r="S211" s="360">
        <f t="shared" si="42"/>
        <v>0</v>
      </c>
    </row>
    <row r="212" spans="1:19">
      <c r="A212" s="158"/>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0.3</v>
      </c>
      <c r="R212" s="711">
        <f t="shared" si="41"/>
        <v>0</v>
      </c>
      <c r="S212" s="360">
        <f t="shared" si="42"/>
        <v>0</v>
      </c>
    </row>
    <row r="213" spans="1:19">
      <c r="A213" s="158"/>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0.3</v>
      </c>
      <c r="R213" s="711">
        <f t="shared" si="41"/>
        <v>0</v>
      </c>
      <c r="S213" s="360">
        <f t="shared" si="42"/>
        <v>0</v>
      </c>
    </row>
    <row r="214" spans="1:19">
      <c r="A214" s="158"/>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0.3</v>
      </c>
      <c r="R214" s="711">
        <f t="shared" si="41"/>
        <v>0</v>
      </c>
      <c r="S214" s="360">
        <f t="shared" si="42"/>
        <v>0</v>
      </c>
    </row>
    <row r="215" spans="1:19">
      <c r="A215" s="158"/>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0.3</v>
      </c>
      <c r="R215" s="711">
        <f t="shared" si="41"/>
        <v>0</v>
      </c>
      <c r="S215" s="360">
        <f t="shared" si="42"/>
        <v>0</v>
      </c>
    </row>
    <row r="216" spans="1:19">
      <c r="A216" s="158"/>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0.3</v>
      </c>
      <c r="R216" s="711">
        <f t="shared" si="41"/>
        <v>0</v>
      </c>
      <c r="S216" s="360">
        <f t="shared" si="42"/>
        <v>0</v>
      </c>
    </row>
    <row r="217" spans="1:19">
      <c r="A217" s="158"/>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0.3</v>
      </c>
      <c r="R217" s="711">
        <f t="shared" si="41"/>
        <v>0</v>
      </c>
      <c r="S217" s="360">
        <f t="shared" si="42"/>
        <v>0</v>
      </c>
    </row>
    <row r="218" spans="1:19">
      <c r="A218" s="158"/>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0.3</v>
      </c>
      <c r="R218" s="711">
        <f t="shared" ref="R218:R281" si="51">IF(B218="",0,ROUND($R$24*C218*E218*G218*I218*K218*M218*O218*Q218,0))</f>
        <v>0</v>
      </c>
      <c r="S218" s="360">
        <f t="shared" si="42"/>
        <v>0</v>
      </c>
    </row>
    <row r="219" spans="1:19">
      <c r="A219" s="158"/>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0.3</v>
      </c>
      <c r="R219" s="711">
        <f t="shared" si="51"/>
        <v>0</v>
      </c>
      <c r="S219" s="360">
        <f t="shared" si="42"/>
        <v>0</v>
      </c>
    </row>
    <row r="220" spans="1:19">
      <c r="A220" s="158"/>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0.3</v>
      </c>
      <c r="R220" s="711">
        <f t="shared" si="51"/>
        <v>0</v>
      </c>
      <c r="S220" s="360">
        <f t="shared" si="42"/>
        <v>0</v>
      </c>
    </row>
    <row r="221" spans="1:19">
      <c r="A221" s="158"/>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0.3</v>
      </c>
      <c r="R221" s="711">
        <f t="shared" si="51"/>
        <v>0</v>
      </c>
      <c r="S221" s="360">
        <f t="shared" si="42"/>
        <v>0</v>
      </c>
    </row>
    <row r="222" spans="1:19">
      <c r="A222" s="158"/>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0.3</v>
      </c>
      <c r="R222" s="711">
        <f t="shared" si="51"/>
        <v>0</v>
      </c>
      <c r="S222" s="360">
        <f t="shared" si="42"/>
        <v>0</v>
      </c>
    </row>
    <row r="223" spans="1:19">
      <c r="A223" s="158"/>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0.3</v>
      </c>
      <c r="R223" s="711">
        <f t="shared" si="51"/>
        <v>0</v>
      </c>
      <c r="S223" s="360">
        <f t="shared" ref="S223:S286" si="52">ROUND(R223*B223/10000,0)</f>
        <v>0</v>
      </c>
    </row>
    <row r="224" spans="1:19">
      <c r="A224" s="158"/>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0.3</v>
      </c>
      <c r="R224" s="711">
        <f t="shared" si="51"/>
        <v>0</v>
      </c>
      <c r="S224" s="360">
        <f t="shared" si="52"/>
        <v>0</v>
      </c>
    </row>
    <row r="225" spans="1:19">
      <c r="A225" s="158"/>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0.3</v>
      </c>
      <c r="R225" s="711">
        <f t="shared" si="51"/>
        <v>0</v>
      </c>
      <c r="S225" s="360">
        <f t="shared" si="52"/>
        <v>0</v>
      </c>
    </row>
    <row r="226" spans="1:19">
      <c r="A226" s="158"/>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0.3</v>
      </c>
      <c r="R226" s="711">
        <f t="shared" si="51"/>
        <v>0</v>
      </c>
      <c r="S226" s="360">
        <f t="shared" si="52"/>
        <v>0</v>
      </c>
    </row>
    <row r="227" spans="1:19">
      <c r="A227" s="158"/>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0.3</v>
      </c>
      <c r="R227" s="711">
        <f t="shared" si="51"/>
        <v>0</v>
      </c>
      <c r="S227" s="360">
        <f t="shared" si="52"/>
        <v>0</v>
      </c>
    </row>
    <row r="228" spans="1:19">
      <c r="A228" s="158"/>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0.3</v>
      </c>
      <c r="R228" s="711">
        <f t="shared" si="51"/>
        <v>0</v>
      </c>
      <c r="S228" s="360">
        <f t="shared" si="52"/>
        <v>0</v>
      </c>
    </row>
    <row r="229" spans="1:19">
      <c r="A229" s="158"/>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0.3</v>
      </c>
      <c r="R229" s="711">
        <f t="shared" si="51"/>
        <v>0</v>
      </c>
      <c r="S229" s="360">
        <f t="shared" si="52"/>
        <v>0</v>
      </c>
    </row>
    <row r="230" spans="1:19">
      <c r="A230" s="158"/>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0.3</v>
      </c>
      <c r="R230" s="711">
        <f t="shared" si="51"/>
        <v>0</v>
      </c>
      <c r="S230" s="360">
        <f t="shared" si="52"/>
        <v>0</v>
      </c>
    </row>
    <row r="231" spans="1:19">
      <c r="A231" s="158"/>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0.3</v>
      </c>
      <c r="R231" s="711">
        <f t="shared" si="51"/>
        <v>0</v>
      </c>
      <c r="S231" s="360">
        <f t="shared" si="52"/>
        <v>0</v>
      </c>
    </row>
    <row r="232" spans="1:19">
      <c r="A232" s="158"/>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0.3</v>
      </c>
      <c r="R232" s="711">
        <f t="shared" si="51"/>
        <v>0</v>
      </c>
      <c r="S232" s="360">
        <f t="shared" si="52"/>
        <v>0</v>
      </c>
    </row>
    <row r="233" spans="1:19">
      <c r="A233" s="158"/>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0.3</v>
      </c>
      <c r="R233" s="711">
        <f t="shared" si="51"/>
        <v>0</v>
      </c>
      <c r="S233" s="360">
        <f t="shared" si="52"/>
        <v>0</v>
      </c>
    </row>
    <row r="234" spans="1:19">
      <c r="A234" s="158"/>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0.3</v>
      </c>
      <c r="R234" s="711">
        <f t="shared" si="51"/>
        <v>0</v>
      </c>
      <c r="S234" s="360">
        <f t="shared" si="52"/>
        <v>0</v>
      </c>
    </row>
    <row r="235" spans="1:19">
      <c r="A235" s="158"/>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0.3</v>
      </c>
      <c r="R235" s="711">
        <f t="shared" si="51"/>
        <v>0</v>
      </c>
      <c r="S235" s="360">
        <f t="shared" si="52"/>
        <v>0</v>
      </c>
    </row>
    <row r="236" spans="1:19">
      <c r="A236" s="158"/>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0.3</v>
      </c>
      <c r="R236" s="711">
        <f t="shared" si="51"/>
        <v>0</v>
      </c>
      <c r="S236" s="360">
        <f t="shared" si="52"/>
        <v>0</v>
      </c>
    </row>
    <row r="237" spans="1:19">
      <c r="A237" s="158"/>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0.3</v>
      </c>
      <c r="R237" s="711">
        <f t="shared" si="51"/>
        <v>0</v>
      </c>
      <c r="S237" s="360">
        <f t="shared" si="52"/>
        <v>0</v>
      </c>
    </row>
    <row r="238" spans="1:19">
      <c r="A238" s="158"/>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0.3</v>
      </c>
      <c r="R238" s="711">
        <f t="shared" si="51"/>
        <v>0</v>
      </c>
      <c r="S238" s="360">
        <f t="shared" si="52"/>
        <v>0</v>
      </c>
    </row>
    <row r="239" spans="1:19">
      <c r="A239" s="158"/>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0.3</v>
      </c>
      <c r="R239" s="711">
        <f t="shared" si="51"/>
        <v>0</v>
      </c>
      <c r="S239" s="360">
        <f t="shared" si="52"/>
        <v>0</v>
      </c>
    </row>
    <row r="240" spans="1:19">
      <c r="A240" s="158"/>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0.3</v>
      </c>
      <c r="R240" s="711">
        <f t="shared" si="51"/>
        <v>0</v>
      </c>
      <c r="S240" s="360">
        <f t="shared" si="52"/>
        <v>0</v>
      </c>
    </row>
    <row r="241" spans="1:19">
      <c r="A241" s="158"/>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0.3</v>
      </c>
      <c r="R241" s="711">
        <f t="shared" si="51"/>
        <v>0</v>
      </c>
      <c r="S241" s="360">
        <f t="shared" si="52"/>
        <v>0</v>
      </c>
    </row>
    <row r="242" spans="1:19">
      <c r="A242" s="158"/>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0.3</v>
      </c>
      <c r="R242" s="711">
        <f t="shared" si="51"/>
        <v>0</v>
      </c>
      <c r="S242" s="360">
        <f t="shared" si="52"/>
        <v>0</v>
      </c>
    </row>
    <row r="243" spans="1:19">
      <c r="A243" s="158"/>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0.3</v>
      </c>
      <c r="R243" s="711">
        <f t="shared" si="51"/>
        <v>0</v>
      </c>
      <c r="S243" s="360">
        <f t="shared" si="52"/>
        <v>0</v>
      </c>
    </row>
    <row r="244" spans="1:19">
      <c r="A244" s="158"/>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0.3</v>
      </c>
      <c r="R244" s="711">
        <f t="shared" si="51"/>
        <v>0</v>
      </c>
      <c r="S244" s="360">
        <f t="shared" si="52"/>
        <v>0</v>
      </c>
    </row>
    <row r="245" spans="1:19">
      <c r="A245" s="158"/>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0.3</v>
      </c>
      <c r="R245" s="711">
        <f t="shared" si="51"/>
        <v>0</v>
      </c>
      <c r="S245" s="360">
        <f t="shared" si="52"/>
        <v>0</v>
      </c>
    </row>
    <row r="246" spans="1:19">
      <c r="A246" s="158"/>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0.3</v>
      </c>
      <c r="R246" s="711">
        <f t="shared" si="51"/>
        <v>0</v>
      </c>
      <c r="S246" s="360">
        <f t="shared" si="52"/>
        <v>0</v>
      </c>
    </row>
    <row r="247" spans="1:19">
      <c r="A247" s="158"/>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0.3</v>
      </c>
      <c r="R247" s="711">
        <f t="shared" si="51"/>
        <v>0</v>
      </c>
      <c r="S247" s="360">
        <f t="shared" si="52"/>
        <v>0</v>
      </c>
    </row>
    <row r="248" spans="1:19">
      <c r="A248" s="158"/>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0.3</v>
      </c>
      <c r="R248" s="711">
        <f t="shared" si="51"/>
        <v>0</v>
      </c>
      <c r="S248" s="360">
        <f t="shared" si="52"/>
        <v>0</v>
      </c>
    </row>
    <row r="249" spans="1:19">
      <c r="A249" s="158"/>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0.3</v>
      </c>
      <c r="R249" s="711">
        <f t="shared" si="51"/>
        <v>0</v>
      </c>
      <c r="S249" s="360">
        <f t="shared" si="52"/>
        <v>0</v>
      </c>
    </row>
    <row r="250" spans="1:19">
      <c r="A250" s="158"/>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0.3</v>
      </c>
      <c r="R250" s="711">
        <f t="shared" si="51"/>
        <v>0</v>
      </c>
      <c r="S250" s="360">
        <f t="shared" si="52"/>
        <v>0</v>
      </c>
    </row>
    <row r="251" spans="1:19">
      <c r="A251" s="158"/>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0.3</v>
      </c>
      <c r="R251" s="711">
        <f t="shared" si="51"/>
        <v>0</v>
      </c>
      <c r="S251" s="360">
        <f t="shared" si="52"/>
        <v>0</v>
      </c>
    </row>
    <row r="252" spans="1:19">
      <c r="A252" s="158"/>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0.3</v>
      </c>
      <c r="R252" s="711">
        <f t="shared" si="51"/>
        <v>0</v>
      </c>
      <c r="S252" s="360">
        <f t="shared" si="52"/>
        <v>0</v>
      </c>
    </row>
    <row r="253" spans="1:19">
      <c r="A253" s="158"/>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0.3</v>
      </c>
      <c r="R253" s="711">
        <f t="shared" si="51"/>
        <v>0</v>
      </c>
      <c r="S253" s="360">
        <f t="shared" si="52"/>
        <v>0</v>
      </c>
    </row>
    <row r="254" spans="1:19">
      <c r="A254" s="158"/>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0.3</v>
      </c>
      <c r="R254" s="711">
        <f t="shared" si="51"/>
        <v>0</v>
      </c>
      <c r="S254" s="360">
        <f t="shared" si="52"/>
        <v>0</v>
      </c>
    </row>
    <row r="255" spans="1:19">
      <c r="A255" s="158"/>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0.3</v>
      </c>
      <c r="R255" s="711">
        <f t="shared" si="51"/>
        <v>0</v>
      </c>
      <c r="S255" s="360">
        <f t="shared" si="52"/>
        <v>0</v>
      </c>
    </row>
    <row r="256" spans="1:19">
      <c r="A256" s="158"/>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0.3</v>
      </c>
      <c r="R256" s="711">
        <f t="shared" si="51"/>
        <v>0</v>
      </c>
      <c r="S256" s="360">
        <f t="shared" si="52"/>
        <v>0</v>
      </c>
    </row>
    <row r="257" spans="1:19">
      <c r="A257" s="158"/>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0.3</v>
      </c>
      <c r="R257" s="711">
        <f t="shared" si="51"/>
        <v>0</v>
      </c>
      <c r="S257" s="360">
        <f t="shared" si="52"/>
        <v>0</v>
      </c>
    </row>
    <row r="258" spans="1:19">
      <c r="A258" s="158"/>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0.3</v>
      </c>
      <c r="R258" s="711">
        <f t="shared" si="51"/>
        <v>0</v>
      </c>
      <c r="S258" s="360">
        <f t="shared" si="52"/>
        <v>0</v>
      </c>
    </row>
    <row r="259" spans="1:19">
      <c r="A259" s="158"/>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0.3</v>
      </c>
      <c r="R259" s="711">
        <f t="shared" si="51"/>
        <v>0</v>
      </c>
      <c r="S259" s="360">
        <f t="shared" si="52"/>
        <v>0</v>
      </c>
    </row>
    <row r="260" spans="1:19">
      <c r="A260" s="158"/>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0.3</v>
      </c>
      <c r="R260" s="711">
        <f t="shared" si="51"/>
        <v>0</v>
      </c>
      <c r="S260" s="360">
        <f t="shared" si="52"/>
        <v>0</v>
      </c>
    </row>
    <row r="261" spans="1:19">
      <c r="A261" s="158"/>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0.3</v>
      </c>
      <c r="R261" s="711">
        <f t="shared" si="51"/>
        <v>0</v>
      </c>
      <c r="S261" s="360">
        <f t="shared" si="52"/>
        <v>0</v>
      </c>
    </row>
    <row r="262" spans="1:19">
      <c r="A262" s="158"/>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0.3</v>
      </c>
      <c r="R262" s="711">
        <f t="shared" si="51"/>
        <v>0</v>
      </c>
      <c r="S262" s="360">
        <f t="shared" si="52"/>
        <v>0</v>
      </c>
    </row>
    <row r="263" spans="1:19">
      <c r="A263" s="158"/>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0.3</v>
      </c>
      <c r="R263" s="711">
        <f t="shared" si="51"/>
        <v>0</v>
      </c>
      <c r="S263" s="360">
        <f t="shared" si="52"/>
        <v>0</v>
      </c>
    </row>
    <row r="264" spans="1:19">
      <c r="A264" s="158"/>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0.3</v>
      </c>
      <c r="R264" s="711">
        <f t="shared" si="51"/>
        <v>0</v>
      </c>
      <c r="S264" s="360">
        <f t="shared" si="52"/>
        <v>0</v>
      </c>
    </row>
    <row r="265" spans="1:19">
      <c r="A265" s="158"/>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0.3</v>
      </c>
      <c r="R265" s="711">
        <f t="shared" si="51"/>
        <v>0</v>
      </c>
      <c r="S265" s="360">
        <f t="shared" si="52"/>
        <v>0</v>
      </c>
    </row>
    <row r="266" spans="1:19">
      <c r="A266" s="158"/>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0.3</v>
      </c>
      <c r="R266" s="711">
        <f t="shared" si="51"/>
        <v>0</v>
      </c>
      <c r="S266" s="360">
        <f t="shared" si="52"/>
        <v>0</v>
      </c>
    </row>
    <row r="267" spans="1:19">
      <c r="A267" s="158"/>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0.3</v>
      </c>
      <c r="R267" s="711">
        <f t="shared" si="51"/>
        <v>0</v>
      </c>
      <c r="S267" s="360">
        <f t="shared" si="52"/>
        <v>0</v>
      </c>
    </row>
    <row r="268" spans="1:19">
      <c r="A268" s="158"/>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0.3</v>
      </c>
      <c r="R268" s="711">
        <f t="shared" si="51"/>
        <v>0</v>
      </c>
      <c r="S268" s="360">
        <f t="shared" si="52"/>
        <v>0</v>
      </c>
    </row>
    <row r="269" spans="1:19">
      <c r="A269" s="158"/>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0.3</v>
      </c>
      <c r="R269" s="711">
        <f t="shared" si="51"/>
        <v>0</v>
      </c>
      <c r="S269" s="360">
        <f t="shared" si="52"/>
        <v>0</v>
      </c>
    </row>
    <row r="270" spans="1:19">
      <c r="A270" s="158"/>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0.3</v>
      </c>
      <c r="R270" s="711">
        <f t="shared" si="51"/>
        <v>0</v>
      </c>
      <c r="S270" s="360">
        <f t="shared" si="52"/>
        <v>0</v>
      </c>
    </row>
    <row r="271" spans="1:19">
      <c r="A271" s="158"/>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0.3</v>
      </c>
      <c r="R271" s="711">
        <f t="shared" si="51"/>
        <v>0</v>
      </c>
      <c r="S271" s="360">
        <f t="shared" si="52"/>
        <v>0</v>
      </c>
    </row>
    <row r="272" spans="1:19">
      <c r="A272" s="158"/>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0.3</v>
      </c>
      <c r="R272" s="711">
        <f t="shared" si="51"/>
        <v>0</v>
      </c>
      <c r="S272" s="360">
        <f t="shared" si="52"/>
        <v>0</v>
      </c>
    </row>
    <row r="273" spans="1:19">
      <c r="A273" s="158"/>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0.3</v>
      </c>
      <c r="R273" s="711">
        <f t="shared" si="51"/>
        <v>0</v>
      </c>
      <c r="S273" s="360">
        <f t="shared" si="52"/>
        <v>0</v>
      </c>
    </row>
    <row r="274" spans="1:19">
      <c r="A274" s="158"/>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0.3</v>
      </c>
      <c r="R274" s="711">
        <f t="shared" si="51"/>
        <v>0</v>
      </c>
      <c r="S274" s="360">
        <f t="shared" si="52"/>
        <v>0</v>
      </c>
    </row>
    <row r="275" spans="1:19">
      <c r="A275" s="158"/>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0.3</v>
      </c>
      <c r="R275" s="711">
        <f t="shared" si="51"/>
        <v>0</v>
      </c>
      <c r="S275" s="360">
        <f t="shared" si="52"/>
        <v>0</v>
      </c>
    </row>
    <row r="276" spans="1:19">
      <c r="A276" s="158"/>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0.3</v>
      </c>
      <c r="R276" s="711">
        <f t="shared" si="51"/>
        <v>0</v>
      </c>
      <c r="S276" s="360">
        <f t="shared" si="52"/>
        <v>0</v>
      </c>
    </row>
    <row r="277" spans="1:19">
      <c r="A277" s="158"/>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0.3</v>
      </c>
      <c r="R277" s="711">
        <f t="shared" si="51"/>
        <v>0</v>
      </c>
      <c r="S277" s="360">
        <f t="shared" si="52"/>
        <v>0</v>
      </c>
    </row>
    <row r="278" spans="1:19">
      <c r="A278" s="158"/>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0.3</v>
      </c>
      <c r="R278" s="711">
        <f t="shared" si="51"/>
        <v>0</v>
      </c>
      <c r="S278" s="360">
        <f t="shared" si="52"/>
        <v>0</v>
      </c>
    </row>
    <row r="279" spans="1:19">
      <c r="A279" s="158"/>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0.3</v>
      </c>
      <c r="R279" s="711">
        <f t="shared" si="51"/>
        <v>0</v>
      </c>
      <c r="S279" s="360">
        <f t="shared" si="52"/>
        <v>0</v>
      </c>
    </row>
    <row r="280" spans="1:19">
      <c r="A280" s="158"/>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0.3</v>
      </c>
      <c r="R280" s="711">
        <f t="shared" si="51"/>
        <v>0</v>
      </c>
      <c r="S280" s="360">
        <f t="shared" si="52"/>
        <v>0</v>
      </c>
    </row>
    <row r="281" spans="1:19">
      <c r="A281" s="158"/>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0.3</v>
      </c>
      <c r="R281" s="711">
        <f t="shared" si="51"/>
        <v>0</v>
      </c>
      <c r="S281" s="360">
        <f t="shared" si="52"/>
        <v>0</v>
      </c>
    </row>
    <row r="282" spans="1:19">
      <c r="A282" s="158"/>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0.3</v>
      </c>
      <c r="R282" s="711">
        <f t="shared" ref="R282:R345" si="61">IF(B282="",0,ROUND($R$24*C282*E282*G282*I282*K282*M282*O282*Q282,0))</f>
        <v>0</v>
      </c>
      <c r="S282" s="360">
        <f t="shared" si="52"/>
        <v>0</v>
      </c>
    </row>
    <row r="283" spans="1:19">
      <c r="A283" s="158"/>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0.3</v>
      </c>
      <c r="R283" s="711">
        <f t="shared" si="61"/>
        <v>0</v>
      </c>
      <c r="S283" s="360">
        <f t="shared" si="52"/>
        <v>0</v>
      </c>
    </row>
    <row r="284" spans="1:19">
      <c r="A284" s="158"/>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0.3</v>
      </c>
      <c r="R284" s="711">
        <f t="shared" si="61"/>
        <v>0</v>
      </c>
      <c r="S284" s="360">
        <f t="shared" si="52"/>
        <v>0</v>
      </c>
    </row>
    <row r="285" spans="1:19">
      <c r="A285" s="158"/>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0.3</v>
      </c>
      <c r="R285" s="711">
        <f t="shared" si="61"/>
        <v>0</v>
      </c>
      <c r="S285" s="360">
        <f t="shared" si="52"/>
        <v>0</v>
      </c>
    </row>
    <row r="286" spans="1:19">
      <c r="A286" s="158"/>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0.3</v>
      </c>
      <c r="R286" s="711">
        <f t="shared" si="61"/>
        <v>0</v>
      </c>
      <c r="S286" s="360">
        <f t="shared" si="52"/>
        <v>0</v>
      </c>
    </row>
    <row r="287" spans="1:19">
      <c r="A287" s="158"/>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0.3</v>
      </c>
      <c r="R287" s="711">
        <f t="shared" si="61"/>
        <v>0</v>
      </c>
      <c r="S287" s="360">
        <f t="shared" ref="S287:S320" si="62">ROUND(R287*B287/10000,0)</f>
        <v>0</v>
      </c>
    </row>
    <row r="288" spans="1:19">
      <c r="A288" s="158"/>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0.3</v>
      </c>
      <c r="R288" s="711">
        <f t="shared" si="61"/>
        <v>0</v>
      </c>
      <c r="S288" s="360">
        <f t="shared" si="62"/>
        <v>0</v>
      </c>
    </row>
    <row r="289" spans="1:19">
      <c r="A289" s="158"/>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0.3</v>
      </c>
      <c r="R289" s="711">
        <f t="shared" si="61"/>
        <v>0</v>
      </c>
      <c r="S289" s="360">
        <f t="shared" si="62"/>
        <v>0</v>
      </c>
    </row>
    <row r="290" spans="1:19">
      <c r="A290" s="158"/>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0.3</v>
      </c>
      <c r="R290" s="711">
        <f t="shared" si="61"/>
        <v>0</v>
      </c>
      <c r="S290" s="360">
        <f t="shared" si="62"/>
        <v>0</v>
      </c>
    </row>
    <row r="291" spans="1:19">
      <c r="A291" s="158"/>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0.3</v>
      </c>
      <c r="R291" s="711">
        <f t="shared" si="61"/>
        <v>0</v>
      </c>
      <c r="S291" s="360">
        <f t="shared" si="62"/>
        <v>0</v>
      </c>
    </row>
    <row r="292" spans="1:19">
      <c r="A292" s="158"/>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0.3</v>
      </c>
      <c r="R292" s="711">
        <f t="shared" si="61"/>
        <v>0</v>
      </c>
      <c r="S292" s="360">
        <f t="shared" si="62"/>
        <v>0</v>
      </c>
    </row>
    <row r="293" spans="1:19">
      <c r="A293" s="158"/>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0.3</v>
      </c>
      <c r="R293" s="711">
        <f t="shared" si="61"/>
        <v>0</v>
      </c>
      <c r="S293" s="360">
        <f t="shared" si="62"/>
        <v>0</v>
      </c>
    </row>
    <row r="294" spans="1:19">
      <c r="A294" s="158"/>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0.3</v>
      </c>
      <c r="R294" s="711">
        <f t="shared" si="61"/>
        <v>0</v>
      </c>
      <c r="S294" s="360">
        <f t="shared" si="62"/>
        <v>0</v>
      </c>
    </row>
    <row r="295" spans="1:19">
      <c r="A295" s="158"/>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0.3</v>
      </c>
      <c r="R295" s="711">
        <f t="shared" si="61"/>
        <v>0</v>
      </c>
      <c r="S295" s="360">
        <f t="shared" si="62"/>
        <v>0</v>
      </c>
    </row>
    <row r="296" spans="1:19">
      <c r="A296" s="158"/>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0.3</v>
      </c>
      <c r="R296" s="711">
        <f t="shared" si="61"/>
        <v>0</v>
      </c>
      <c r="S296" s="360">
        <f t="shared" si="62"/>
        <v>0</v>
      </c>
    </row>
    <row r="297" spans="1:19">
      <c r="A297" s="158"/>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0.3</v>
      </c>
      <c r="R297" s="711">
        <f t="shared" si="61"/>
        <v>0</v>
      </c>
      <c r="S297" s="360">
        <f t="shared" si="62"/>
        <v>0</v>
      </c>
    </row>
    <row r="298" spans="1:19">
      <c r="A298" s="158"/>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0.3</v>
      </c>
      <c r="R298" s="711">
        <f t="shared" si="61"/>
        <v>0</v>
      </c>
      <c r="S298" s="360">
        <f t="shared" si="62"/>
        <v>0</v>
      </c>
    </row>
    <row r="299" spans="1:19">
      <c r="A299" s="158"/>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0.3</v>
      </c>
      <c r="R299" s="711">
        <f t="shared" si="61"/>
        <v>0</v>
      </c>
      <c r="S299" s="360">
        <f t="shared" si="62"/>
        <v>0</v>
      </c>
    </row>
    <row r="300" spans="1:19">
      <c r="A300" s="158"/>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0.3</v>
      </c>
      <c r="R300" s="711">
        <f t="shared" si="61"/>
        <v>0</v>
      </c>
      <c r="S300" s="360">
        <f t="shared" si="62"/>
        <v>0</v>
      </c>
    </row>
    <row r="301" spans="1:19">
      <c r="A301" s="158"/>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0.3</v>
      </c>
      <c r="R301" s="711">
        <f t="shared" si="61"/>
        <v>0</v>
      </c>
      <c r="S301" s="360">
        <f t="shared" si="62"/>
        <v>0</v>
      </c>
    </row>
    <row r="302" spans="1:19">
      <c r="A302" s="158"/>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0.3</v>
      </c>
      <c r="R302" s="711">
        <f t="shared" si="61"/>
        <v>0</v>
      </c>
      <c r="S302" s="360">
        <f t="shared" si="62"/>
        <v>0</v>
      </c>
    </row>
    <row r="303" spans="1:19">
      <c r="A303" s="158"/>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0.3</v>
      </c>
      <c r="R303" s="711">
        <f t="shared" si="61"/>
        <v>0</v>
      </c>
      <c r="S303" s="360">
        <f t="shared" si="62"/>
        <v>0</v>
      </c>
    </row>
    <row r="304" spans="1:19">
      <c r="A304" s="158"/>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0.3</v>
      </c>
      <c r="R304" s="711">
        <f t="shared" si="61"/>
        <v>0</v>
      </c>
      <c r="S304" s="360">
        <f t="shared" si="62"/>
        <v>0</v>
      </c>
    </row>
    <row r="305" spans="1:19">
      <c r="A305" s="158"/>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0.3</v>
      </c>
      <c r="R305" s="711">
        <f t="shared" si="61"/>
        <v>0</v>
      </c>
      <c r="S305" s="360">
        <f t="shared" si="62"/>
        <v>0</v>
      </c>
    </row>
    <row r="306" spans="1:19">
      <c r="A306" s="158"/>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0.3</v>
      </c>
      <c r="R306" s="711">
        <f t="shared" si="61"/>
        <v>0</v>
      </c>
      <c r="S306" s="360">
        <f t="shared" si="62"/>
        <v>0</v>
      </c>
    </row>
    <row r="307" spans="1:19">
      <c r="A307" s="158"/>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0.3</v>
      </c>
      <c r="R307" s="711">
        <f t="shared" si="61"/>
        <v>0</v>
      </c>
      <c r="S307" s="360">
        <f t="shared" si="62"/>
        <v>0</v>
      </c>
    </row>
    <row r="308" spans="1:19">
      <c r="A308" s="158"/>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0.3</v>
      </c>
      <c r="R308" s="711">
        <f t="shared" si="61"/>
        <v>0</v>
      </c>
      <c r="S308" s="360">
        <f t="shared" si="62"/>
        <v>0</v>
      </c>
    </row>
    <row r="309" spans="1:19">
      <c r="A309" s="158"/>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0.3</v>
      </c>
      <c r="R309" s="711">
        <f t="shared" si="61"/>
        <v>0</v>
      </c>
      <c r="S309" s="360">
        <f t="shared" si="62"/>
        <v>0</v>
      </c>
    </row>
    <row r="310" spans="1:19">
      <c r="A310" s="158"/>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0.3</v>
      </c>
      <c r="R310" s="711">
        <f t="shared" si="61"/>
        <v>0</v>
      </c>
      <c r="S310" s="360">
        <f t="shared" si="62"/>
        <v>0</v>
      </c>
    </row>
    <row r="311" spans="1:19">
      <c r="A311" s="158"/>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0.3</v>
      </c>
      <c r="R311" s="711">
        <f t="shared" si="61"/>
        <v>0</v>
      </c>
      <c r="S311" s="360">
        <f t="shared" si="62"/>
        <v>0</v>
      </c>
    </row>
    <row r="312" spans="1:19">
      <c r="A312" s="158"/>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0.3</v>
      </c>
      <c r="R312" s="711">
        <f t="shared" si="61"/>
        <v>0</v>
      </c>
      <c r="S312" s="360">
        <f t="shared" si="62"/>
        <v>0</v>
      </c>
    </row>
    <row r="313" spans="1:19">
      <c r="A313" s="158"/>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0.3</v>
      </c>
      <c r="R313" s="711">
        <f t="shared" si="61"/>
        <v>0</v>
      </c>
      <c r="S313" s="360">
        <f t="shared" si="62"/>
        <v>0</v>
      </c>
    </row>
    <row r="314" spans="1:19">
      <c r="A314" s="158"/>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0.3</v>
      </c>
      <c r="R314" s="711">
        <f t="shared" si="61"/>
        <v>0</v>
      </c>
      <c r="S314" s="360">
        <f t="shared" si="62"/>
        <v>0</v>
      </c>
    </row>
    <row r="315" spans="1:19">
      <c r="A315" s="158"/>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0.3</v>
      </c>
      <c r="R315" s="711">
        <f t="shared" si="61"/>
        <v>0</v>
      </c>
      <c r="S315" s="360">
        <f t="shared" si="62"/>
        <v>0</v>
      </c>
    </row>
    <row r="316" spans="1:19">
      <c r="A316" s="158"/>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0.3</v>
      </c>
      <c r="R316" s="711">
        <f t="shared" si="61"/>
        <v>0</v>
      </c>
      <c r="S316" s="360">
        <f t="shared" si="62"/>
        <v>0</v>
      </c>
    </row>
    <row r="317" spans="1:19">
      <c r="A317" s="158"/>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0.3</v>
      </c>
      <c r="R317" s="711">
        <f t="shared" si="61"/>
        <v>0</v>
      </c>
      <c r="S317" s="360">
        <f t="shared" si="62"/>
        <v>0</v>
      </c>
    </row>
    <row r="318" spans="1:19">
      <c r="A318" s="158"/>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0.3</v>
      </c>
      <c r="R318" s="711">
        <f t="shared" si="61"/>
        <v>0</v>
      </c>
      <c r="S318" s="360">
        <f t="shared" si="62"/>
        <v>0</v>
      </c>
    </row>
    <row r="319" spans="1:19">
      <c r="A319" s="158"/>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0.3</v>
      </c>
      <c r="R319" s="711">
        <f t="shared" si="61"/>
        <v>0</v>
      </c>
      <c r="S319" s="360">
        <f t="shared" si="62"/>
        <v>0</v>
      </c>
    </row>
    <row r="320" spans="1:19">
      <c r="A320" s="158"/>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0.3</v>
      </c>
      <c r="R320" s="711">
        <f t="shared" si="61"/>
        <v>0</v>
      </c>
      <c r="S320" s="360">
        <f t="shared" si="62"/>
        <v>0</v>
      </c>
    </row>
    <row r="321" spans="1:19">
      <c r="A321" s="158"/>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0.3</v>
      </c>
      <c r="R321" s="711">
        <f t="shared" si="61"/>
        <v>0</v>
      </c>
      <c r="S321" s="360">
        <f t="shared" ref="S321:S384" si="63">ROUND(R321*B321/10000,0)</f>
        <v>0</v>
      </c>
    </row>
    <row r="322" spans="1:19">
      <c r="A322" s="158"/>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0.3</v>
      </c>
      <c r="R322" s="711">
        <f t="shared" si="61"/>
        <v>0</v>
      </c>
      <c r="S322" s="360">
        <f t="shared" si="63"/>
        <v>0</v>
      </c>
    </row>
    <row r="323" spans="1:19">
      <c r="A323" s="158"/>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0.3</v>
      </c>
      <c r="R323" s="711">
        <f t="shared" si="61"/>
        <v>0</v>
      </c>
      <c r="S323" s="360">
        <f t="shared" si="63"/>
        <v>0</v>
      </c>
    </row>
    <row r="324" spans="1:19">
      <c r="A324" s="158"/>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0.3</v>
      </c>
      <c r="R324" s="711">
        <f t="shared" si="61"/>
        <v>0</v>
      </c>
      <c r="S324" s="360">
        <f t="shared" si="63"/>
        <v>0</v>
      </c>
    </row>
    <row r="325" spans="1:19">
      <c r="A325" s="158"/>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0.3</v>
      </c>
      <c r="R325" s="711">
        <f t="shared" si="61"/>
        <v>0</v>
      </c>
      <c r="S325" s="360">
        <f t="shared" si="63"/>
        <v>0</v>
      </c>
    </row>
    <row r="326" spans="1:19">
      <c r="A326" s="158"/>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0.3</v>
      </c>
      <c r="R326" s="711">
        <f t="shared" si="61"/>
        <v>0</v>
      </c>
      <c r="S326" s="360">
        <f t="shared" si="63"/>
        <v>0</v>
      </c>
    </row>
    <row r="327" spans="1:19">
      <c r="A327" s="158"/>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0.3</v>
      </c>
      <c r="R327" s="711">
        <f t="shared" si="61"/>
        <v>0</v>
      </c>
      <c r="S327" s="360">
        <f t="shared" si="63"/>
        <v>0</v>
      </c>
    </row>
    <row r="328" spans="1:19">
      <c r="A328" s="158"/>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0.3</v>
      </c>
      <c r="R328" s="711">
        <f t="shared" si="61"/>
        <v>0</v>
      </c>
      <c r="S328" s="360">
        <f t="shared" si="63"/>
        <v>0</v>
      </c>
    </row>
    <row r="329" spans="1:19">
      <c r="A329" s="158"/>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0.3</v>
      </c>
      <c r="R329" s="711">
        <f t="shared" si="61"/>
        <v>0</v>
      </c>
      <c r="S329" s="360">
        <f t="shared" si="63"/>
        <v>0</v>
      </c>
    </row>
    <row r="330" spans="1:19">
      <c r="A330" s="158"/>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0.3</v>
      </c>
      <c r="R330" s="711">
        <f t="shared" si="61"/>
        <v>0</v>
      </c>
      <c r="S330" s="360">
        <f t="shared" si="63"/>
        <v>0</v>
      </c>
    </row>
    <row r="331" spans="1:19">
      <c r="A331" s="158"/>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0.3</v>
      </c>
      <c r="R331" s="711">
        <f t="shared" si="61"/>
        <v>0</v>
      </c>
      <c r="S331" s="360">
        <f t="shared" si="63"/>
        <v>0</v>
      </c>
    </row>
    <row r="332" spans="1:19">
      <c r="A332" s="158"/>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0.3</v>
      </c>
      <c r="R332" s="711">
        <f t="shared" si="61"/>
        <v>0</v>
      </c>
      <c r="S332" s="360">
        <f t="shared" si="63"/>
        <v>0</v>
      </c>
    </row>
    <row r="333" spans="1:19">
      <c r="A333" s="158"/>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0.3</v>
      </c>
      <c r="R333" s="711">
        <f t="shared" si="61"/>
        <v>0</v>
      </c>
      <c r="S333" s="360">
        <f t="shared" si="63"/>
        <v>0</v>
      </c>
    </row>
    <row r="334" spans="1:19">
      <c r="A334" s="158"/>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0.3</v>
      </c>
      <c r="R334" s="711">
        <f t="shared" si="61"/>
        <v>0</v>
      </c>
      <c r="S334" s="360">
        <f t="shared" si="63"/>
        <v>0</v>
      </c>
    </row>
    <row r="335" spans="1:19">
      <c r="A335" s="158"/>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0.3</v>
      </c>
      <c r="R335" s="711">
        <f t="shared" si="61"/>
        <v>0</v>
      </c>
      <c r="S335" s="360">
        <f t="shared" si="63"/>
        <v>0</v>
      </c>
    </row>
    <row r="336" spans="1:19">
      <c r="A336" s="158"/>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0.3</v>
      </c>
      <c r="R336" s="711">
        <f t="shared" si="61"/>
        <v>0</v>
      </c>
      <c r="S336" s="360">
        <f t="shared" si="63"/>
        <v>0</v>
      </c>
    </row>
    <row r="337" spans="1:19">
      <c r="A337" s="158"/>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0.3</v>
      </c>
      <c r="R337" s="711">
        <f t="shared" si="61"/>
        <v>0</v>
      </c>
      <c r="S337" s="360">
        <f t="shared" si="63"/>
        <v>0</v>
      </c>
    </row>
    <row r="338" spans="1:19">
      <c r="A338" s="158"/>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0.3</v>
      </c>
      <c r="R338" s="711">
        <f t="shared" si="61"/>
        <v>0</v>
      </c>
      <c r="S338" s="360">
        <f t="shared" si="63"/>
        <v>0</v>
      </c>
    </row>
    <row r="339" spans="1:19">
      <c r="A339" s="158"/>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0.3</v>
      </c>
      <c r="R339" s="711">
        <f t="shared" si="61"/>
        <v>0</v>
      </c>
      <c r="S339" s="360">
        <f t="shared" si="63"/>
        <v>0</v>
      </c>
    </row>
    <row r="340" spans="1:19">
      <c r="A340" s="158"/>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0.3</v>
      </c>
      <c r="R340" s="711">
        <f t="shared" si="61"/>
        <v>0</v>
      </c>
      <c r="S340" s="360">
        <f t="shared" si="63"/>
        <v>0</v>
      </c>
    </row>
    <row r="341" spans="1:19">
      <c r="A341" s="158"/>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0.3</v>
      </c>
      <c r="R341" s="711">
        <f t="shared" si="61"/>
        <v>0</v>
      </c>
      <c r="S341" s="360">
        <f t="shared" si="63"/>
        <v>0</v>
      </c>
    </row>
    <row r="342" spans="1:19">
      <c r="A342" s="158"/>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0.3</v>
      </c>
      <c r="R342" s="711">
        <f t="shared" si="61"/>
        <v>0</v>
      </c>
      <c r="S342" s="360">
        <f t="shared" si="63"/>
        <v>0</v>
      </c>
    </row>
    <row r="343" spans="1:19">
      <c r="A343" s="158"/>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0.3</v>
      </c>
      <c r="R343" s="711">
        <f t="shared" si="61"/>
        <v>0</v>
      </c>
      <c r="S343" s="360">
        <f t="shared" si="63"/>
        <v>0</v>
      </c>
    </row>
    <row r="344" spans="1:19">
      <c r="A344" s="158"/>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0.3</v>
      </c>
      <c r="R344" s="711">
        <f t="shared" si="61"/>
        <v>0</v>
      </c>
      <c r="S344" s="360">
        <f t="shared" si="63"/>
        <v>0</v>
      </c>
    </row>
    <row r="345" spans="1:19">
      <c r="A345" s="158"/>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0.3</v>
      </c>
      <c r="R345" s="711">
        <f t="shared" si="61"/>
        <v>0</v>
      </c>
      <c r="S345" s="360">
        <f t="shared" si="63"/>
        <v>0</v>
      </c>
    </row>
    <row r="346" spans="1:19">
      <c r="A346" s="158"/>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0.3</v>
      </c>
      <c r="R346" s="711">
        <f t="shared" ref="R346:R409" si="72">IF(B346="",0,ROUND($R$24*C346*E346*G346*I346*K346*M346*O346*Q346,0))</f>
        <v>0</v>
      </c>
      <c r="S346" s="360">
        <f t="shared" si="63"/>
        <v>0</v>
      </c>
    </row>
    <row r="347" spans="1:19">
      <c r="A347" s="158"/>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0.3</v>
      </c>
      <c r="R347" s="711">
        <f t="shared" si="72"/>
        <v>0</v>
      </c>
      <c r="S347" s="360">
        <f t="shared" si="63"/>
        <v>0</v>
      </c>
    </row>
    <row r="348" spans="1:19">
      <c r="A348" s="158"/>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0.3</v>
      </c>
      <c r="R348" s="711">
        <f t="shared" si="72"/>
        <v>0</v>
      </c>
      <c r="S348" s="360">
        <f t="shared" si="63"/>
        <v>0</v>
      </c>
    </row>
    <row r="349" spans="1:19">
      <c r="A349" s="158"/>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0.3</v>
      </c>
      <c r="R349" s="711">
        <f t="shared" si="72"/>
        <v>0</v>
      </c>
      <c r="S349" s="360">
        <f t="shared" si="63"/>
        <v>0</v>
      </c>
    </row>
    <row r="350" spans="1:19">
      <c r="A350" s="158"/>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0.3</v>
      </c>
      <c r="R350" s="711">
        <f t="shared" si="72"/>
        <v>0</v>
      </c>
      <c r="S350" s="360">
        <f t="shared" si="63"/>
        <v>0</v>
      </c>
    </row>
    <row r="351" spans="1:19">
      <c r="A351" s="158"/>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0.3</v>
      </c>
      <c r="R351" s="711">
        <f t="shared" si="72"/>
        <v>0</v>
      </c>
      <c r="S351" s="360">
        <f t="shared" si="63"/>
        <v>0</v>
      </c>
    </row>
    <row r="352" spans="1:19">
      <c r="A352" s="158"/>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0.3</v>
      </c>
      <c r="R352" s="711">
        <f t="shared" si="72"/>
        <v>0</v>
      </c>
      <c r="S352" s="360">
        <f t="shared" si="63"/>
        <v>0</v>
      </c>
    </row>
    <row r="353" spans="1:19">
      <c r="A353" s="158"/>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0.3</v>
      </c>
      <c r="R353" s="711">
        <f t="shared" si="72"/>
        <v>0</v>
      </c>
      <c r="S353" s="360">
        <f t="shared" si="63"/>
        <v>0</v>
      </c>
    </row>
    <row r="354" spans="1:19">
      <c r="A354" s="158"/>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0.3</v>
      </c>
      <c r="R354" s="711">
        <f t="shared" si="72"/>
        <v>0</v>
      </c>
      <c r="S354" s="360">
        <f t="shared" si="63"/>
        <v>0</v>
      </c>
    </row>
    <row r="355" spans="1:19">
      <c r="A355" s="158"/>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0.3</v>
      </c>
      <c r="R355" s="711">
        <f t="shared" si="72"/>
        <v>0</v>
      </c>
      <c r="S355" s="360">
        <f t="shared" si="63"/>
        <v>0</v>
      </c>
    </row>
    <row r="356" spans="1:19">
      <c r="A356" s="158"/>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0.3</v>
      </c>
      <c r="R356" s="711">
        <f t="shared" si="72"/>
        <v>0</v>
      </c>
      <c r="S356" s="360">
        <f t="shared" si="63"/>
        <v>0</v>
      </c>
    </row>
    <row r="357" spans="1:19">
      <c r="A357" s="158"/>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0.3</v>
      </c>
      <c r="R357" s="711">
        <f t="shared" si="72"/>
        <v>0</v>
      </c>
      <c r="S357" s="360">
        <f t="shared" si="63"/>
        <v>0</v>
      </c>
    </row>
    <row r="358" spans="1:19">
      <c r="A358" s="158"/>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0.3</v>
      </c>
      <c r="R358" s="711">
        <f t="shared" si="72"/>
        <v>0</v>
      </c>
      <c r="S358" s="360">
        <f t="shared" si="63"/>
        <v>0</v>
      </c>
    </row>
    <row r="359" spans="1:19">
      <c r="A359" s="158"/>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0.3</v>
      </c>
      <c r="R359" s="711">
        <f t="shared" si="72"/>
        <v>0</v>
      </c>
      <c r="S359" s="360">
        <f t="shared" si="63"/>
        <v>0</v>
      </c>
    </row>
    <row r="360" spans="1:19">
      <c r="A360" s="158"/>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0.3</v>
      </c>
      <c r="R360" s="711">
        <f t="shared" si="72"/>
        <v>0</v>
      </c>
      <c r="S360" s="360">
        <f t="shared" si="63"/>
        <v>0</v>
      </c>
    </row>
    <row r="361" spans="1:19">
      <c r="A361" s="158"/>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0.3</v>
      </c>
      <c r="R361" s="711">
        <f t="shared" si="72"/>
        <v>0</v>
      </c>
      <c r="S361" s="360">
        <f t="shared" si="63"/>
        <v>0</v>
      </c>
    </row>
    <row r="362" spans="1:19">
      <c r="A362" s="158"/>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0.3</v>
      </c>
      <c r="R362" s="711">
        <f t="shared" si="72"/>
        <v>0</v>
      </c>
      <c r="S362" s="360">
        <f t="shared" si="63"/>
        <v>0</v>
      </c>
    </row>
    <row r="363" spans="1:19">
      <c r="A363" s="158"/>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0.3</v>
      </c>
      <c r="R363" s="711">
        <f t="shared" si="72"/>
        <v>0</v>
      </c>
      <c r="S363" s="360">
        <f t="shared" si="63"/>
        <v>0</v>
      </c>
    </row>
    <row r="364" spans="1:19">
      <c r="A364" s="158"/>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0.3</v>
      </c>
      <c r="R364" s="711">
        <f t="shared" si="72"/>
        <v>0</v>
      </c>
      <c r="S364" s="360">
        <f t="shared" si="63"/>
        <v>0</v>
      </c>
    </row>
    <row r="365" spans="1:19">
      <c r="A365" s="158"/>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0.3</v>
      </c>
      <c r="R365" s="711">
        <f t="shared" si="72"/>
        <v>0</v>
      </c>
      <c r="S365" s="360">
        <f t="shared" si="63"/>
        <v>0</v>
      </c>
    </row>
    <row r="366" spans="1:19">
      <c r="A366" s="158"/>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0.3</v>
      </c>
      <c r="R366" s="711">
        <f t="shared" si="72"/>
        <v>0</v>
      </c>
      <c r="S366" s="360">
        <f t="shared" si="63"/>
        <v>0</v>
      </c>
    </row>
    <row r="367" spans="1:19">
      <c r="A367" s="158"/>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0.3</v>
      </c>
      <c r="R367" s="711">
        <f t="shared" si="72"/>
        <v>0</v>
      </c>
      <c r="S367" s="360">
        <f t="shared" si="63"/>
        <v>0</v>
      </c>
    </row>
    <row r="368" spans="1:19">
      <c r="A368" s="158"/>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0.3</v>
      </c>
      <c r="R368" s="711">
        <f t="shared" si="72"/>
        <v>0</v>
      </c>
      <c r="S368" s="360">
        <f t="shared" si="63"/>
        <v>0</v>
      </c>
    </row>
    <row r="369" spans="1:19">
      <c r="A369" s="158"/>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0.3</v>
      </c>
      <c r="R369" s="711">
        <f t="shared" si="72"/>
        <v>0</v>
      </c>
      <c r="S369" s="360">
        <f t="shared" si="63"/>
        <v>0</v>
      </c>
    </row>
    <row r="370" spans="1:19">
      <c r="A370" s="158"/>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0.3</v>
      </c>
      <c r="R370" s="711">
        <f t="shared" si="72"/>
        <v>0</v>
      </c>
      <c r="S370" s="360">
        <f t="shared" si="63"/>
        <v>0</v>
      </c>
    </row>
    <row r="371" spans="1:19">
      <c r="A371" s="158"/>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0.3</v>
      </c>
      <c r="R371" s="711">
        <f t="shared" si="72"/>
        <v>0</v>
      </c>
      <c r="S371" s="360">
        <f t="shared" si="63"/>
        <v>0</v>
      </c>
    </row>
    <row r="372" spans="1:19">
      <c r="A372" s="158"/>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0.3</v>
      </c>
      <c r="R372" s="711">
        <f t="shared" si="72"/>
        <v>0</v>
      </c>
      <c r="S372" s="360">
        <f t="shared" si="63"/>
        <v>0</v>
      </c>
    </row>
    <row r="373" spans="1:19">
      <c r="A373" s="158"/>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0.3</v>
      </c>
      <c r="R373" s="711">
        <f t="shared" si="72"/>
        <v>0</v>
      </c>
      <c r="S373" s="360">
        <f t="shared" si="63"/>
        <v>0</v>
      </c>
    </row>
    <row r="374" spans="1:19">
      <c r="A374" s="158"/>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0.3</v>
      </c>
      <c r="R374" s="711">
        <f t="shared" si="72"/>
        <v>0</v>
      </c>
      <c r="S374" s="360">
        <f t="shared" si="63"/>
        <v>0</v>
      </c>
    </row>
    <row r="375" spans="1:19">
      <c r="A375" s="158"/>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0.3</v>
      </c>
      <c r="R375" s="711">
        <f t="shared" si="72"/>
        <v>0</v>
      </c>
      <c r="S375" s="360">
        <f t="shared" si="63"/>
        <v>0</v>
      </c>
    </row>
    <row r="376" spans="1:19">
      <c r="A376" s="158"/>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0.3</v>
      </c>
      <c r="R376" s="711">
        <f t="shared" si="72"/>
        <v>0</v>
      </c>
      <c r="S376" s="360">
        <f t="shared" si="63"/>
        <v>0</v>
      </c>
    </row>
    <row r="377" spans="1:19">
      <c r="A377" s="158"/>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0.3</v>
      </c>
      <c r="R377" s="711">
        <f t="shared" si="72"/>
        <v>0</v>
      </c>
      <c r="S377" s="360">
        <f t="shared" si="63"/>
        <v>0</v>
      </c>
    </row>
    <row r="378" spans="1:19">
      <c r="A378" s="158"/>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0.3</v>
      </c>
      <c r="R378" s="711">
        <f t="shared" si="72"/>
        <v>0</v>
      </c>
      <c r="S378" s="360">
        <f t="shared" si="63"/>
        <v>0</v>
      </c>
    </row>
    <row r="379" spans="1:19">
      <c r="A379" s="158"/>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0.3</v>
      </c>
      <c r="R379" s="711">
        <f t="shared" si="72"/>
        <v>0</v>
      </c>
      <c r="S379" s="360">
        <f t="shared" si="63"/>
        <v>0</v>
      </c>
    </row>
    <row r="380" spans="1:19">
      <c r="A380" s="158"/>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0.3</v>
      </c>
      <c r="R380" s="711">
        <f t="shared" si="72"/>
        <v>0</v>
      </c>
      <c r="S380" s="360">
        <f t="shared" si="63"/>
        <v>0</v>
      </c>
    </row>
    <row r="381" spans="1:19">
      <c r="A381" s="158"/>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0.3</v>
      </c>
      <c r="R381" s="711">
        <f t="shared" si="72"/>
        <v>0</v>
      </c>
      <c r="S381" s="360">
        <f t="shared" si="63"/>
        <v>0</v>
      </c>
    </row>
    <row r="382" spans="1:19">
      <c r="A382" s="158"/>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0.3</v>
      </c>
      <c r="R382" s="711">
        <f t="shared" si="72"/>
        <v>0</v>
      </c>
      <c r="S382" s="360">
        <f t="shared" si="63"/>
        <v>0</v>
      </c>
    </row>
    <row r="383" spans="1:19">
      <c r="A383" s="158"/>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0.3</v>
      </c>
      <c r="R383" s="711">
        <f t="shared" si="72"/>
        <v>0</v>
      </c>
      <c r="S383" s="360">
        <f t="shared" si="63"/>
        <v>0</v>
      </c>
    </row>
    <row r="384" spans="1:19">
      <c r="A384" s="158"/>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0.3</v>
      </c>
      <c r="R384" s="711">
        <f t="shared" si="72"/>
        <v>0</v>
      </c>
      <c r="S384" s="360">
        <f t="shared" si="63"/>
        <v>0</v>
      </c>
    </row>
    <row r="385" spans="1:19">
      <c r="A385" s="158"/>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0.3</v>
      </c>
      <c r="R385" s="711">
        <f t="shared" si="72"/>
        <v>0</v>
      </c>
      <c r="S385" s="360">
        <f t="shared" ref="S385:S422" si="73">ROUND(R385*B385/10000,0)</f>
        <v>0</v>
      </c>
    </row>
    <row r="386" spans="1:19">
      <c r="A386" s="158"/>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0.3</v>
      </c>
      <c r="R386" s="711">
        <f t="shared" si="72"/>
        <v>0</v>
      </c>
      <c r="S386" s="360">
        <f t="shared" si="73"/>
        <v>0</v>
      </c>
    </row>
    <row r="387" spans="1:19">
      <c r="A387" s="158"/>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0.3</v>
      </c>
      <c r="R387" s="711">
        <f t="shared" si="72"/>
        <v>0</v>
      </c>
      <c r="S387" s="360">
        <f t="shared" si="73"/>
        <v>0</v>
      </c>
    </row>
    <row r="388" spans="1:19">
      <c r="A388" s="158"/>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0.3</v>
      </c>
      <c r="R388" s="711">
        <f t="shared" si="72"/>
        <v>0</v>
      </c>
      <c r="S388" s="360">
        <f t="shared" si="73"/>
        <v>0</v>
      </c>
    </row>
    <row r="389" spans="1:19">
      <c r="A389" s="158"/>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0.3</v>
      </c>
      <c r="R389" s="711">
        <f t="shared" si="72"/>
        <v>0</v>
      </c>
      <c r="S389" s="360">
        <f t="shared" si="73"/>
        <v>0</v>
      </c>
    </row>
    <row r="390" spans="1:19">
      <c r="A390" s="158"/>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0.3</v>
      </c>
      <c r="R390" s="711">
        <f t="shared" si="72"/>
        <v>0</v>
      </c>
      <c r="S390" s="360">
        <f t="shared" si="73"/>
        <v>0</v>
      </c>
    </row>
    <row r="391" spans="1:19">
      <c r="A391" s="158"/>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0.3</v>
      </c>
      <c r="R391" s="711">
        <f t="shared" si="72"/>
        <v>0</v>
      </c>
      <c r="S391" s="360">
        <f t="shared" si="73"/>
        <v>0</v>
      </c>
    </row>
    <row r="392" spans="1:19">
      <c r="A392" s="158"/>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0.3</v>
      </c>
      <c r="R392" s="711">
        <f t="shared" si="72"/>
        <v>0</v>
      </c>
      <c r="S392" s="360">
        <f t="shared" si="73"/>
        <v>0</v>
      </c>
    </row>
    <row r="393" spans="1:19">
      <c r="A393" s="158"/>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0.3</v>
      </c>
      <c r="R393" s="711">
        <f t="shared" si="72"/>
        <v>0</v>
      </c>
      <c r="S393" s="360">
        <f t="shared" si="73"/>
        <v>0</v>
      </c>
    </row>
    <row r="394" spans="1:19">
      <c r="A394" s="158"/>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0.3</v>
      </c>
      <c r="R394" s="711">
        <f t="shared" si="72"/>
        <v>0</v>
      </c>
      <c r="S394" s="360">
        <f t="shared" si="73"/>
        <v>0</v>
      </c>
    </row>
    <row r="395" spans="1:19">
      <c r="A395" s="158"/>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0.3</v>
      </c>
      <c r="R395" s="711">
        <f t="shared" si="72"/>
        <v>0</v>
      </c>
      <c r="S395" s="360">
        <f t="shared" si="73"/>
        <v>0</v>
      </c>
    </row>
    <row r="396" spans="1:19">
      <c r="A396" s="158"/>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0.3</v>
      </c>
      <c r="R396" s="711">
        <f t="shared" si="72"/>
        <v>0</v>
      </c>
      <c r="S396" s="360">
        <f t="shared" si="73"/>
        <v>0</v>
      </c>
    </row>
    <row r="397" spans="1:19">
      <c r="A397" s="158"/>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0.3</v>
      </c>
      <c r="R397" s="711">
        <f t="shared" si="72"/>
        <v>0</v>
      </c>
      <c r="S397" s="360">
        <f t="shared" si="73"/>
        <v>0</v>
      </c>
    </row>
    <row r="398" spans="1:19">
      <c r="A398" s="158"/>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0.3</v>
      </c>
      <c r="R398" s="711">
        <f t="shared" si="72"/>
        <v>0</v>
      </c>
      <c r="S398" s="360">
        <f t="shared" si="73"/>
        <v>0</v>
      </c>
    </row>
    <row r="399" spans="1:19">
      <c r="A399" s="158"/>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0.3</v>
      </c>
      <c r="R399" s="711">
        <f t="shared" si="72"/>
        <v>0</v>
      </c>
      <c r="S399" s="360">
        <f t="shared" si="73"/>
        <v>0</v>
      </c>
    </row>
    <row r="400" spans="1:19">
      <c r="A400" s="158"/>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0.3</v>
      </c>
      <c r="R400" s="711">
        <f t="shared" si="72"/>
        <v>0</v>
      </c>
      <c r="S400" s="360">
        <f t="shared" si="73"/>
        <v>0</v>
      </c>
    </row>
    <row r="401" spans="1:19">
      <c r="A401" s="158"/>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0.3</v>
      </c>
      <c r="R401" s="711">
        <f t="shared" si="72"/>
        <v>0</v>
      </c>
      <c r="S401" s="360">
        <f t="shared" si="73"/>
        <v>0</v>
      </c>
    </row>
    <row r="402" spans="1:19">
      <c r="A402" s="158"/>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0.3</v>
      </c>
      <c r="R402" s="711">
        <f t="shared" si="72"/>
        <v>0</v>
      </c>
      <c r="S402" s="360">
        <f t="shared" si="73"/>
        <v>0</v>
      </c>
    </row>
    <row r="403" spans="1:19">
      <c r="A403" s="158"/>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0.3</v>
      </c>
      <c r="R403" s="711">
        <f t="shared" si="72"/>
        <v>0</v>
      </c>
      <c r="S403" s="360">
        <f t="shared" si="73"/>
        <v>0</v>
      </c>
    </row>
    <row r="404" spans="1:19">
      <c r="A404" s="158"/>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0.3</v>
      </c>
      <c r="R404" s="711">
        <f t="shared" si="72"/>
        <v>0</v>
      </c>
      <c r="S404" s="360">
        <f t="shared" si="73"/>
        <v>0</v>
      </c>
    </row>
    <row r="405" spans="1:19">
      <c r="A405" s="158"/>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0.3</v>
      </c>
      <c r="R405" s="711">
        <f t="shared" si="72"/>
        <v>0</v>
      </c>
      <c r="S405" s="360">
        <f t="shared" si="73"/>
        <v>0</v>
      </c>
    </row>
    <row r="406" spans="1:19">
      <c r="A406" s="158"/>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0.3</v>
      </c>
      <c r="R406" s="711">
        <f t="shared" si="72"/>
        <v>0</v>
      </c>
      <c r="S406" s="360">
        <f t="shared" si="73"/>
        <v>0</v>
      </c>
    </row>
    <row r="407" spans="1:19">
      <c r="A407" s="158"/>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0.3</v>
      </c>
      <c r="R407" s="711">
        <f t="shared" si="72"/>
        <v>0</v>
      </c>
      <c r="S407" s="360">
        <f t="shared" si="73"/>
        <v>0</v>
      </c>
    </row>
    <row r="408" spans="1:19">
      <c r="A408" s="158"/>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0.3</v>
      </c>
      <c r="R408" s="711">
        <f t="shared" si="72"/>
        <v>0</v>
      </c>
      <c r="S408" s="360">
        <f t="shared" si="73"/>
        <v>0</v>
      </c>
    </row>
    <row r="409" spans="1:19">
      <c r="A409" s="158"/>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0.3</v>
      </c>
      <c r="R409" s="711">
        <f t="shared" si="72"/>
        <v>0</v>
      </c>
      <c r="S409" s="360">
        <f t="shared" si="73"/>
        <v>0</v>
      </c>
    </row>
    <row r="410" spans="1:19">
      <c r="A410" s="158"/>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0.3</v>
      </c>
      <c r="R410" s="711">
        <f t="shared" ref="R410:R473" si="82">IF(B410="",0,ROUND($R$24*C410*E410*G410*I410*K410*M410*O410*Q410,0))</f>
        <v>0</v>
      </c>
      <c r="S410" s="360">
        <f t="shared" si="73"/>
        <v>0</v>
      </c>
    </row>
    <row r="411" spans="1:19">
      <c r="A411" s="158"/>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0.3</v>
      </c>
      <c r="R411" s="711">
        <f t="shared" si="82"/>
        <v>0</v>
      </c>
      <c r="S411" s="360">
        <f t="shared" si="73"/>
        <v>0</v>
      </c>
    </row>
    <row r="412" spans="1:19">
      <c r="A412" s="158"/>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0.3</v>
      </c>
      <c r="R412" s="711">
        <f t="shared" si="82"/>
        <v>0</v>
      </c>
      <c r="S412" s="360">
        <f t="shared" si="73"/>
        <v>0</v>
      </c>
    </row>
    <row r="413" spans="1:19">
      <c r="A413" s="158"/>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0.3</v>
      </c>
      <c r="R413" s="711">
        <f t="shared" si="82"/>
        <v>0</v>
      </c>
      <c r="S413" s="360">
        <f t="shared" si="73"/>
        <v>0</v>
      </c>
    </row>
    <row r="414" spans="1:19">
      <c r="A414" s="158"/>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0.3</v>
      </c>
      <c r="R414" s="711">
        <f t="shared" si="82"/>
        <v>0</v>
      </c>
      <c r="S414" s="360">
        <f t="shared" si="73"/>
        <v>0</v>
      </c>
    </row>
    <row r="415" spans="1:19">
      <c r="A415" s="158"/>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0.3</v>
      </c>
      <c r="R415" s="711">
        <f t="shared" si="82"/>
        <v>0</v>
      </c>
      <c r="S415" s="360">
        <f t="shared" si="73"/>
        <v>0</v>
      </c>
    </row>
    <row r="416" spans="1:19">
      <c r="A416" s="158"/>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0.3</v>
      </c>
      <c r="R416" s="711">
        <f t="shared" si="82"/>
        <v>0</v>
      </c>
      <c r="S416" s="360">
        <f t="shared" si="73"/>
        <v>0</v>
      </c>
    </row>
    <row r="417" spans="1:19">
      <c r="A417" s="158"/>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0.3</v>
      </c>
      <c r="R417" s="711">
        <f t="shared" si="82"/>
        <v>0</v>
      </c>
      <c r="S417" s="360">
        <f t="shared" si="73"/>
        <v>0</v>
      </c>
    </row>
    <row r="418" spans="1:19">
      <c r="A418" s="158"/>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0.3</v>
      </c>
      <c r="R418" s="711">
        <f t="shared" si="82"/>
        <v>0</v>
      </c>
      <c r="S418" s="360">
        <f t="shared" si="73"/>
        <v>0</v>
      </c>
    </row>
    <row r="419" spans="1:19">
      <c r="A419" s="158"/>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0.3</v>
      </c>
      <c r="R419" s="711">
        <f t="shared" si="82"/>
        <v>0</v>
      </c>
      <c r="S419" s="360">
        <f t="shared" si="73"/>
        <v>0</v>
      </c>
    </row>
    <row r="420" spans="1:19">
      <c r="A420" s="158"/>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0.3</v>
      </c>
      <c r="R420" s="711">
        <f t="shared" si="82"/>
        <v>0</v>
      </c>
      <c r="S420" s="360">
        <f t="shared" si="73"/>
        <v>0</v>
      </c>
    </row>
    <row r="421" spans="1:19">
      <c r="A421" s="158"/>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0.3</v>
      </c>
      <c r="R421" s="711">
        <f t="shared" si="82"/>
        <v>0</v>
      </c>
      <c r="S421" s="360">
        <f t="shared" si="73"/>
        <v>0</v>
      </c>
    </row>
    <row r="422" spans="1:19">
      <c r="A422" s="158"/>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0.3</v>
      </c>
      <c r="R422" s="711">
        <f t="shared" si="82"/>
        <v>0</v>
      </c>
      <c r="S422" s="360">
        <f t="shared" si="73"/>
        <v>0</v>
      </c>
    </row>
    <row r="423" spans="1:19">
      <c r="A423" s="158"/>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0.3</v>
      </c>
      <c r="R423" s="711">
        <f t="shared" si="82"/>
        <v>0</v>
      </c>
      <c r="S423" s="360">
        <f t="shared" ref="S423:S467" si="83">ROUND(R423*B423/10000,0)</f>
        <v>0</v>
      </c>
    </row>
    <row r="424" spans="1:19">
      <c r="A424" s="158"/>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0.3</v>
      </c>
      <c r="R424" s="711">
        <f t="shared" si="82"/>
        <v>0</v>
      </c>
      <c r="S424" s="360">
        <f t="shared" si="83"/>
        <v>0</v>
      </c>
    </row>
    <row r="425" spans="1:19">
      <c r="A425" s="158"/>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0.3</v>
      </c>
      <c r="R425" s="711">
        <f t="shared" si="82"/>
        <v>0</v>
      </c>
      <c r="S425" s="360">
        <f t="shared" si="83"/>
        <v>0</v>
      </c>
    </row>
    <row r="426" spans="1:19">
      <c r="A426" s="158"/>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0.3</v>
      </c>
      <c r="R426" s="711">
        <f t="shared" si="82"/>
        <v>0</v>
      </c>
      <c r="S426" s="360">
        <f t="shared" si="83"/>
        <v>0</v>
      </c>
    </row>
    <row r="427" spans="1:19">
      <c r="A427" s="158"/>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0.3</v>
      </c>
      <c r="R427" s="711">
        <f t="shared" si="82"/>
        <v>0</v>
      </c>
      <c r="S427" s="360">
        <f t="shared" si="83"/>
        <v>0</v>
      </c>
    </row>
    <row r="428" spans="1:19">
      <c r="A428" s="158"/>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0.3</v>
      </c>
      <c r="R428" s="711">
        <f t="shared" si="82"/>
        <v>0</v>
      </c>
      <c r="S428" s="360">
        <f t="shared" si="83"/>
        <v>0</v>
      </c>
    </row>
    <row r="429" spans="1:19">
      <c r="A429" s="158"/>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0.3</v>
      </c>
      <c r="R429" s="711">
        <f t="shared" si="82"/>
        <v>0</v>
      </c>
      <c r="S429" s="360">
        <f t="shared" si="83"/>
        <v>0</v>
      </c>
    </row>
    <row r="430" spans="1:19">
      <c r="A430" s="158"/>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0.3</v>
      </c>
      <c r="R430" s="711">
        <f t="shared" si="82"/>
        <v>0</v>
      </c>
      <c r="S430" s="360">
        <f t="shared" si="83"/>
        <v>0</v>
      </c>
    </row>
    <row r="431" spans="1:19">
      <c r="A431" s="158"/>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0.3</v>
      </c>
      <c r="R431" s="711">
        <f t="shared" si="82"/>
        <v>0</v>
      </c>
      <c r="S431" s="360">
        <f t="shared" si="83"/>
        <v>0</v>
      </c>
    </row>
    <row r="432" spans="1:19">
      <c r="A432" s="158"/>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0.3</v>
      </c>
      <c r="R432" s="711">
        <f t="shared" si="82"/>
        <v>0</v>
      </c>
      <c r="S432" s="360">
        <f t="shared" si="83"/>
        <v>0</v>
      </c>
    </row>
    <row r="433" spans="1:19">
      <c r="A433" s="158"/>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0.3</v>
      </c>
      <c r="R433" s="711">
        <f t="shared" si="82"/>
        <v>0</v>
      </c>
      <c r="S433" s="360">
        <f t="shared" si="83"/>
        <v>0</v>
      </c>
    </row>
    <row r="434" spans="1:19">
      <c r="A434" s="158"/>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0.3</v>
      </c>
      <c r="R434" s="711">
        <f t="shared" si="82"/>
        <v>0</v>
      </c>
      <c r="S434" s="360">
        <f t="shared" si="83"/>
        <v>0</v>
      </c>
    </row>
    <row r="435" spans="1:19">
      <c r="A435" s="158"/>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0.3</v>
      </c>
      <c r="R435" s="711">
        <f t="shared" si="82"/>
        <v>0</v>
      </c>
      <c r="S435" s="360">
        <f t="shared" si="83"/>
        <v>0</v>
      </c>
    </row>
    <row r="436" spans="1:19">
      <c r="A436" s="158"/>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0.3</v>
      </c>
      <c r="R436" s="711">
        <f t="shared" si="82"/>
        <v>0</v>
      </c>
      <c r="S436" s="360">
        <f t="shared" si="83"/>
        <v>0</v>
      </c>
    </row>
    <row r="437" spans="1:19">
      <c r="A437" s="158"/>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0.3</v>
      </c>
      <c r="R437" s="711">
        <f t="shared" si="82"/>
        <v>0</v>
      </c>
      <c r="S437" s="360">
        <f t="shared" si="83"/>
        <v>0</v>
      </c>
    </row>
    <row r="438" spans="1:19">
      <c r="A438" s="158"/>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0.3</v>
      </c>
      <c r="R438" s="711">
        <f t="shared" si="82"/>
        <v>0</v>
      </c>
      <c r="S438" s="360">
        <f t="shared" si="83"/>
        <v>0</v>
      </c>
    </row>
    <row r="439" spans="1:19">
      <c r="A439" s="158"/>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0.3</v>
      </c>
      <c r="R439" s="711">
        <f t="shared" si="82"/>
        <v>0</v>
      </c>
      <c r="S439" s="360">
        <f t="shared" si="83"/>
        <v>0</v>
      </c>
    </row>
    <row r="440" spans="1:19">
      <c r="A440" s="158"/>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0.3</v>
      </c>
      <c r="R440" s="711">
        <f t="shared" si="82"/>
        <v>0</v>
      </c>
      <c r="S440" s="360">
        <f t="shared" si="83"/>
        <v>0</v>
      </c>
    </row>
    <row r="441" spans="1:19">
      <c r="A441" s="158"/>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0.3</v>
      </c>
      <c r="R441" s="711">
        <f t="shared" si="82"/>
        <v>0</v>
      </c>
      <c r="S441" s="360">
        <f t="shared" si="83"/>
        <v>0</v>
      </c>
    </row>
    <row r="442" spans="1:19">
      <c r="A442" s="158"/>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0.3</v>
      </c>
      <c r="R442" s="711">
        <f t="shared" si="82"/>
        <v>0</v>
      </c>
      <c r="S442" s="360">
        <f t="shared" si="83"/>
        <v>0</v>
      </c>
    </row>
    <row r="443" spans="1:19">
      <c r="A443" s="158"/>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0.3</v>
      </c>
      <c r="R443" s="711">
        <f t="shared" si="82"/>
        <v>0</v>
      </c>
      <c r="S443" s="360">
        <f t="shared" si="83"/>
        <v>0</v>
      </c>
    </row>
    <row r="444" spans="1:19">
      <c r="A444" s="158"/>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0.3</v>
      </c>
      <c r="R444" s="711">
        <f t="shared" si="82"/>
        <v>0</v>
      </c>
      <c r="S444" s="360">
        <f t="shared" si="83"/>
        <v>0</v>
      </c>
    </row>
    <row r="445" spans="1:19">
      <c r="A445" s="158"/>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0.3</v>
      </c>
      <c r="R445" s="711">
        <f t="shared" si="82"/>
        <v>0</v>
      </c>
      <c r="S445" s="360">
        <f t="shared" si="83"/>
        <v>0</v>
      </c>
    </row>
    <row r="446" spans="1:19">
      <c r="A446" s="158"/>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0.3</v>
      </c>
      <c r="R446" s="711">
        <f t="shared" si="82"/>
        <v>0</v>
      </c>
      <c r="S446" s="360">
        <f t="shared" si="83"/>
        <v>0</v>
      </c>
    </row>
    <row r="447" spans="1:19">
      <c r="A447" s="158"/>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0.3</v>
      </c>
      <c r="R447" s="711">
        <f t="shared" si="82"/>
        <v>0</v>
      </c>
      <c r="S447" s="360">
        <f t="shared" si="83"/>
        <v>0</v>
      </c>
    </row>
    <row r="448" spans="1:19">
      <c r="A448" s="158"/>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0.3</v>
      </c>
      <c r="R448" s="711">
        <f t="shared" si="82"/>
        <v>0</v>
      </c>
      <c r="S448" s="360">
        <f t="shared" si="83"/>
        <v>0</v>
      </c>
    </row>
    <row r="449" spans="1:19">
      <c r="A449" s="158"/>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0.3</v>
      </c>
      <c r="R449" s="711">
        <f t="shared" si="82"/>
        <v>0</v>
      </c>
      <c r="S449" s="360">
        <f t="shared" si="83"/>
        <v>0</v>
      </c>
    </row>
    <row r="450" spans="1:19">
      <c r="A450" s="158"/>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0.3</v>
      </c>
      <c r="R450" s="711">
        <f t="shared" si="82"/>
        <v>0</v>
      </c>
      <c r="S450" s="360">
        <f t="shared" si="83"/>
        <v>0</v>
      </c>
    </row>
    <row r="451" spans="1:19">
      <c r="A451" s="158"/>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0.3</v>
      </c>
      <c r="R451" s="711">
        <f t="shared" si="82"/>
        <v>0</v>
      </c>
      <c r="S451" s="360">
        <f t="shared" si="83"/>
        <v>0</v>
      </c>
    </row>
    <row r="452" spans="1:19">
      <c r="A452" s="158"/>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0.3</v>
      </c>
      <c r="R452" s="711">
        <f t="shared" si="82"/>
        <v>0</v>
      </c>
      <c r="S452" s="360">
        <f t="shared" si="83"/>
        <v>0</v>
      </c>
    </row>
    <row r="453" spans="1:19">
      <c r="A453" s="158"/>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0.3</v>
      </c>
      <c r="R453" s="711">
        <f t="shared" si="82"/>
        <v>0</v>
      </c>
      <c r="S453" s="360">
        <f t="shared" si="83"/>
        <v>0</v>
      </c>
    </row>
    <row r="454" spans="1:19">
      <c r="A454" s="158"/>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0.3</v>
      </c>
      <c r="R454" s="711">
        <f t="shared" si="82"/>
        <v>0</v>
      </c>
      <c r="S454" s="360">
        <f t="shared" si="83"/>
        <v>0</v>
      </c>
    </row>
    <row r="455" spans="1:19">
      <c r="A455" s="158"/>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0.3</v>
      </c>
      <c r="R455" s="711">
        <f t="shared" si="82"/>
        <v>0</v>
      </c>
      <c r="S455" s="360">
        <f t="shared" si="83"/>
        <v>0</v>
      </c>
    </row>
    <row r="456" spans="1:19">
      <c r="A456" s="158"/>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0.3</v>
      </c>
      <c r="R456" s="711">
        <f t="shared" si="82"/>
        <v>0</v>
      </c>
      <c r="S456" s="360">
        <f t="shared" si="83"/>
        <v>0</v>
      </c>
    </row>
    <row r="457" spans="1:19">
      <c r="A457" s="158"/>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0.3</v>
      </c>
      <c r="R457" s="711">
        <f t="shared" si="82"/>
        <v>0</v>
      </c>
      <c r="S457" s="360">
        <f t="shared" si="83"/>
        <v>0</v>
      </c>
    </row>
    <row r="458" spans="1:19">
      <c r="A458" s="158"/>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0.3</v>
      </c>
      <c r="R458" s="711">
        <f t="shared" si="82"/>
        <v>0</v>
      </c>
      <c r="S458" s="360">
        <f t="shared" si="83"/>
        <v>0</v>
      </c>
    </row>
    <row r="459" spans="1:19">
      <c r="A459" s="158"/>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0.3</v>
      </c>
      <c r="R459" s="711">
        <f t="shared" si="82"/>
        <v>0</v>
      </c>
      <c r="S459" s="360">
        <f t="shared" si="83"/>
        <v>0</v>
      </c>
    </row>
    <row r="460" spans="1:19">
      <c r="A460" s="158"/>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0.3</v>
      </c>
      <c r="R460" s="711">
        <f t="shared" si="82"/>
        <v>0</v>
      </c>
      <c r="S460" s="360">
        <f t="shared" si="83"/>
        <v>0</v>
      </c>
    </row>
    <row r="461" spans="1:19">
      <c r="A461" s="158"/>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0.3</v>
      </c>
      <c r="R461" s="711">
        <f t="shared" si="82"/>
        <v>0</v>
      </c>
      <c r="S461" s="360">
        <f t="shared" si="83"/>
        <v>0</v>
      </c>
    </row>
    <row r="462" spans="1:19">
      <c r="A462" s="158"/>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0.3</v>
      </c>
      <c r="R462" s="711">
        <f t="shared" si="82"/>
        <v>0</v>
      </c>
      <c r="S462" s="360">
        <f t="shared" si="83"/>
        <v>0</v>
      </c>
    </row>
    <row r="463" spans="1:19">
      <c r="A463" s="158"/>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0.3</v>
      </c>
      <c r="R463" s="711">
        <f t="shared" si="82"/>
        <v>0</v>
      </c>
      <c r="S463" s="360">
        <f t="shared" si="83"/>
        <v>0</v>
      </c>
    </row>
    <row r="464" spans="1:19">
      <c r="A464" s="158"/>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0.3</v>
      </c>
      <c r="R464" s="711">
        <f t="shared" si="82"/>
        <v>0</v>
      </c>
      <c r="S464" s="360">
        <f t="shared" si="83"/>
        <v>0</v>
      </c>
    </row>
    <row r="465" spans="1:19">
      <c r="A465" s="158"/>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0.3</v>
      </c>
      <c r="R465" s="711">
        <f t="shared" si="82"/>
        <v>0</v>
      </c>
      <c r="S465" s="360">
        <f t="shared" si="83"/>
        <v>0</v>
      </c>
    </row>
    <row r="466" spans="1:19">
      <c r="A466" s="158"/>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0.3</v>
      </c>
      <c r="R466" s="711">
        <f t="shared" si="82"/>
        <v>0</v>
      </c>
      <c r="S466" s="360">
        <f t="shared" si="83"/>
        <v>0</v>
      </c>
    </row>
    <row r="467" spans="1:19">
      <c r="A467" s="158"/>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0.3</v>
      </c>
      <c r="R467" s="711">
        <f t="shared" si="82"/>
        <v>0</v>
      </c>
      <c r="S467" s="360">
        <f t="shared" si="83"/>
        <v>0</v>
      </c>
    </row>
    <row r="468" spans="1:19">
      <c r="A468" s="158"/>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0.3</v>
      </c>
      <c r="R468" s="711">
        <f t="shared" si="82"/>
        <v>0</v>
      </c>
      <c r="S468" s="360">
        <f t="shared" ref="S468:S497" si="84">ROUND(R468*B468/10000,0)</f>
        <v>0</v>
      </c>
    </row>
    <row r="469" spans="1:19">
      <c r="A469" s="158"/>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0.3</v>
      </c>
      <c r="R469" s="711">
        <f t="shared" si="82"/>
        <v>0</v>
      </c>
      <c r="S469" s="360">
        <f t="shared" si="84"/>
        <v>0</v>
      </c>
    </row>
    <row r="470" spans="1:19">
      <c r="A470" s="158"/>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0.3</v>
      </c>
      <c r="R470" s="711">
        <f t="shared" si="82"/>
        <v>0</v>
      </c>
      <c r="S470" s="360">
        <f t="shared" si="84"/>
        <v>0</v>
      </c>
    </row>
    <row r="471" spans="1:19">
      <c r="A471" s="158"/>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0.3</v>
      </c>
      <c r="R471" s="711">
        <f t="shared" si="82"/>
        <v>0</v>
      </c>
      <c r="S471" s="360">
        <f t="shared" si="84"/>
        <v>0</v>
      </c>
    </row>
    <row r="472" spans="1:19">
      <c r="A472" s="158"/>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0.3</v>
      </c>
      <c r="R472" s="711">
        <f t="shared" si="82"/>
        <v>0</v>
      </c>
      <c r="S472" s="360">
        <f t="shared" si="84"/>
        <v>0</v>
      </c>
    </row>
    <row r="473" spans="1:19">
      <c r="A473" s="158"/>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0.3</v>
      </c>
      <c r="R473" s="711">
        <f t="shared" si="82"/>
        <v>0</v>
      </c>
      <c r="S473" s="360">
        <f t="shared" si="84"/>
        <v>0</v>
      </c>
    </row>
    <row r="474" spans="1:19">
      <c r="A474" s="158"/>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0.3</v>
      </c>
      <c r="R474" s="711">
        <f t="shared" ref="R474:R524" si="93">IF(B474="",0,ROUND($R$24*C474*E474*G474*I474*K474*M474*O474*Q474,0))</f>
        <v>0</v>
      </c>
      <c r="S474" s="360">
        <f t="shared" si="84"/>
        <v>0</v>
      </c>
    </row>
    <row r="475" spans="1:19">
      <c r="A475" s="158"/>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0.3</v>
      </c>
      <c r="R475" s="711">
        <f t="shared" si="93"/>
        <v>0</v>
      </c>
      <c r="S475" s="360">
        <f t="shared" si="84"/>
        <v>0</v>
      </c>
    </row>
    <row r="476" spans="1:19">
      <c r="A476" s="158"/>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0.3</v>
      </c>
      <c r="R476" s="711">
        <f t="shared" si="93"/>
        <v>0</v>
      </c>
      <c r="S476" s="360">
        <f t="shared" si="84"/>
        <v>0</v>
      </c>
    </row>
    <row r="477" spans="1:19">
      <c r="A477" s="158"/>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0.3</v>
      </c>
      <c r="R477" s="711">
        <f t="shared" si="93"/>
        <v>0</v>
      </c>
      <c r="S477" s="360">
        <f t="shared" si="84"/>
        <v>0</v>
      </c>
    </row>
    <row r="478" spans="1:19">
      <c r="A478" s="158"/>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0.3</v>
      </c>
      <c r="R478" s="711">
        <f t="shared" si="93"/>
        <v>0</v>
      </c>
      <c r="S478" s="360">
        <f t="shared" si="84"/>
        <v>0</v>
      </c>
    </row>
    <row r="479" spans="1:19">
      <c r="A479" s="158"/>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0.3</v>
      </c>
      <c r="R479" s="711">
        <f t="shared" si="93"/>
        <v>0</v>
      </c>
      <c r="S479" s="360">
        <f t="shared" si="84"/>
        <v>0</v>
      </c>
    </row>
    <row r="480" spans="1:19">
      <c r="A480" s="158"/>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0.3</v>
      </c>
      <c r="R480" s="711">
        <f t="shared" si="93"/>
        <v>0</v>
      </c>
      <c r="S480" s="360">
        <f t="shared" si="84"/>
        <v>0</v>
      </c>
    </row>
    <row r="481" spans="1:19">
      <c r="A481" s="158"/>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0.3</v>
      </c>
      <c r="R481" s="711">
        <f t="shared" si="93"/>
        <v>0</v>
      </c>
      <c r="S481" s="360">
        <f t="shared" si="84"/>
        <v>0</v>
      </c>
    </row>
    <row r="482" spans="1:19">
      <c r="A482" s="158"/>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0.3</v>
      </c>
      <c r="R482" s="711">
        <f t="shared" si="93"/>
        <v>0</v>
      </c>
      <c r="S482" s="360">
        <f t="shared" si="84"/>
        <v>0</v>
      </c>
    </row>
    <row r="483" spans="1:19">
      <c r="A483" s="158"/>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0.3</v>
      </c>
      <c r="R483" s="711">
        <f t="shared" si="93"/>
        <v>0</v>
      </c>
      <c r="S483" s="360">
        <f t="shared" si="84"/>
        <v>0</v>
      </c>
    </row>
    <row r="484" spans="1:19">
      <c r="A484" s="158"/>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0.3</v>
      </c>
      <c r="R484" s="711">
        <f t="shared" si="93"/>
        <v>0</v>
      </c>
      <c r="S484" s="360">
        <f t="shared" si="84"/>
        <v>0</v>
      </c>
    </row>
    <row r="485" spans="1:19">
      <c r="A485" s="158"/>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0.3</v>
      </c>
      <c r="R485" s="711">
        <f t="shared" si="93"/>
        <v>0</v>
      </c>
      <c r="S485" s="360">
        <f t="shared" si="84"/>
        <v>0</v>
      </c>
    </row>
    <row r="486" spans="1:19">
      <c r="A486" s="158"/>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0.3</v>
      </c>
      <c r="R486" s="711">
        <f t="shared" si="93"/>
        <v>0</v>
      </c>
      <c r="S486" s="360">
        <f t="shared" si="84"/>
        <v>0</v>
      </c>
    </row>
    <row r="487" spans="1:19">
      <c r="A487" s="158"/>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0.3</v>
      </c>
      <c r="R487" s="711">
        <f t="shared" si="93"/>
        <v>0</v>
      </c>
      <c r="S487" s="360">
        <f t="shared" si="84"/>
        <v>0</v>
      </c>
    </row>
    <row r="488" spans="1:19">
      <c r="A488" s="158"/>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0.3</v>
      </c>
      <c r="R488" s="711">
        <f t="shared" si="93"/>
        <v>0</v>
      </c>
      <c r="S488" s="360">
        <f t="shared" si="84"/>
        <v>0</v>
      </c>
    </row>
    <row r="489" spans="1:19">
      <c r="A489" s="158"/>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0.3</v>
      </c>
      <c r="R489" s="711">
        <f t="shared" si="93"/>
        <v>0</v>
      </c>
      <c r="S489" s="360">
        <f t="shared" si="84"/>
        <v>0</v>
      </c>
    </row>
    <row r="490" spans="1:19">
      <c r="A490" s="158"/>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0.3</v>
      </c>
      <c r="R490" s="711">
        <f t="shared" si="93"/>
        <v>0</v>
      </c>
      <c r="S490" s="360">
        <f t="shared" si="84"/>
        <v>0</v>
      </c>
    </row>
    <row r="491" spans="1:19">
      <c r="A491" s="158"/>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0.3</v>
      </c>
      <c r="R491" s="711">
        <f t="shared" si="93"/>
        <v>0</v>
      </c>
      <c r="S491" s="360">
        <f t="shared" si="84"/>
        <v>0</v>
      </c>
    </row>
    <row r="492" spans="1:19">
      <c r="A492" s="158"/>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0.3</v>
      </c>
      <c r="R492" s="711">
        <f t="shared" si="93"/>
        <v>0</v>
      </c>
      <c r="S492" s="360">
        <f t="shared" si="84"/>
        <v>0</v>
      </c>
    </row>
    <row r="493" spans="1:19">
      <c r="A493" s="158"/>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0.3</v>
      </c>
      <c r="R493" s="711">
        <f t="shared" si="93"/>
        <v>0</v>
      </c>
      <c r="S493" s="360">
        <f t="shared" si="84"/>
        <v>0</v>
      </c>
    </row>
    <row r="494" spans="1:19">
      <c r="A494" s="158"/>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0.3</v>
      </c>
      <c r="R494" s="711">
        <f t="shared" si="93"/>
        <v>0</v>
      </c>
      <c r="S494" s="360">
        <f t="shared" si="84"/>
        <v>0</v>
      </c>
    </row>
    <row r="495" spans="1:19">
      <c r="A495" s="158"/>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0.3</v>
      </c>
      <c r="R495" s="711">
        <f t="shared" si="93"/>
        <v>0</v>
      </c>
      <c r="S495" s="360">
        <f t="shared" si="84"/>
        <v>0</v>
      </c>
    </row>
    <row r="496" spans="1:19">
      <c r="A496" s="158"/>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0.3</v>
      </c>
      <c r="R496" s="711">
        <f t="shared" si="93"/>
        <v>0</v>
      </c>
      <c r="S496" s="360">
        <f t="shared" si="84"/>
        <v>0</v>
      </c>
    </row>
    <row r="497" spans="1:19">
      <c r="A497" s="158"/>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0.3</v>
      </c>
      <c r="R497" s="711">
        <f t="shared" si="93"/>
        <v>0</v>
      </c>
      <c r="S497" s="360">
        <f t="shared" si="84"/>
        <v>0</v>
      </c>
    </row>
    <row r="498" spans="1:19">
      <c r="A498" s="158"/>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0.3</v>
      </c>
      <c r="R498" s="711">
        <f t="shared" si="93"/>
        <v>0</v>
      </c>
      <c r="S498" s="360">
        <f t="shared" ref="S498:S524" si="94">ROUND(R498*B498/10000,0)</f>
        <v>0</v>
      </c>
    </row>
    <row r="499" spans="1:19">
      <c r="A499" s="158"/>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0.3</v>
      </c>
      <c r="R499" s="711">
        <f t="shared" si="93"/>
        <v>0</v>
      </c>
      <c r="S499" s="360">
        <f t="shared" si="94"/>
        <v>0</v>
      </c>
    </row>
    <row r="500" spans="1:19">
      <c r="A500" s="158"/>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0.3</v>
      </c>
      <c r="R500" s="711">
        <f t="shared" si="93"/>
        <v>0</v>
      </c>
      <c r="S500" s="360">
        <f t="shared" si="94"/>
        <v>0</v>
      </c>
    </row>
    <row r="501" spans="1:19">
      <c r="A501" s="158"/>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0.3</v>
      </c>
      <c r="R501" s="711">
        <f t="shared" si="93"/>
        <v>0</v>
      </c>
      <c r="S501" s="360">
        <f t="shared" si="94"/>
        <v>0</v>
      </c>
    </row>
    <row r="502" spans="1:19">
      <c r="A502" s="158"/>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0.3</v>
      </c>
      <c r="R502" s="711">
        <f t="shared" si="93"/>
        <v>0</v>
      </c>
      <c r="S502" s="360">
        <f t="shared" si="94"/>
        <v>0</v>
      </c>
    </row>
    <row r="503" spans="1:19">
      <c r="A503" s="158"/>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0.3</v>
      </c>
      <c r="R503" s="711">
        <f t="shared" si="93"/>
        <v>0</v>
      </c>
      <c r="S503" s="360">
        <f t="shared" si="94"/>
        <v>0</v>
      </c>
    </row>
    <row r="504" spans="1:19">
      <c r="A504" s="158"/>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0.3</v>
      </c>
      <c r="R504" s="711">
        <f t="shared" si="93"/>
        <v>0</v>
      </c>
      <c r="S504" s="360">
        <f t="shared" si="94"/>
        <v>0</v>
      </c>
    </row>
    <row r="505" spans="1:19">
      <c r="A505" s="158"/>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0.3</v>
      </c>
      <c r="R505" s="711">
        <f t="shared" si="93"/>
        <v>0</v>
      </c>
      <c r="S505" s="360">
        <f t="shared" si="94"/>
        <v>0</v>
      </c>
    </row>
    <row r="506" spans="1:19">
      <c r="A506" s="158"/>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0.3</v>
      </c>
      <c r="R506" s="711">
        <f t="shared" si="93"/>
        <v>0</v>
      </c>
      <c r="S506" s="360">
        <f t="shared" si="94"/>
        <v>0</v>
      </c>
    </row>
    <row r="507" spans="1:19">
      <c r="A507" s="158"/>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0.3</v>
      </c>
      <c r="R507" s="711">
        <f t="shared" si="93"/>
        <v>0</v>
      </c>
      <c r="S507" s="360">
        <f t="shared" si="94"/>
        <v>0</v>
      </c>
    </row>
    <row r="508" spans="1:19">
      <c r="A508" s="158"/>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0.3</v>
      </c>
      <c r="R508" s="711">
        <f t="shared" si="93"/>
        <v>0</v>
      </c>
      <c r="S508" s="360">
        <f t="shared" si="94"/>
        <v>0</v>
      </c>
    </row>
    <row r="509" spans="1:19">
      <c r="A509" s="158"/>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0.3</v>
      </c>
      <c r="R509" s="711">
        <f t="shared" si="93"/>
        <v>0</v>
      </c>
      <c r="S509" s="360">
        <f t="shared" si="94"/>
        <v>0</v>
      </c>
    </row>
    <row r="510" spans="1:19">
      <c r="A510" s="158"/>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0.3</v>
      </c>
      <c r="R510" s="711">
        <f t="shared" si="93"/>
        <v>0</v>
      </c>
      <c r="S510" s="360">
        <f t="shared" si="94"/>
        <v>0</v>
      </c>
    </row>
    <row r="511" spans="1:19">
      <c r="A511" s="158"/>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0.3</v>
      </c>
      <c r="R511" s="711">
        <f t="shared" si="93"/>
        <v>0</v>
      </c>
      <c r="S511" s="360">
        <f t="shared" si="94"/>
        <v>0</v>
      </c>
    </row>
    <row r="512" spans="1:19">
      <c r="A512" s="158"/>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0.3</v>
      </c>
      <c r="R512" s="711">
        <f t="shared" si="93"/>
        <v>0</v>
      </c>
      <c r="S512" s="360">
        <f t="shared" si="94"/>
        <v>0</v>
      </c>
    </row>
    <row r="513" spans="1:19">
      <c r="A513" s="158"/>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0.3</v>
      </c>
      <c r="R513" s="711">
        <f t="shared" si="93"/>
        <v>0</v>
      </c>
      <c r="S513" s="360">
        <f t="shared" si="94"/>
        <v>0</v>
      </c>
    </row>
    <row r="514" spans="1:19">
      <c r="A514" s="158"/>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0.3</v>
      </c>
      <c r="R514" s="711">
        <f t="shared" si="93"/>
        <v>0</v>
      </c>
      <c r="S514" s="360">
        <f t="shared" si="94"/>
        <v>0</v>
      </c>
    </row>
    <row r="515" spans="1:19">
      <c r="A515" s="158"/>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0.3</v>
      </c>
      <c r="R515" s="711">
        <f t="shared" si="93"/>
        <v>0</v>
      </c>
      <c r="S515" s="360">
        <f t="shared" si="94"/>
        <v>0</v>
      </c>
    </row>
    <row r="516" spans="1:19">
      <c r="A516" s="158"/>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0.3</v>
      </c>
      <c r="R516" s="711">
        <f t="shared" si="93"/>
        <v>0</v>
      </c>
      <c r="S516" s="360">
        <f t="shared" si="94"/>
        <v>0</v>
      </c>
    </row>
    <row r="517" spans="1:19">
      <c r="A517" s="158"/>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0.3</v>
      </c>
      <c r="R517" s="711">
        <f t="shared" si="93"/>
        <v>0</v>
      </c>
      <c r="S517" s="360">
        <f t="shared" si="94"/>
        <v>0</v>
      </c>
    </row>
    <row r="518" spans="1:19">
      <c r="A518" s="158"/>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0.3</v>
      </c>
      <c r="R518" s="711">
        <f t="shared" si="93"/>
        <v>0</v>
      </c>
      <c r="S518" s="360">
        <f t="shared" si="94"/>
        <v>0</v>
      </c>
    </row>
    <row r="519" spans="1:19">
      <c r="A519" s="158"/>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0.3</v>
      </c>
      <c r="R519" s="711">
        <f t="shared" si="93"/>
        <v>0</v>
      </c>
      <c r="S519" s="360">
        <f t="shared" si="94"/>
        <v>0</v>
      </c>
    </row>
    <row r="520" spans="1:19">
      <c r="A520" s="158"/>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0.3</v>
      </c>
      <c r="R520" s="711">
        <f t="shared" si="93"/>
        <v>0</v>
      </c>
      <c r="S520" s="360">
        <f t="shared" si="94"/>
        <v>0</v>
      </c>
    </row>
    <row r="521" spans="1:19">
      <c r="A521" s="158"/>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0.3</v>
      </c>
      <c r="R521" s="711">
        <f t="shared" si="93"/>
        <v>0</v>
      </c>
      <c r="S521" s="360">
        <f t="shared" si="94"/>
        <v>0</v>
      </c>
    </row>
    <row r="522" spans="1:19">
      <c r="A522" s="158"/>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0.3</v>
      </c>
      <c r="R522" s="711">
        <f t="shared" si="93"/>
        <v>0</v>
      </c>
      <c r="S522" s="360">
        <f t="shared" si="94"/>
        <v>0</v>
      </c>
    </row>
    <row r="523" spans="1:19">
      <c r="A523" s="158"/>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0.3</v>
      </c>
      <c r="R523" s="711">
        <f t="shared" si="93"/>
        <v>0</v>
      </c>
      <c r="S523" s="360">
        <f t="shared" si="94"/>
        <v>0</v>
      </c>
    </row>
    <row r="524" spans="1:19">
      <c r="A524" s="158"/>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0.3</v>
      </c>
      <c r="R524" s="711">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28550</v>
      </c>
      <c r="C2" s="2" t="s">
        <v>133</v>
      </c>
      <c r="D2" s="242"/>
      <c r="E2" s="242"/>
      <c r="F2" s="242"/>
      <c r="G2" s="242"/>
    </row>
    <row r="3" spans="1:7" s="243" customFormat="1" ht="18" customHeight="1" thickBot="1">
      <c r="A3" s="246" t="s">
        <v>85</v>
      </c>
      <c r="B3" s="247">
        <f ca="1">ROUND(B2*10000/'数据-汇总表'!E3,0)</f>
        <v>36055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105</v>
      </c>
      <c r="F9" s="264"/>
      <c r="G9" s="269"/>
    </row>
    <row r="10" spans="1:7" s="257" customFormat="1" ht="13.5" customHeight="1">
      <c r="A10" s="948" t="s">
        <v>801</v>
      </c>
      <c r="B10" s="267" t="s">
        <v>94</v>
      </c>
      <c r="C10" s="268">
        <f>ROUND(D10*E10/10000,0)</f>
        <v>83</v>
      </c>
      <c r="D10" s="1030">
        <f>'数据-汇总表'!E6</f>
        <v>7918.4</v>
      </c>
      <c r="E10" s="268">
        <f>'数据-取费表'!B28</f>
        <v>105</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158</v>
      </c>
      <c r="D19" s="1034">
        <f>'数据-汇总表'!E3</f>
        <v>7918.4</v>
      </c>
      <c r="E19" s="254">
        <f>'数据-取费表'!B31</f>
        <v>200</v>
      </c>
      <c r="F19" s="274"/>
      <c r="G19" s="1" t="s">
        <v>1074</v>
      </c>
    </row>
    <row r="20" spans="1:7" s="257" customFormat="1" ht="13.5" customHeight="1">
      <c r="A20" s="946" t="s">
        <v>1057</v>
      </c>
      <c r="B20" s="253" t="s">
        <v>104</v>
      </c>
      <c r="C20" s="275">
        <f>ROUND((C5+C19)*F20,0)</f>
        <v>415</v>
      </c>
      <c r="D20" s="275"/>
      <c r="E20" s="275"/>
      <c r="F20" s="276">
        <f>'数据-取费表'!B37</f>
        <v>0.02</v>
      </c>
      <c r="G20" s="1286" t="s">
        <v>1068</v>
      </c>
    </row>
    <row r="21" spans="1:7" s="257" customFormat="1" ht="13.5" customHeight="1">
      <c r="A21" s="946" t="s">
        <v>1059</v>
      </c>
      <c r="B21" s="253" t="s">
        <v>105</v>
      </c>
      <c r="C21" s="278">
        <f>F21</f>
        <v>1.4999999999999999E-2</v>
      </c>
      <c r="D21" s="279" t="s">
        <v>126</v>
      </c>
      <c r="E21" s="275"/>
      <c r="F21" s="276">
        <f>'数据-取费表'!B38</f>
        <v>1.4999999999999999E-2</v>
      </c>
      <c r="G21" s="277" t="s">
        <v>106</v>
      </c>
    </row>
    <row r="22" spans="1:7" s="257" customFormat="1" ht="13.5" customHeight="1">
      <c r="A22" s="946" t="s">
        <v>786</v>
      </c>
      <c r="B22" s="253" t="s">
        <v>107</v>
      </c>
      <c r="C22" s="1351">
        <f ca="1">ROUND(SUM(C23:C25),0)</f>
        <v>913</v>
      </c>
      <c r="D22" s="278">
        <f ca="1">C26</f>
        <v>2.9999999999999997E-4</v>
      </c>
      <c r="E22" s="279" t="s">
        <v>126</v>
      </c>
      <c r="F22" s="280">
        <f ca="1">'数据-取费表'!B40</f>
        <v>4.3499999999999997E-2</v>
      </c>
      <c r="G22" s="1286" t="str">
        <f>IF('数据-取费表'!B22&lt;=1,"单利计息","复利计息")</f>
        <v>单利计息</v>
      </c>
    </row>
    <row r="23" spans="1:7" s="257" customFormat="1" ht="13.5" customHeight="1">
      <c r="A23" s="949" t="s">
        <v>794</v>
      </c>
      <c r="B23" s="258" t="s">
        <v>1061</v>
      </c>
      <c r="C23" s="1352">
        <f ca="1">ROUND(IF('数据-取费表'!B22&lt;=1,C5*F22*'数据-取费表'!B23,C5*(POWER((1+F22),'数据-取费表'!B23)-1)),0)</f>
        <v>897</v>
      </c>
      <c r="D23" s="281"/>
      <c r="E23" s="281"/>
      <c r="F23" s="282"/>
      <c r="G23" s="283" t="s">
        <v>108</v>
      </c>
    </row>
    <row r="24" spans="1:7" s="257" customFormat="1" ht="13.5" customHeight="1">
      <c r="A24" s="949" t="s">
        <v>792</v>
      </c>
      <c r="B24" s="258" t="s">
        <v>1056</v>
      </c>
      <c r="C24" s="1352">
        <f ca="1">ROUND(IF('数据-取费表'!B22&lt;=1,C19*F22*('数据-取费表'!B19/2+'数据-取费表'!B21),C19*(POWER((1+F22),('数据-取费表'!B19/2+'数据-取费表'!B21))-1)),0)</f>
        <v>7</v>
      </c>
      <c r="D24" s="281"/>
      <c r="E24" s="281"/>
      <c r="F24" s="282"/>
      <c r="G24" s="283" t="s">
        <v>109</v>
      </c>
    </row>
    <row r="25" spans="1:7" s="257" customFormat="1" ht="24">
      <c r="A25" s="949" t="s">
        <v>793</v>
      </c>
      <c r="B25" s="258" t="s">
        <v>1058</v>
      </c>
      <c r="C25" s="1352">
        <f ca="1">ROUND(IF('数据-取费表'!B22&lt;=1,C20*F22*'数据-取费表'!B23/2,C20*(POWER((1+F22),'数据-取费表'!B23/2)-1)),0)</f>
        <v>9</v>
      </c>
      <c r="D25" s="281"/>
      <c r="E25" s="284"/>
      <c r="F25" s="282"/>
      <c r="G25" s="285" t="s">
        <v>110</v>
      </c>
    </row>
    <row r="26" spans="1:7" s="257" customFormat="1">
      <c r="A26" s="949" t="s">
        <v>795</v>
      </c>
      <c r="B26" s="258" t="s">
        <v>1060</v>
      </c>
      <c r="C26" s="281">
        <f ca="1">ROUND(IF('数据-取费表'!B22&lt;=1,F21*F22*'数据-取费表'!B23/2,F21*(POWER((1+F22),'数据-取费表'!B23/2)-1)),4)</f>
        <v>2.9999999999999997E-4</v>
      </c>
      <c r="D26" s="281"/>
      <c r="E26" s="284"/>
      <c r="F26" s="282"/>
      <c r="G26" s="286"/>
    </row>
    <row r="27" spans="1:7" s="257" customFormat="1" ht="24.75">
      <c r="A27" s="946" t="s">
        <v>787</v>
      </c>
      <c r="B27" s="287" t="s">
        <v>112</v>
      </c>
      <c r="C27" s="288">
        <f>C28</f>
        <v>2118</v>
      </c>
      <c r="D27" s="278">
        <f>C29</f>
        <v>1.5E-3</v>
      </c>
      <c r="E27" s="279" t="s">
        <v>126</v>
      </c>
      <c r="F27" s="289">
        <f>'数据-取费表'!Q16</f>
        <v>0.1</v>
      </c>
      <c r="G27" s="290" t="s">
        <v>1069</v>
      </c>
    </row>
    <row r="28" spans="1:7" s="257" customFormat="1" ht="13.5" customHeight="1">
      <c r="A28" s="949" t="s">
        <v>794</v>
      </c>
      <c r="B28" s="291" t="s">
        <v>1062</v>
      </c>
      <c r="C28" s="292">
        <f>ROUND((C5+C19+C20)*F27*'数据-取费表'!B21/'数据-取费表'!B20,0)</f>
        <v>2118</v>
      </c>
      <c r="D28" s="278"/>
      <c r="E28" s="279"/>
      <c r="F28" s="289"/>
      <c r="G28" s="290"/>
    </row>
    <row r="29" spans="1:7" s="257" customFormat="1" ht="13.5" customHeight="1">
      <c r="A29" s="949" t="s">
        <v>792</v>
      </c>
      <c r="B29" s="291" t="s">
        <v>1063</v>
      </c>
      <c r="C29" s="281">
        <f>ROUND(C21*F27*'数据-取费表'!B21/'数据-取费表'!B20,4)</f>
        <v>1.5E-3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26040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2267</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1980</v>
      </c>
      <c r="D34" s="260"/>
      <c r="E34" s="263"/>
      <c r="F34" s="300">
        <f>IF('数据-取费表'!B24=0,1,'数据-取费表'!N16)</f>
        <v>1</v>
      </c>
      <c r="G34" s="262" t="s">
        <v>116</v>
      </c>
    </row>
    <row r="35" spans="1:7" ht="13.5" customHeight="1">
      <c r="A35" s="949" t="s">
        <v>796</v>
      </c>
      <c r="B35" s="258" t="s">
        <v>60</v>
      </c>
      <c r="C35" s="263">
        <f>ROUND(C34*F35,0)</f>
        <v>99</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158</v>
      </c>
      <c r="D37" s="260">
        <f>'数据-汇总表'!E3</f>
        <v>7918.4</v>
      </c>
      <c r="E37" s="292">
        <f>'数据-取费表'!B35</f>
        <v>200</v>
      </c>
      <c r="F37" s="302"/>
      <c r="G37" s="304" t="s">
        <v>119</v>
      </c>
    </row>
    <row r="38" spans="1:7" ht="13.5" customHeight="1">
      <c r="A38" s="949" t="s">
        <v>799</v>
      </c>
      <c r="B38" s="258" t="s">
        <v>63</v>
      </c>
      <c r="C38" s="263">
        <f>ROUND(C34*F38,0)</f>
        <v>30</v>
      </c>
      <c r="D38" s="263"/>
      <c r="E38" s="263"/>
      <c r="F38" s="302">
        <f>'数据-取费表'!B36</f>
        <v>1.4999999999999999E-2</v>
      </c>
      <c r="G38" s="262" t="s">
        <v>117</v>
      </c>
    </row>
    <row r="39" spans="1:7" s="257" customFormat="1" ht="13.5" customHeight="1">
      <c r="A39" s="946" t="s">
        <v>783</v>
      </c>
      <c r="B39" s="253" t="s">
        <v>104</v>
      </c>
      <c r="C39" s="275">
        <f>ROUND(C33*F20,0)</f>
        <v>45</v>
      </c>
      <c r="D39" s="275"/>
      <c r="E39" s="275"/>
      <c r="F39" s="276"/>
      <c r="G39" s="1286" t="s">
        <v>1071</v>
      </c>
    </row>
    <row r="40" spans="1:7" s="257" customFormat="1" ht="13.5" customHeight="1">
      <c r="A40" s="946" t="s">
        <v>784</v>
      </c>
      <c r="B40" s="253" t="s">
        <v>105</v>
      </c>
      <c r="C40" s="305">
        <f>F21</f>
        <v>1.4999999999999999E-2</v>
      </c>
      <c r="D40" s="279" t="s">
        <v>129</v>
      </c>
      <c r="E40" s="275"/>
      <c r="F40" s="276"/>
      <c r="G40" s="277" t="s">
        <v>120</v>
      </c>
    </row>
    <row r="41" spans="1:7" s="257" customFormat="1" ht="13.5" customHeight="1">
      <c r="A41" s="946" t="s">
        <v>785</v>
      </c>
      <c r="B41" s="253" t="s">
        <v>107</v>
      </c>
      <c r="C41" s="275">
        <f ca="1">ROUND(SUM(C42:C43),0)</f>
        <v>50</v>
      </c>
      <c r="D41" s="278">
        <f ca="1">C44</f>
        <v>2.9999999999999997E-4</v>
      </c>
      <c r="E41" s="279" t="s">
        <v>129</v>
      </c>
      <c r="F41" s="280"/>
      <c r="G41" s="1286" t="str">
        <f>IF('数据-取费表'!B22&lt;=1,"单利计息","复利计息")</f>
        <v>单利计息</v>
      </c>
    </row>
    <row r="42" spans="1:7" ht="13.5" customHeight="1">
      <c r="A42" s="949" t="s">
        <v>794</v>
      </c>
      <c r="B42" s="258" t="s">
        <v>1061</v>
      </c>
      <c r="C42" s="281">
        <f ca="1">ROUND(IF('数据-取费表'!B22&lt;=1,C33*F22*'数据-取费表'!B21/2,C33*(POWER((1+F22),'数据-取费表'!B21/2)-1)),0)</f>
        <v>49</v>
      </c>
      <c r="D42" s="281"/>
      <c r="E42" s="281"/>
      <c r="F42" s="282"/>
      <c r="G42" s="3175" t="s">
        <v>121</v>
      </c>
    </row>
    <row r="43" spans="1:7" ht="13.5" customHeight="1">
      <c r="A43" s="949" t="s">
        <v>792</v>
      </c>
      <c r="B43" s="258" t="s">
        <v>1064</v>
      </c>
      <c r="C43" s="281">
        <f ca="1">ROUND(IF('数据-取费表'!B22&lt;=1,C39*F22*'数据-取费表'!B21/2,C39*(POWER((1+F22),'数据-取费表'!B21/2)-1)),0)</f>
        <v>1</v>
      </c>
      <c r="D43" s="281"/>
      <c r="E43" s="281"/>
      <c r="F43" s="282"/>
      <c r="G43" s="3176"/>
    </row>
    <row r="44" spans="1:7" ht="13.5" customHeight="1">
      <c r="A44" s="949" t="s">
        <v>793</v>
      </c>
      <c r="B44" s="258" t="s">
        <v>1066</v>
      </c>
      <c r="C44" s="281">
        <f ca="1">ROUND(IF('数据-取费表'!B22&lt;=1,C40*F22*'数据-取费表'!B21/2,C40*(POWER((1+F22),'数据-取费表'!B21/2)-1)),4)</f>
        <v>2.9999999999999997E-4</v>
      </c>
      <c r="D44" s="281"/>
      <c r="E44" s="281"/>
      <c r="F44" s="282"/>
      <c r="G44" s="3177"/>
    </row>
    <row r="45" spans="1:7" s="257" customFormat="1" ht="13.5" customHeight="1">
      <c r="A45" s="946" t="s">
        <v>786</v>
      </c>
      <c r="B45" s="287" t="s">
        <v>112</v>
      </c>
      <c r="C45" s="288">
        <f>C46</f>
        <v>231</v>
      </c>
      <c r="D45" s="278">
        <f>C47</f>
        <v>1.5E-3</v>
      </c>
      <c r="E45" s="279" t="s">
        <v>129</v>
      </c>
      <c r="F45" s="289"/>
      <c r="G45" s="290" t="s">
        <v>1072</v>
      </c>
    </row>
    <row r="46" spans="1:7" s="257" customFormat="1" ht="13.5" customHeight="1">
      <c r="A46" s="949" t="s">
        <v>794</v>
      </c>
      <c r="B46" s="291" t="s">
        <v>1065</v>
      </c>
      <c r="C46" s="292">
        <f>ROUND((C33+C39)*F27,0)</f>
        <v>231</v>
      </c>
      <c r="D46" s="306"/>
      <c r="E46" s="279"/>
      <c r="F46" s="289"/>
      <c r="G46" s="290"/>
    </row>
    <row r="47" spans="1:7" s="257" customFormat="1" ht="13.5" customHeight="1">
      <c r="A47" s="949" t="s">
        <v>792</v>
      </c>
      <c r="B47" s="291" t="s">
        <v>1067</v>
      </c>
      <c r="C47" s="281">
        <f>ROUND(C40*F27,4)</f>
        <v>1.5E-3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2789</v>
      </c>
      <c r="D49" s="275"/>
      <c r="E49" s="275"/>
      <c r="F49" s="307"/>
      <c r="G49" s="277" t="s">
        <v>1073</v>
      </c>
    </row>
    <row r="50" spans="1:7" s="301" customFormat="1" ht="24">
      <c r="A50" s="946" t="s">
        <v>789</v>
      </c>
      <c r="B50" s="253" t="s">
        <v>124</v>
      </c>
      <c r="C50" s="275"/>
      <c r="D50" s="275"/>
      <c r="E50" s="275"/>
      <c r="F50" s="307">
        <f>IF('数据-取费表'!B24=0,'数据-取费表'!N16,1)</f>
        <v>0.9</v>
      </c>
      <c r="G50" s="290" t="s">
        <v>125</v>
      </c>
    </row>
    <row r="51" spans="1:7" ht="16.5" customHeight="1">
      <c r="A51" s="946" t="s">
        <v>790</v>
      </c>
      <c r="B51" s="253" t="s">
        <v>132</v>
      </c>
      <c r="C51" s="275">
        <f ca="1">ROUND(C49*F50,0)</f>
        <v>2510</v>
      </c>
      <c r="D51" s="275"/>
      <c r="E51" s="275"/>
      <c r="F51" s="307"/>
      <c r="G51" s="277" t="s">
        <v>64</v>
      </c>
    </row>
    <row r="52" spans="1:7" s="251" customFormat="1" ht="16.5" thickBot="1">
      <c r="A52" s="308" t="s">
        <v>65</v>
      </c>
      <c r="B52" s="309"/>
      <c r="C52" s="310">
        <f ca="1">C31+C51</f>
        <v>28550</v>
      </c>
      <c r="D52" s="309"/>
      <c r="E52" s="309"/>
      <c r="F52" s="309"/>
      <c r="G52" s="311"/>
    </row>
    <row r="55" spans="1:7" ht="15">
      <c r="B55" s="313" t="s">
        <v>66</v>
      </c>
      <c r="C55" s="314"/>
    </row>
    <row r="56" spans="1:7">
      <c r="B56" s="316" t="s">
        <v>67</v>
      </c>
      <c r="C56" s="317">
        <f ca="1">ROUND(C51/C52,3)</f>
        <v>8.7999999999999995E-2</v>
      </c>
    </row>
    <row r="57" spans="1:7">
      <c r="B57" s="316" t="s">
        <v>68</v>
      </c>
      <c r="C57" s="318">
        <f ca="1">1-C56</f>
        <v>0.91200000000000003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4" t="s">
        <v>156</v>
      </c>
      <c r="B1" s="3314"/>
      <c r="C1" s="3314"/>
      <c r="D1" s="3314"/>
      <c r="E1" s="3314"/>
      <c r="F1" s="331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5" t="s">
        <v>169</v>
      </c>
      <c r="B2" s="3315"/>
      <c r="C2" s="3315"/>
      <c r="D2" s="3315"/>
      <c r="E2" s="3315"/>
      <c r="F2" s="331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1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4" t="s">
        <v>871</v>
      </c>
      <c r="B1" s="331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43346</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G25" sqref="G25"/>
    </sheetView>
  </sheetViews>
  <sheetFormatPr defaultRowHeight="13.5"/>
  <cols>
    <col min="1" max="1" width="9" style="2975"/>
    <col min="2" max="2" width="34.75" style="2975" customWidth="1"/>
    <col min="3" max="3" width="37.625" style="2975" customWidth="1"/>
    <col min="4" max="4" width="0" style="2975" hidden="1" customWidth="1"/>
    <col min="5" max="5" width="9" style="2975"/>
    <col min="6" max="6" width="9" style="2978"/>
    <col min="7" max="16384" width="9" style="2975"/>
  </cols>
  <sheetData>
    <row r="1" spans="1:11" ht="25.5">
      <c r="A1" s="2972" t="s">
        <v>3186</v>
      </c>
      <c r="B1" s="2972"/>
      <c r="C1" s="2972" t="s">
        <v>3187</v>
      </c>
      <c r="D1" s="2972" t="s">
        <v>3188</v>
      </c>
      <c r="E1" s="2973" t="e">
        <f>#REF!</f>
        <v>#REF!</v>
      </c>
      <c r="F1" s="2974" t="s">
        <v>3189</v>
      </c>
      <c r="G1" s="2972" t="s">
        <v>3190</v>
      </c>
      <c r="H1" s="2972" t="s">
        <v>3191</v>
      </c>
      <c r="I1" s="2972" t="str">
        <f>典型户型修正!S23</f>
        <v>总价</v>
      </c>
      <c r="J1" s="2975" t="str">
        <f>典型户型修正!R23</f>
        <v>修正单价</v>
      </c>
    </row>
    <row r="2" spans="1:11" ht="24.75" customHeight="1">
      <c r="A2" s="2975">
        <v>1</v>
      </c>
      <c r="B2" s="2984" t="s">
        <v>3236</v>
      </c>
      <c r="C2" s="2972" t="s">
        <v>3185</v>
      </c>
      <c r="E2" s="2975">
        <v>101</v>
      </c>
      <c r="F2" s="2976" t="s">
        <v>3192</v>
      </c>
      <c r="G2" s="2977" t="s">
        <v>3193</v>
      </c>
      <c r="H2" s="2975">
        <f>典型户型修正!B24</f>
        <v>7918.4</v>
      </c>
      <c r="I2" s="2975">
        <f ca="1">典型户型修正!S24</f>
        <v>8740</v>
      </c>
      <c r="J2" s="2975">
        <f ca="1">典型户型修正!R24</f>
        <v>11037</v>
      </c>
    </row>
    <row r="3" spans="1:11" ht="14.25">
      <c r="A3" s="2975">
        <v>2</v>
      </c>
      <c r="B3" s="2985" t="s">
        <v>3234</v>
      </c>
      <c r="C3" s="2972" t="s">
        <v>3218</v>
      </c>
      <c r="E3" s="2975">
        <v>101</v>
      </c>
      <c r="F3" s="2976" t="s">
        <v>3192</v>
      </c>
      <c r="G3" s="2977" t="s">
        <v>3193</v>
      </c>
      <c r="H3" s="2975">
        <f>典型户型修正!B25</f>
        <v>4702.53</v>
      </c>
      <c r="I3" s="2975">
        <f ca="1">典型户型修正!S25</f>
        <v>5190</v>
      </c>
      <c r="J3" s="2975">
        <f ca="1">典型户型修正!R25</f>
        <v>11037</v>
      </c>
    </row>
    <row r="4" spans="1:11" ht="14.25">
      <c r="A4" s="2975">
        <v>3</v>
      </c>
      <c r="B4" s="2984" t="s">
        <v>3266</v>
      </c>
      <c r="C4" s="2972" t="s">
        <v>3219</v>
      </c>
      <c r="E4" s="2975">
        <v>101</v>
      </c>
      <c r="F4" s="2976" t="s">
        <v>3192</v>
      </c>
      <c r="G4" s="2977" t="s">
        <v>3193</v>
      </c>
      <c r="H4" s="2975">
        <f>典型户型修正!B26</f>
        <v>4786.18</v>
      </c>
      <c r="I4" s="2975">
        <f ca="1">典型户型修正!S26</f>
        <v>5283</v>
      </c>
      <c r="J4" s="2975">
        <f ca="1">典型户型修正!R26</f>
        <v>11037</v>
      </c>
    </row>
    <row r="5" spans="1:11" ht="14.25">
      <c r="A5" s="2975">
        <v>4</v>
      </c>
      <c r="B5" s="2984" t="s">
        <v>3238</v>
      </c>
      <c r="C5" s="2972" t="s">
        <v>3194</v>
      </c>
      <c r="E5" s="2975">
        <v>101</v>
      </c>
      <c r="F5" s="2976" t="s">
        <v>3220</v>
      </c>
      <c r="G5" s="2977" t="s">
        <v>3193</v>
      </c>
      <c r="H5" s="2975">
        <f>典型户型修正!B27</f>
        <v>3177.76</v>
      </c>
      <c r="I5" s="2975">
        <f ca="1">典型户型修正!S27</f>
        <v>3858</v>
      </c>
      <c r="J5" s="2975">
        <f ca="1">典型户型修正!R27</f>
        <v>12141</v>
      </c>
    </row>
    <row r="6" spans="1:11" ht="14.25">
      <c r="A6" s="2975">
        <v>5</v>
      </c>
      <c r="B6" s="2984" t="s">
        <v>3269</v>
      </c>
      <c r="C6" s="2972" t="s">
        <v>3195</v>
      </c>
      <c r="E6" s="2975">
        <v>101</v>
      </c>
      <c r="F6" s="2976" t="s">
        <v>3198</v>
      </c>
      <c r="G6" s="2977" t="s">
        <v>3193</v>
      </c>
      <c r="H6" s="2975">
        <f>典型户型修正!B28</f>
        <v>4397.32</v>
      </c>
      <c r="I6" s="2975">
        <f ca="1">典型户型修正!S28</f>
        <v>5339</v>
      </c>
      <c r="J6" s="2975">
        <f ca="1">典型户型修正!R28</f>
        <v>12141</v>
      </c>
    </row>
    <row r="7" spans="1:11" ht="14.25">
      <c r="A7" s="2975">
        <v>6</v>
      </c>
      <c r="B7" s="2984" t="s">
        <v>3232</v>
      </c>
      <c r="C7" s="2956" t="s">
        <v>3199</v>
      </c>
      <c r="E7" s="2957" t="s">
        <v>3201</v>
      </c>
      <c r="F7" s="2956" t="s">
        <v>3198</v>
      </c>
      <c r="G7" s="2977" t="s">
        <v>3193</v>
      </c>
      <c r="H7" s="2975">
        <v>190.46</v>
      </c>
      <c r="I7" s="2975">
        <f ca="1">典型户型修正!S29</f>
        <v>245</v>
      </c>
      <c r="J7" s="2975">
        <f ca="1">典型户型修正!R29</f>
        <v>12869</v>
      </c>
      <c r="K7" s="2958"/>
    </row>
    <row r="8" spans="1:11" ht="14.25">
      <c r="A8" s="2975">
        <v>7</v>
      </c>
      <c r="B8" s="2984" t="s">
        <v>3227</v>
      </c>
      <c r="C8" s="2956" t="s">
        <v>3199</v>
      </c>
      <c r="E8" s="2957" t="s">
        <v>3217</v>
      </c>
      <c r="F8" s="2956" t="s">
        <v>3198</v>
      </c>
      <c r="G8" s="2977" t="s">
        <v>3193</v>
      </c>
      <c r="H8" s="2975">
        <v>134.77000000000001</v>
      </c>
      <c r="I8" s="2975">
        <f ca="1">典型户型修正!S30</f>
        <v>173</v>
      </c>
      <c r="J8" s="2975">
        <f ca="1">典型户型修正!R30</f>
        <v>12869</v>
      </c>
      <c r="K8" s="2958"/>
    </row>
    <row r="9" spans="1:11" ht="14.25">
      <c r="A9" s="2975">
        <v>8</v>
      </c>
      <c r="B9" s="2984" t="s">
        <v>3225</v>
      </c>
      <c r="C9" s="2956" t="s">
        <v>3199</v>
      </c>
      <c r="E9" s="2957" t="s">
        <v>3200</v>
      </c>
      <c r="F9" s="2956" t="s">
        <v>3198</v>
      </c>
      <c r="G9" s="2977" t="s">
        <v>3193</v>
      </c>
      <c r="H9" s="2975">
        <v>131.19999999999999</v>
      </c>
      <c r="I9" s="2975">
        <f ca="1">典型户型修正!S31</f>
        <v>169</v>
      </c>
      <c r="J9" s="2975">
        <f ca="1">典型户型修正!R31</f>
        <v>12869</v>
      </c>
      <c r="K9" s="2958"/>
    </row>
    <row r="10" spans="1:11" ht="15" customHeight="1">
      <c r="A10" s="2975">
        <v>9</v>
      </c>
      <c r="B10" s="2984" t="s">
        <v>3276</v>
      </c>
      <c r="C10" s="2956" t="s">
        <v>3199</v>
      </c>
      <c r="E10" s="2957" t="s">
        <v>3213</v>
      </c>
      <c r="F10" s="2956" t="s">
        <v>3198</v>
      </c>
      <c r="G10" s="2977" t="s">
        <v>3193</v>
      </c>
      <c r="H10" s="2975">
        <v>134.77000000000001</v>
      </c>
      <c r="I10" s="2975">
        <f ca="1">典型户型修正!S32</f>
        <v>173</v>
      </c>
      <c r="J10" s="2975">
        <f ca="1">典型户型修正!R32</f>
        <v>12869</v>
      </c>
      <c r="K10" s="2958"/>
    </row>
    <row r="11" spans="1:11" ht="15" customHeight="1">
      <c r="A11" s="2975">
        <v>10</v>
      </c>
      <c r="B11" s="2984" t="s">
        <v>3228</v>
      </c>
      <c r="C11" s="2956" t="s">
        <v>3210</v>
      </c>
      <c r="E11" s="2957" t="s">
        <v>3211</v>
      </c>
      <c r="F11" s="2956" t="s">
        <v>3198</v>
      </c>
      <c r="G11" s="2977" t="s">
        <v>3193</v>
      </c>
      <c r="H11" s="2975">
        <v>222.8</v>
      </c>
      <c r="I11" s="2975">
        <f ca="1">典型户型修正!S33</f>
        <v>287</v>
      </c>
      <c r="J11" s="2975">
        <f ca="1">典型户型修正!R33</f>
        <v>12869</v>
      </c>
      <c r="K11" s="2958"/>
    </row>
    <row r="12" spans="1:11" ht="14.25">
      <c r="A12" s="2975">
        <v>11</v>
      </c>
      <c r="B12" s="2984" t="s">
        <v>3268</v>
      </c>
      <c r="C12" s="2956" t="s">
        <v>3212</v>
      </c>
      <c r="E12" s="2957" t="s">
        <v>3197</v>
      </c>
      <c r="F12" s="2956" t="s">
        <v>3198</v>
      </c>
      <c r="G12" s="2977" t="s">
        <v>3193</v>
      </c>
      <c r="H12" s="2975">
        <v>496.96</v>
      </c>
      <c r="I12" s="2975">
        <f ca="1">典型户型修正!S34</f>
        <v>640</v>
      </c>
      <c r="J12" s="2975">
        <f ca="1">典型户型修正!R34</f>
        <v>12869</v>
      </c>
      <c r="K12" s="2958"/>
    </row>
    <row r="13" spans="1:11" ht="15" customHeight="1">
      <c r="A13" s="2975">
        <v>12</v>
      </c>
      <c r="B13" s="2984" t="s">
        <v>3226</v>
      </c>
      <c r="C13" s="2956" t="s">
        <v>3196</v>
      </c>
      <c r="E13" s="2957" t="s">
        <v>3197</v>
      </c>
      <c r="F13" s="2956" t="s">
        <v>3198</v>
      </c>
      <c r="G13" s="2977" t="s">
        <v>3193</v>
      </c>
      <c r="H13" s="2975">
        <v>459.74</v>
      </c>
      <c r="I13" s="2975">
        <f ca="1">典型户型修正!S35</f>
        <v>592</v>
      </c>
      <c r="J13" s="2975">
        <f ca="1">典型户型修正!R35</f>
        <v>12869</v>
      </c>
      <c r="K13" s="2958"/>
    </row>
    <row r="14" spans="1:11" ht="14.25">
      <c r="A14" s="2975">
        <v>13</v>
      </c>
      <c r="B14" s="2984" t="s">
        <v>3222</v>
      </c>
      <c r="C14" s="2956" t="s">
        <v>3196</v>
      </c>
      <c r="E14" s="2957" t="s">
        <v>3208</v>
      </c>
      <c r="F14" s="2956" t="s">
        <v>3209</v>
      </c>
      <c r="G14" s="2977" t="s">
        <v>3193</v>
      </c>
      <c r="H14" s="2975">
        <v>155.5</v>
      </c>
      <c r="I14" s="2975">
        <f ca="1">典型户型修正!S36</f>
        <v>236</v>
      </c>
      <c r="J14" s="2975">
        <f ca="1">典型户型修正!R36</f>
        <v>15209</v>
      </c>
      <c r="K14" s="2958"/>
    </row>
    <row r="15" spans="1:11" ht="14.25">
      <c r="A15" s="2975">
        <v>14</v>
      </c>
      <c r="B15" s="2984" t="s">
        <v>3224</v>
      </c>
      <c r="C15" s="2956" t="s">
        <v>3206</v>
      </c>
      <c r="E15" s="2957" t="s">
        <v>3201</v>
      </c>
      <c r="F15" s="2956" t="s">
        <v>3198</v>
      </c>
      <c r="G15" s="2977" t="s">
        <v>3193</v>
      </c>
      <c r="H15" s="2975">
        <v>190.46</v>
      </c>
      <c r="I15" s="2975">
        <f ca="1">典型户型修正!S37</f>
        <v>245</v>
      </c>
      <c r="J15" s="2975">
        <f ca="1">典型户型修正!R37</f>
        <v>12869</v>
      </c>
      <c r="K15" s="2958"/>
    </row>
    <row r="16" spans="1:11" ht="14.25">
      <c r="A16" s="2975">
        <v>15</v>
      </c>
      <c r="B16" s="2984" t="s">
        <v>3223</v>
      </c>
      <c r="C16" s="2956" t="s">
        <v>3206</v>
      </c>
      <c r="E16" s="2957" t="s">
        <v>3207</v>
      </c>
      <c r="F16" s="2956" t="s">
        <v>3198</v>
      </c>
      <c r="G16" s="2977" t="s">
        <v>3193</v>
      </c>
      <c r="H16" s="2975">
        <v>134.77000000000001</v>
      </c>
      <c r="I16" s="2975">
        <f ca="1">典型户型修正!S38</f>
        <v>173</v>
      </c>
      <c r="J16" s="2975">
        <f ca="1">典型户型修正!R38</f>
        <v>12869</v>
      </c>
      <c r="K16" s="2958"/>
    </row>
    <row r="17" spans="1:11" ht="15" customHeight="1">
      <c r="A17" s="2975">
        <v>16</v>
      </c>
      <c r="B17" s="2984" t="s">
        <v>3221</v>
      </c>
      <c r="C17" s="2956" t="s">
        <v>3204</v>
      </c>
      <c r="E17" s="2957" t="s">
        <v>3205</v>
      </c>
      <c r="F17" s="2956" t="s">
        <v>3198</v>
      </c>
      <c r="G17" s="2977" t="s">
        <v>3193</v>
      </c>
      <c r="H17" s="2975">
        <v>131.19999999999999</v>
      </c>
      <c r="I17" s="2975">
        <f ca="1">典型户型修正!S39</f>
        <v>169</v>
      </c>
      <c r="J17" s="2975">
        <f ca="1">典型户型修正!R39</f>
        <v>12869</v>
      </c>
      <c r="K17" s="2958"/>
    </row>
    <row r="18" spans="1:11" ht="14.25">
      <c r="A18" s="2975">
        <v>17</v>
      </c>
      <c r="B18" s="2984" t="s">
        <v>3267</v>
      </c>
      <c r="C18" s="2956" t="s">
        <v>3206</v>
      </c>
      <c r="E18" s="2957" t="s">
        <v>3211</v>
      </c>
      <c r="F18" s="2956" t="s">
        <v>3198</v>
      </c>
      <c r="G18" s="2977" t="s">
        <v>3193</v>
      </c>
      <c r="H18" s="2975">
        <v>222.8</v>
      </c>
      <c r="I18" s="2975">
        <f ca="1">典型户型修正!S40</f>
        <v>287</v>
      </c>
      <c r="J18" s="2975">
        <f ca="1">典型户型修正!R40</f>
        <v>12869</v>
      </c>
      <c r="K18" s="2958"/>
    </row>
    <row r="19" spans="1:11" ht="14.25">
      <c r="A19" s="2975">
        <v>18</v>
      </c>
      <c r="B19" s="2984" t="s">
        <v>3230</v>
      </c>
      <c r="C19" s="2956" t="s">
        <v>3202</v>
      </c>
      <c r="E19" s="2957" t="s">
        <v>3201</v>
      </c>
      <c r="F19" s="2956" t="s">
        <v>3198</v>
      </c>
      <c r="G19" s="2977" t="s">
        <v>3193</v>
      </c>
      <c r="H19" s="2975">
        <v>114.21</v>
      </c>
      <c r="I19" s="2975">
        <f ca="1">典型户型修正!S41</f>
        <v>147</v>
      </c>
      <c r="J19" s="2975">
        <f ca="1">典型户型修正!R41</f>
        <v>12869</v>
      </c>
      <c r="K19" s="2958"/>
    </row>
    <row r="20" spans="1:11" ht="14.25">
      <c r="A20" s="2975">
        <v>19</v>
      </c>
      <c r="B20" s="2984" t="s">
        <v>3274</v>
      </c>
      <c r="C20" s="2956" t="s">
        <v>3202</v>
      </c>
      <c r="E20" s="2957" t="s">
        <v>3215</v>
      </c>
      <c r="F20" s="2956" t="s">
        <v>3198</v>
      </c>
      <c r="G20" s="2977" t="s">
        <v>3193</v>
      </c>
      <c r="H20" s="2975">
        <v>130.34</v>
      </c>
      <c r="I20" s="2975">
        <f ca="1">典型户型修正!S42</f>
        <v>168</v>
      </c>
      <c r="J20" s="2975">
        <f ca="1">典型户型修正!R42</f>
        <v>12869</v>
      </c>
      <c r="K20" s="2958"/>
    </row>
    <row r="21" spans="1:11" ht="14.25">
      <c r="A21" s="2975">
        <v>20</v>
      </c>
      <c r="B21" s="2984" t="s">
        <v>3272</v>
      </c>
      <c r="C21" s="2956" t="s">
        <v>3202</v>
      </c>
      <c r="E21" s="2957" t="s">
        <v>3214</v>
      </c>
      <c r="F21" s="2956" t="s">
        <v>3198</v>
      </c>
      <c r="G21" s="2977" t="s">
        <v>3193</v>
      </c>
      <c r="H21" s="2975">
        <v>185.27</v>
      </c>
      <c r="I21" s="2975">
        <f ca="1">典型户型修正!S43</f>
        <v>238</v>
      </c>
      <c r="J21" s="2975">
        <f ca="1">典型户型修正!R43</f>
        <v>12869</v>
      </c>
      <c r="K21" s="2958"/>
    </row>
    <row r="22" spans="1:11" ht="14.25">
      <c r="A22" s="2975">
        <v>21</v>
      </c>
      <c r="B22" s="2984" t="s">
        <v>3231</v>
      </c>
      <c r="C22" s="2956" t="s">
        <v>3202</v>
      </c>
      <c r="E22" s="2957" t="s">
        <v>3200</v>
      </c>
      <c r="F22" s="2956" t="s">
        <v>3198</v>
      </c>
      <c r="G22" s="2977" t="s">
        <v>3193</v>
      </c>
      <c r="H22" s="2975">
        <v>185.27</v>
      </c>
      <c r="I22" s="2975">
        <f ca="1">典型户型修正!S44</f>
        <v>238</v>
      </c>
      <c r="J22" s="2975">
        <f ca="1">典型户型修正!R44</f>
        <v>12869</v>
      </c>
      <c r="K22" s="2958"/>
    </row>
    <row r="23" spans="1:11" ht="15" customHeight="1">
      <c r="A23" s="2975">
        <v>22</v>
      </c>
      <c r="B23" s="2984" t="s">
        <v>3270</v>
      </c>
      <c r="C23" s="2956" t="s">
        <v>3202</v>
      </c>
      <c r="E23" s="2957" t="s">
        <v>3203</v>
      </c>
      <c r="F23" s="2956" t="s">
        <v>3198</v>
      </c>
      <c r="G23" s="2977" t="s">
        <v>3193</v>
      </c>
      <c r="H23" s="2975">
        <v>159.21</v>
      </c>
      <c r="I23" s="2975">
        <f ca="1">典型户型修正!S45</f>
        <v>205</v>
      </c>
      <c r="J23" s="2975">
        <f ca="1">典型户型修正!R45</f>
        <v>12869</v>
      </c>
      <c r="K23" s="2958"/>
    </row>
    <row r="24" spans="1:11" ht="14.25">
      <c r="A24" s="2975">
        <v>23</v>
      </c>
      <c r="B24" s="2984" t="s">
        <v>3273</v>
      </c>
      <c r="C24" s="2956" t="s">
        <v>3202</v>
      </c>
      <c r="E24" s="2957" t="s">
        <v>3211</v>
      </c>
      <c r="F24" s="2956" t="s">
        <v>3198</v>
      </c>
      <c r="G24" s="2977" t="s">
        <v>3193</v>
      </c>
      <c r="H24" s="2956">
        <v>138.41</v>
      </c>
      <c r="I24" s="2975">
        <f ca="1">典型户型修正!S46</f>
        <v>178</v>
      </c>
      <c r="J24" s="2975">
        <f ca="1">典型户型修正!R46</f>
        <v>12869</v>
      </c>
      <c r="K24" s="2958"/>
    </row>
    <row r="25" spans="1:11" ht="14.25">
      <c r="A25" s="2975">
        <v>24</v>
      </c>
      <c r="B25" s="2984" t="s">
        <v>3229</v>
      </c>
      <c r="C25" s="2956" t="s">
        <v>3202</v>
      </c>
      <c r="E25" s="2957" t="s">
        <v>3216</v>
      </c>
      <c r="F25" s="2956" t="s">
        <v>3198</v>
      </c>
      <c r="G25" s="2977" t="s">
        <v>3193</v>
      </c>
      <c r="H25" s="2975">
        <v>116.07</v>
      </c>
      <c r="I25" s="2975">
        <f ca="1">典型户型修正!S47</f>
        <v>149</v>
      </c>
      <c r="J25" s="2975">
        <f ca="1">典型户型修正!R47</f>
        <v>12869</v>
      </c>
      <c r="K25" s="2958"/>
    </row>
    <row r="26" spans="1:11">
      <c r="H26" s="2975">
        <f>SUM(H2:H25)</f>
        <v>28616.400000000001</v>
      </c>
      <c r="I26" s="2975">
        <f ca="1">SUM(I2:I25)</f>
        <v>33122</v>
      </c>
      <c r="J26" s="2975">
        <f ca="1">典型户型修正!R22</f>
        <v>11574</v>
      </c>
    </row>
  </sheetData>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E26" sqref="E26"/>
    </sheetView>
  </sheetViews>
  <sheetFormatPr defaultRowHeight="13.5"/>
  <cols>
    <col min="1" max="1" width="9" style="2983"/>
    <col min="2" max="2" width="29.375" style="2983" customWidth="1"/>
    <col min="3" max="3" width="45.375" style="2983" customWidth="1"/>
    <col min="4" max="4" width="29.375" style="2983" customWidth="1"/>
    <col min="5" max="16384" width="9" style="2983"/>
  </cols>
  <sheetData>
    <row r="1" spans="1:4" s="2985" customFormat="1">
      <c r="A1" s="2984">
        <v>14</v>
      </c>
      <c r="B1" s="2984" t="s">
        <v>3249</v>
      </c>
      <c r="C1" s="2984" t="s">
        <v>3230</v>
      </c>
      <c r="D1" s="2984">
        <v>101</v>
      </c>
    </row>
    <row r="2" spans="1:4" s="2984" customFormat="1">
      <c r="B2" s="2984">
        <v>27</v>
      </c>
      <c r="C2" s="2984" t="s">
        <v>3274</v>
      </c>
      <c r="D2" s="2984">
        <v>103</v>
      </c>
    </row>
    <row r="3" spans="1:4" s="2984" customFormat="1">
      <c r="B3" s="2984">
        <v>27</v>
      </c>
      <c r="C3" s="2984" t="s">
        <v>3272</v>
      </c>
      <c r="D3" s="2984">
        <v>106</v>
      </c>
    </row>
    <row r="4" spans="1:4" s="2984" customFormat="1">
      <c r="A4" s="2984">
        <v>16</v>
      </c>
      <c r="B4" s="2984" t="s">
        <v>3249</v>
      </c>
      <c r="C4" s="2984" t="s">
        <v>3231</v>
      </c>
      <c r="D4" s="2984">
        <v>107</v>
      </c>
    </row>
    <row r="5" spans="1:4" s="2984" customFormat="1">
      <c r="B5" s="2984">
        <v>27</v>
      </c>
      <c r="C5" s="2984" t="s">
        <v>3270</v>
      </c>
      <c r="D5" s="2984">
        <v>109</v>
      </c>
    </row>
    <row r="6" spans="1:4" s="2984" customFormat="1">
      <c r="A6" s="2984">
        <v>13</v>
      </c>
      <c r="B6" s="2984" t="s">
        <v>3248</v>
      </c>
      <c r="C6" s="2984" t="s">
        <v>3273</v>
      </c>
      <c r="D6" s="2984">
        <v>110</v>
      </c>
    </row>
    <row r="7" spans="1:4" s="2984" customFormat="1">
      <c r="A7" s="2984">
        <v>12</v>
      </c>
      <c r="B7" s="2984" t="s">
        <v>3248</v>
      </c>
      <c r="C7" s="2984" t="s">
        <v>3229</v>
      </c>
      <c r="D7" s="2984">
        <v>111</v>
      </c>
    </row>
    <row r="8" spans="1:4" s="2984" customFormat="1"/>
    <row r="9" spans="1:4" s="2984" customFormat="1"/>
    <row r="10" spans="1:4" s="2984" customFormat="1"/>
    <row r="11" spans="1:4" s="2984" customFormat="1"/>
    <row r="12" spans="1:4" s="2984" customFormat="1"/>
    <row r="13" spans="1:4" s="2984" customFormat="1"/>
    <row r="14" spans="1:4" s="2984" customFormat="1"/>
    <row r="15" spans="1:4" s="2985" customFormat="1">
      <c r="A15" s="2984"/>
      <c r="B15" s="2984"/>
      <c r="C15" s="2984"/>
      <c r="D15" s="2984"/>
    </row>
    <row r="16" spans="1:4" s="2984" customFormat="1"/>
    <row r="17" s="2984" customFormat="1"/>
    <row r="18" s="2984" customFormat="1"/>
    <row r="19" s="2984" customFormat="1"/>
    <row r="20" s="2984" customFormat="1"/>
    <row r="21" s="2984" customFormat="1"/>
  </sheetData>
  <sortState ref="A1:D27">
    <sortCondition ref="D1"/>
  </sortState>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topLeftCell="A7" workbookViewId="0">
      <selection activeCell="A19" sqref="A19:XFD25"/>
    </sheetView>
  </sheetViews>
  <sheetFormatPr defaultRowHeight="13.5"/>
  <cols>
    <col min="1" max="1" width="9" style="2983"/>
    <col min="2" max="2" width="29.375" style="2983" customWidth="1"/>
    <col min="3" max="3" width="45.375" style="2983" customWidth="1"/>
    <col min="4" max="4" width="29.375" style="2983" customWidth="1"/>
    <col min="5" max="16384" width="9" style="2983"/>
  </cols>
  <sheetData>
    <row r="2" spans="1:4" s="2984" customFormat="1">
      <c r="A2" s="2984">
        <v>20</v>
      </c>
      <c r="B2" s="2984" t="s">
        <v>3251</v>
      </c>
      <c r="C2" s="2984" t="s">
        <v>3236</v>
      </c>
      <c r="D2" s="2984" t="s">
        <v>3235</v>
      </c>
    </row>
    <row r="3" spans="1:4" s="2984" customFormat="1">
      <c r="A3" s="2985">
        <v>19</v>
      </c>
      <c r="B3" s="2985" t="s">
        <v>3250</v>
      </c>
      <c r="C3" s="2985" t="s">
        <v>3234</v>
      </c>
      <c r="D3" s="2985" t="s">
        <v>3233</v>
      </c>
    </row>
    <row r="4" spans="1:4" s="2984" customFormat="1">
      <c r="A4" s="2984">
        <v>23</v>
      </c>
      <c r="B4" s="2984" t="s">
        <v>3240</v>
      </c>
      <c r="C4" s="2984" t="s">
        <v>3266</v>
      </c>
      <c r="D4" s="2984" t="s">
        <v>3240</v>
      </c>
    </row>
    <row r="5" spans="1:4" s="2984" customFormat="1">
      <c r="A5" s="2984">
        <v>21</v>
      </c>
      <c r="B5" s="2984" t="s">
        <v>3252</v>
      </c>
      <c r="C5" s="2984" t="s">
        <v>3238</v>
      </c>
      <c r="D5" s="2984" t="s">
        <v>3237</v>
      </c>
    </row>
    <row r="6" spans="1:4" s="2984" customFormat="1">
      <c r="A6" s="2984">
        <v>22</v>
      </c>
      <c r="B6" s="2984" t="s">
        <v>3253</v>
      </c>
      <c r="C6" s="2984" t="s">
        <v>3269</v>
      </c>
      <c r="D6" s="2984" t="s">
        <v>3239</v>
      </c>
    </row>
    <row r="7" spans="1:4" s="2984" customFormat="1">
      <c r="A7" s="2984">
        <v>11</v>
      </c>
      <c r="B7" s="2984" t="s">
        <v>3247</v>
      </c>
      <c r="C7" s="2984" t="s">
        <v>3228</v>
      </c>
      <c r="D7" s="2984" t="s">
        <v>3257</v>
      </c>
    </row>
    <row r="8" spans="1:4" s="2984" customFormat="1">
      <c r="A8" s="2984">
        <v>10</v>
      </c>
      <c r="B8" s="2984" t="s">
        <v>3247</v>
      </c>
      <c r="C8" s="2984" t="s">
        <v>3275</v>
      </c>
      <c r="D8" s="2984" t="s">
        <v>3256</v>
      </c>
    </row>
    <row r="9" spans="1:4" s="2984" customFormat="1">
      <c r="A9" s="2984">
        <v>7</v>
      </c>
      <c r="B9" s="2984" t="s">
        <v>3246</v>
      </c>
      <c r="C9" s="2984" t="s">
        <v>3225</v>
      </c>
      <c r="D9" s="2984" t="s">
        <v>3254</v>
      </c>
    </row>
    <row r="10" spans="1:4" s="2984" customFormat="1">
      <c r="A10" s="2984">
        <v>9</v>
      </c>
      <c r="B10" s="2984" t="s">
        <v>3246</v>
      </c>
      <c r="C10" s="2984" t="s">
        <v>3227</v>
      </c>
      <c r="D10" s="2984" t="s">
        <v>3255</v>
      </c>
    </row>
    <row r="11" spans="1:4" s="2984" customFormat="1">
      <c r="A11" s="2984">
        <v>18</v>
      </c>
      <c r="B11" s="2984" t="s">
        <v>3246</v>
      </c>
      <c r="C11" s="2984" t="s">
        <v>3232</v>
      </c>
      <c r="D11" s="2984" t="s">
        <v>3258</v>
      </c>
    </row>
    <row r="12" spans="1:4" s="2984" customFormat="1">
      <c r="A12" s="2984">
        <v>5</v>
      </c>
      <c r="B12" s="2984" t="s">
        <v>3245</v>
      </c>
      <c r="C12" s="2984" t="s">
        <v>3268</v>
      </c>
      <c r="D12" s="2984" t="s">
        <v>3259</v>
      </c>
    </row>
    <row r="13" spans="1:4" s="2984" customFormat="1">
      <c r="A13" s="2984">
        <v>2</v>
      </c>
      <c r="B13" s="2984" t="s">
        <v>3242</v>
      </c>
      <c r="C13" s="2984" t="s">
        <v>3222</v>
      </c>
      <c r="D13" s="2984" t="s">
        <v>3260</v>
      </c>
    </row>
    <row r="14" spans="1:4" s="2984" customFormat="1">
      <c r="A14" s="2984">
        <v>8</v>
      </c>
      <c r="B14" s="2984" t="s">
        <v>3242</v>
      </c>
      <c r="C14" s="2984" t="s">
        <v>3226</v>
      </c>
      <c r="D14" s="2984" t="s">
        <v>3261</v>
      </c>
    </row>
    <row r="15" spans="1:4" s="2984" customFormat="1">
      <c r="A15" s="2984">
        <v>4</v>
      </c>
      <c r="B15" s="2984" t="s">
        <v>3244</v>
      </c>
      <c r="C15" s="2984" t="s">
        <v>3267</v>
      </c>
      <c r="D15" s="2984" t="s">
        <v>3263</v>
      </c>
    </row>
    <row r="16" spans="1:4" s="2984" customFormat="1">
      <c r="A16" s="2984">
        <v>3</v>
      </c>
      <c r="B16" s="2984" t="s">
        <v>3243</v>
      </c>
      <c r="C16" s="2984" t="s">
        <v>3223</v>
      </c>
      <c r="D16" s="2984" t="s">
        <v>3262</v>
      </c>
    </row>
    <row r="17" spans="1:4" s="2984" customFormat="1">
      <c r="A17" s="2984">
        <v>6</v>
      </c>
      <c r="B17" s="2984" t="s">
        <v>3244</v>
      </c>
      <c r="C17" s="2984" t="s">
        <v>3224</v>
      </c>
      <c r="D17" s="2984" t="s">
        <v>3264</v>
      </c>
    </row>
    <row r="18" spans="1:4" s="2984" customFormat="1">
      <c r="A18" s="2984">
        <v>1</v>
      </c>
      <c r="B18" s="2984" t="s">
        <v>3241</v>
      </c>
      <c r="C18" s="2984" t="s">
        <v>3221</v>
      </c>
      <c r="D18" s="2984">
        <v>107</v>
      </c>
    </row>
    <row r="19" spans="1:4" s="2985" customFormat="1">
      <c r="A19" s="2984">
        <v>12</v>
      </c>
      <c r="B19" s="2984" t="s">
        <v>3248</v>
      </c>
      <c r="C19" s="2984" t="s">
        <v>3229</v>
      </c>
      <c r="D19" s="2984" t="s">
        <v>3265</v>
      </c>
    </row>
    <row r="20" spans="1:4" s="2984" customFormat="1">
      <c r="A20" s="2984">
        <v>13</v>
      </c>
      <c r="B20" s="2984" t="s">
        <v>3248</v>
      </c>
      <c r="C20" s="2984" t="s">
        <v>3273</v>
      </c>
      <c r="D20" s="2984" t="s">
        <v>3263</v>
      </c>
    </row>
    <row r="21" spans="1:4" s="2984" customFormat="1">
      <c r="A21" s="2984">
        <v>16</v>
      </c>
      <c r="B21" s="2984" t="s">
        <v>3249</v>
      </c>
      <c r="C21" s="2984" t="s">
        <v>3231</v>
      </c>
      <c r="D21" s="2984" t="s">
        <v>3271</v>
      </c>
    </row>
    <row r="22" spans="1:4" s="2984" customFormat="1">
      <c r="A22" s="2984">
        <v>14</v>
      </c>
      <c r="B22" s="2984" t="s">
        <v>3249</v>
      </c>
      <c r="C22" s="2984" t="s">
        <v>3230</v>
      </c>
      <c r="D22" s="2984" t="s">
        <v>3264</v>
      </c>
    </row>
    <row r="23" spans="1:4" s="2984" customFormat="1">
      <c r="B23" s="2984">
        <v>27</v>
      </c>
      <c r="C23" s="2984" t="s">
        <v>3270</v>
      </c>
      <c r="D23" s="2984">
        <v>109</v>
      </c>
    </row>
    <row r="24" spans="1:4" s="2984" customFormat="1">
      <c r="B24" s="2984">
        <v>27</v>
      </c>
      <c r="C24" s="2984" t="s">
        <v>3272</v>
      </c>
      <c r="D24" s="2984">
        <v>106</v>
      </c>
    </row>
    <row r="25" spans="1:4" s="2984" customFormat="1">
      <c r="B25" s="2984">
        <v>27</v>
      </c>
      <c r="C25" s="2984" t="s">
        <v>3274</v>
      </c>
      <c r="D25" s="2984">
        <v>103</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1641</v>
      </c>
      <c r="B2" s="2998" t="s">
        <v>1642</v>
      </c>
      <c r="C2" s="2998" t="s">
        <v>1643</v>
      </c>
      <c r="D2" s="2998" t="str">
        <f>结果表!D116</f>
        <v>出让国有建设用地使用权价值</v>
      </c>
      <c r="E2" s="2998"/>
      <c r="F2" s="2998" t="str">
        <f>结果表!F116</f>
        <v>建筑物价值</v>
      </c>
      <c r="G2" s="2998"/>
      <c r="H2" s="2998" t="str">
        <f>IF(项目基本情况!B9="房地产市场价值","房地产市场价值","房地产价值")</f>
        <v>房地产价值</v>
      </c>
      <c r="I2" s="2998"/>
    </row>
    <row r="3" spans="1:9" ht="15">
      <c r="A3" s="2999"/>
      <c r="B3" s="2999"/>
      <c r="C3" s="2999"/>
      <c r="D3" s="1042" t="s">
        <v>1638</v>
      </c>
      <c r="E3" s="1042" t="s">
        <v>1644</v>
      </c>
      <c r="F3" s="1042" t="s">
        <v>1638</v>
      </c>
      <c r="G3" s="1042" t="s">
        <v>1639</v>
      </c>
      <c r="H3" s="1042" t="s">
        <v>1638</v>
      </c>
      <c r="I3" s="1042" t="s">
        <v>1639</v>
      </c>
    </row>
    <row r="4" spans="1:9" ht="45">
      <c r="A4" s="1969" t="str">
        <f>项目基本情况!S2</f>
        <v>江苏省镇江市京口区解放路27号镇江财富广场8幢101室等共79套商业用房房地产</v>
      </c>
      <c r="B4" s="1042">
        <f>项目基本情况!C17</f>
        <v>7918.4</v>
      </c>
      <c r="C4" s="1042">
        <f>项目基本情况!C18</f>
        <v>0</v>
      </c>
      <c r="D4" s="1042">
        <f ca="1">结果表!D118</f>
        <v>2849</v>
      </c>
      <c r="E4" s="1042">
        <f ca="1">结果表!E118</f>
        <v>3598</v>
      </c>
      <c r="F4" s="1042">
        <f ca="1">结果表!F118</f>
        <v>5890</v>
      </c>
      <c r="G4" s="1042">
        <f ca="1">结果表!G118</f>
        <v>7438</v>
      </c>
      <c r="H4" s="1042">
        <f ca="1">结果表!H118</f>
        <v>8739</v>
      </c>
      <c r="I4" s="1042">
        <f ca="1">结果表!I118</f>
        <v>11036</v>
      </c>
    </row>
    <row r="5" spans="1:9" ht="30" customHeight="1">
      <c r="A5" s="2999" t="s">
        <v>1640</v>
      </c>
      <c r="B5" s="2999"/>
      <c r="C5" s="2999"/>
      <c r="D5" s="3000" t="str">
        <f ca="1">结果表!D119</f>
        <v>贰仟捌佰肆拾玖万元整</v>
      </c>
      <c r="E5" s="3000"/>
      <c r="F5" s="3000" t="str">
        <f ca="1">结果表!F119</f>
        <v>伍仟捌佰玖拾万元整</v>
      </c>
      <c r="G5" s="3000"/>
      <c r="H5" s="3000" t="str">
        <f ca="1">结果表!H119</f>
        <v>捌仟柒佰叁拾玖万元整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1640</v>
      </c>
      <c r="B7" s="2999"/>
      <c r="C7" s="2999"/>
      <c r="D7" s="3002" t="str">
        <f>结果表!D121</f>
        <v>零元整</v>
      </c>
      <c r="E7" s="3003"/>
      <c r="F7" s="3003"/>
      <c r="G7" s="3003"/>
      <c r="H7" s="3003"/>
      <c r="I7" s="3004"/>
    </row>
    <row r="8" spans="1:9" ht="15.75">
      <c r="A8" s="3001" t="str">
        <f>结果表!A122</f>
        <v>房地产抵押价值</v>
      </c>
      <c r="B8" s="3001"/>
      <c r="C8" s="3001"/>
      <c r="D8" s="3001">
        <f ca="1">结果表!D122</f>
        <v>8739</v>
      </c>
      <c r="E8" s="3001"/>
      <c r="F8" s="3001"/>
      <c r="G8" s="3001"/>
      <c r="H8" s="3001"/>
      <c r="I8" s="3001"/>
    </row>
    <row r="9" spans="1:9" ht="15">
      <c r="A9" s="2999" t="s">
        <v>1640</v>
      </c>
      <c r="B9" s="2999"/>
      <c r="C9" s="2999"/>
      <c r="D9" s="3000" t="str">
        <f ca="1">结果表!D123</f>
        <v>捌仟柒佰叁拾玖万元整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1640</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1640</v>
      </c>
      <c r="B13" s="3005"/>
      <c r="C13" s="3005"/>
      <c r="D13" s="3006" t="e">
        <f>结果表!D127</f>
        <v>#VALUE!</v>
      </c>
      <c r="E13" s="3006"/>
      <c r="F13" s="3006"/>
      <c r="G13" s="3006"/>
      <c r="H13" s="3006"/>
      <c r="I13" s="3006"/>
    </row>
    <row r="14" spans="1:9" ht="15" thickTop="1">
      <c r="A14" s="3007" t="s">
        <v>1645</v>
      </c>
      <c r="B14" s="3007"/>
      <c r="C14" s="3007"/>
      <c r="D14" s="3007"/>
      <c r="E14" s="3007"/>
      <c r="F14" s="3007"/>
      <c r="G14" s="3007"/>
      <c r="H14" s="3007"/>
      <c r="I14" s="3007"/>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08" t="s">
        <v>1662</v>
      </c>
      <c r="B1" s="3008"/>
      <c r="C1" s="3008"/>
      <c r="D1" s="3008"/>
    </row>
    <row r="2" spans="1:4" ht="18">
      <c r="A2" s="3009" t="s">
        <v>1646</v>
      </c>
      <c r="B2" s="3009"/>
      <c r="C2" s="3009"/>
      <c r="D2" s="3009"/>
    </row>
    <row r="3" spans="1:4" ht="18.75">
      <c r="A3" s="1973" t="s">
        <v>1647</v>
      </c>
      <c r="B3" s="1973" t="s">
        <v>1648</v>
      </c>
      <c r="C3" s="1973" t="s">
        <v>1649</v>
      </c>
      <c r="D3" s="1973" t="s">
        <v>1650</v>
      </c>
    </row>
    <row r="4" spans="1:4" ht="56.25" customHeight="1">
      <c r="A4" s="1974" t="str">
        <f>项目基本情况!B4</f>
        <v>郑燚</v>
      </c>
      <c r="B4" s="1975">
        <f ca="1">项目基本情况!C4</f>
        <v>1120070131</v>
      </c>
      <c r="C4" s="1976"/>
      <c r="D4" s="1977" t="s">
        <v>1651</v>
      </c>
    </row>
    <row r="5" spans="1:4" ht="56.25" customHeight="1">
      <c r="A5" s="1974" t="str">
        <f>项目基本情况!D4</f>
        <v>王鹏</v>
      </c>
      <c r="B5" s="1975">
        <f ca="1">项目基本情况!E4</f>
        <v>1120050019</v>
      </c>
      <c r="C5" s="1978"/>
      <c r="D5" s="1977" t="s">
        <v>1651</v>
      </c>
    </row>
    <row r="6" spans="1:4" ht="18">
      <c r="A6" s="3009" t="s">
        <v>1652</v>
      </c>
      <c r="B6" s="3009"/>
      <c r="C6" s="3009"/>
      <c r="D6" s="3009"/>
    </row>
    <row r="7" spans="1:4" ht="18.75">
      <c r="A7" s="1973" t="s">
        <v>1647</v>
      </c>
      <c r="B7" s="1975" t="s">
        <v>1653</v>
      </c>
      <c r="C7" s="1973" t="s">
        <v>1649</v>
      </c>
      <c r="D7" s="1973" t="s">
        <v>1650</v>
      </c>
    </row>
    <row r="8" spans="1:4" ht="56.25" customHeight="1">
      <c r="A8" s="1979" t="s">
        <v>869</v>
      </c>
      <c r="B8" s="1979" t="s">
        <v>1</v>
      </c>
      <c r="C8" s="1976"/>
      <c r="D8" s="1977" t="s">
        <v>1651</v>
      </c>
    </row>
    <row r="9" spans="1:4">
      <c r="A9" s="723"/>
      <c r="B9" s="723"/>
      <c r="C9" s="723"/>
      <c r="D9" s="723"/>
    </row>
    <row r="10" spans="1:4" ht="18.75">
      <c r="A10" s="1980" t="s">
        <v>1654</v>
      </c>
      <c r="B10" s="723"/>
      <c r="C10" s="723"/>
      <c r="D10" s="723"/>
    </row>
    <row r="11" spans="1:4" ht="30" customHeight="1">
      <c r="A11" s="3010"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1656</v>
      </c>
      <c r="B16" s="3014"/>
      <c r="C16" s="3014"/>
      <c r="D16" s="3014"/>
    </row>
    <row r="17" spans="1:4" ht="144" customHeight="1">
      <c r="A17" s="3014" t="s">
        <v>1657</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1658</v>
      </c>
      <c r="B22" s="3016"/>
      <c r="C22" s="3016"/>
      <c r="D22" s="3016"/>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22" t="s">
        <v>1669</v>
      </c>
      <c r="B15" s="3017" t="s">
        <v>136</v>
      </c>
      <c r="C15" s="3018"/>
    </row>
    <row r="16" spans="1:7" ht="13.5">
      <c r="A16" s="3023"/>
      <c r="B16" s="3017" t="s">
        <v>69</v>
      </c>
      <c r="C16" s="3018"/>
    </row>
    <row r="17" spans="1:3" ht="13.5">
      <c r="A17" s="3023"/>
      <c r="B17" s="3020" t="s">
        <v>1670</v>
      </c>
      <c r="C17" s="1996" t="s">
        <v>1669</v>
      </c>
    </row>
    <row r="18" spans="1:3" ht="13.5">
      <c r="A18" s="3023"/>
      <c r="B18" s="3020"/>
      <c r="C18" s="1996" t="s">
        <v>1671</v>
      </c>
    </row>
    <row r="19" spans="1:3" ht="13.5">
      <c r="A19" s="3023"/>
      <c r="B19" s="3020"/>
      <c r="C19" s="1996" t="s">
        <v>1672</v>
      </c>
    </row>
    <row r="20" spans="1:3" ht="13.5">
      <c r="A20" s="3024"/>
      <c r="B20" s="3019" t="s">
        <v>1673</v>
      </c>
      <c r="C20" s="3018"/>
    </row>
    <row r="21" spans="1:3" ht="13.5">
      <c r="A21" s="1997" t="s">
        <v>1674</v>
      </c>
      <c r="B21" s="1998"/>
      <c r="C21" s="1999"/>
    </row>
    <row r="22" spans="1:3" ht="13.5">
      <c r="A22" s="3021" t="s">
        <v>1675</v>
      </c>
      <c r="B22" s="3019" t="s">
        <v>1676</v>
      </c>
      <c r="C22" s="3018"/>
    </row>
    <row r="23" spans="1:3" ht="13.5">
      <c r="A23" s="3021"/>
      <c r="B23" s="3019" t="s">
        <v>1677</v>
      </c>
      <c r="C23" s="3018"/>
    </row>
    <row r="24" spans="1:3" ht="13.5">
      <c r="A24" s="3021"/>
      <c r="B24" s="3019" t="s">
        <v>1678</v>
      </c>
      <c r="C24" s="3018"/>
    </row>
    <row r="25" spans="1:3" ht="13.5">
      <c r="A25" s="3021"/>
      <c r="B25" s="3020" t="s">
        <v>1679</v>
      </c>
      <c r="C25" s="1996" t="s">
        <v>1680</v>
      </c>
    </row>
    <row r="26" spans="1:3" ht="13.5">
      <c r="A26" s="3021"/>
      <c r="B26" s="3020"/>
      <c r="C26" s="1996" t="s">
        <v>1681</v>
      </c>
    </row>
    <row r="27" spans="1:3" ht="13.5">
      <c r="A27" s="3021"/>
      <c r="B27" s="3020"/>
      <c r="C27" s="1996" t="s">
        <v>1682</v>
      </c>
    </row>
    <row r="28" spans="1:3" ht="13.5">
      <c r="A28" s="3021"/>
      <c r="B28" s="3020"/>
      <c r="C28" s="1996" t="s">
        <v>1683</v>
      </c>
    </row>
    <row r="29" spans="1:3" ht="13.5">
      <c r="A29" s="3021"/>
      <c r="B29" s="3020"/>
      <c r="C29" s="1996" t="s">
        <v>1684</v>
      </c>
    </row>
    <row r="30" spans="1:3" ht="13.5">
      <c r="A30" s="3021"/>
      <c r="B30" s="3020"/>
      <c r="C30" s="1996" t="s">
        <v>1685</v>
      </c>
    </row>
    <row r="31" spans="1:3" ht="13.5">
      <c r="A31" s="3021"/>
      <c r="B31" s="3020"/>
      <c r="C31" s="1996" t="s">
        <v>1686</v>
      </c>
    </row>
    <row r="32" spans="1:3" ht="13.5">
      <c r="A32" s="3021"/>
      <c r="B32" s="3020"/>
      <c r="C32" s="1996" t="s">
        <v>1687</v>
      </c>
    </row>
    <row r="33" spans="1:3" ht="13.5">
      <c r="A33" s="3021"/>
      <c r="B33" s="3020"/>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43348</v>
      </c>
      <c r="C2" s="1017" t="s">
        <v>826</v>
      </c>
      <c r="D2" s="1017"/>
    </row>
    <row r="3" spans="1:6" ht="24" customHeight="1">
      <c r="A3" s="1018" t="s">
        <v>827</v>
      </c>
      <c r="B3" s="1019" t="s">
        <v>828</v>
      </c>
      <c r="C3" s="2341" t="s">
        <v>829</v>
      </c>
      <c r="D3" s="2344" t="s">
        <v>830</v>
      </c>
      <c r="E3" s="1020" t="s">
        <v>831</v>
      </c>
      <c r="F3" s="1019" t="s">
        <v>829</v>
      </c>
    </row>
    <row r="4" spans="1:6" ht="24" customHeight="1">
      <c r="A4" s="1699" t="s">
        <v>832</v>
      </c>
      <c r="B4" s="1020">
        <f ca="1">IF(C4&lt;B2,"已过期",1119970066)</f>
        <v>1119970066</v>
      </c>
      <c r="C4" s="2342">
        <v>43849</v>
      </c>
      <c r="D4" s="2345" t="s">
        <v>832</v>
      </c>
      <c r="E4" s="1020">
        <f ca="1">IF(F4&lt;B2,"已过期",96010014)</f>
        <v>96010014</v>
      </c>
      <c r="F4" s="1028">
        <v>47118</v>
      </c>
    </row>
    <row r="5" spans="1:6" ht="24" customHeight="1">
      <c r="A5" s="1699" t="s">
        <v>833</v>
      </c>
      <c r="B5" s="1020">
        <f ca="1">IF(C5&lt;B2,"已过期",1119970074)</f>
        <v>1119970074</v>
      </c>
      <c r="C5" s="2342">
        <v>43849</v>
      </c>
      <c r="D5" s="2345" t="s">
        <v>833</v>
      </c>
      <c r="E5" s="1020">
        <f ca="1">IF(F5&lt;B2,"已过期",2002110027)</f>
        <v>2002110027</v>
      </c>
      <c r="F5" s="1028">
        <v>46752</v>
      </c>
    </row>
    <row r="6" spans="1:6" ht="24" customHeight="1">
      <c r="A6" s="1699" t="s">
        <v>834</v>
      </c>
      <c r="B6" s="1020">
        <f ca="1">IF(C6&lt;B2,"已过期",1119970111)</f>
        <v>1119970111</v>
      </c>
      <c r="C6" s="2342">
        <v>43849</v>
      </c>
      <c r="D6" s="2345" t="s">
        <v>834</v>
      </c>
      <c r="E6" s="1020">
        <f ca="1">IF(F6&lt;B2,"已过期",94010078)</f>
        <v>94010078</v>
      </c>
      <c r="F6" s="1028">
        <v>46387</v>
      </c>
    </row>
    <row r="7" spans="1:6" ht="24" customHeight="1">
      <c r="A7" s="1699" t="s">
        <v>835</v>
      </c>
      <c r="B7" s="1020">
        <f ca="1">IF(C7&lt;B2,"已过期",1120050019)</f>
        <v>1120050019</v>
      </c>
      <c r="C7" s="2342">
        <v>43359</v>
      </c>
      <c r="D7" s="2345" t="s">
        <v>835</v>
      </c>
      <c r="E7" s="1020">
        <f ca="1">IF(F7&lt;B2,"已过期",2002110030)</f>
        <v>2002110030</v>
      </c>
      <c r="F7" s="1028">
        <v>46387</v>
      </c>
    </row>
    <row r="8" spans="1:6" ht="24" customHeight="1">
      <c r="A8" s="1699" t="s">
        <v>836</v>
      </c>
      <c r="B8" s="1020">
        <f ca="1">IF(C8&lt;B2,"已过期",1120000080)</f>
        <v>1120000080</v>
      </c>
      <c r="C8" s="2342">
        <v>43849</v>
      </c>
      <c r="D8" s="2345" t="s">
        <v>836</v>
      </c>
      <c r="E8" s="1020">
        <f ca="1">IF(F8&lt;B2,"已过期",2000110082)</f>
        <v>2000110082</v>
      </c>
      <c r="F8" s="1028">
        <v>46387</v>
      </c>
    </row>
    <row r="9" spans="1:6" ht="24" customHeight="1">
      <c r="A9" s="1699" t="s">
        <v>837</v>
      </c>
      <c r="B9" s="1020">
        <f ca="1">IF(C9&lt;B2,"已过期",1419970001)</f>
        <v>1419970001</v>
      </c>
      <c r="C9" s="2342">
        <v>43867</v>
      </c>
      <c r="D9" s="2345" t="s">
        <v>837</v>
      </c>
      <c r="E9" s="1020">
        <f ca="1">IF(F9&lt;B2,"已过期",2002110125)</f>
        <v>2002110125</v>
      </c>
      <c r="F9" s="1028">
        <v>47118</v>
      </c>
    </row>
    <row r="10" spans="1:6" ht="24" customHeight="1">
      <c r="A10" s="1699" t="s">
        <v>838</v>
      </c>
      <c r="B10" s="1020">
        <f ca="1">IF(C10&lt;B2,"已过期",1120060040)</f>
        <v>1120060040</v>
      </c>
      <c r="C10" s="2342">
        <v>43483</v>
      </c>
      <c r="D10" s="2345" t="s">
        <v>838</v>
      </c>
      <c r="E10" s="1020">
        <f ca="1">IF(F10&lt;B2,"已过期",2004110096)</f>
        <v>2004110096</v>
      </c>
      <c r="F10" s="1028">
        <v>47118</v>
      </c>
    </row>
    <row r="11" spans="1:6" ht="24" customHeight="1">
      <c r="A11" s="1699" t="s">
        <v>839</v>
      </c>
      <c r="B11" s="1020">
        <f ca="1">IF(C11&lt;B2,"已过期",1120100036)</f>
        <v>1120100036</v>
      </c>
      <c r="C11" s="2342">
        <v>43622</v>
      </c>
      <c r="D11" s="2345" t="s">
        <v>839</v>
      </c>
      <c r="E11" s="1020">
        <f ca="1">IF(F11&lt;B2,"已过期",2010110070)</f>
        <v>2010110070</v>
      </c>
      <c r="F11" s="1028">
        <v>47907</v>
      </c>
    </row>
    <row r="12" spans="1:6" ht="24" customHeight="1">
      <c r="A12" s="1699"/>
      <c r="B12" s="1020"/>
      <c r="C12" s="2342"/>
      <c r="D12" s="2345"/>
      <c r="E12" s="1020"/>
      <c r="F12" s="1020"/>
    </row>
    <row r="13" spans="1:6" ht="24" customHeight="1">
      <c r="A13" s="1699" t="s">
        <v>840</v>
      </c>
      <c r="B13" s="1020">
        <f ca="1">IF(C13&lt;B2,"已过期",1120070131)</f>
        <v>1120070131</v>
      </c>
      <c r="C13" s="2342">
        <v>43814</v>
      </c>
      <c r="D13" s="2345" t="s">
        <v>840</v>
      </c>
      <c r="E13" s="1020">
        <v>2014110011</v>
      </c>
      <c r="F13" s="1028">
        <v>49302</v>
      </c>
    </row>
    <row r="14" spans="1:6" ht="24" customHeight="1">
      <c r="A14" s="1699" t="s">
        <v>841</v>
      </c>
      <c r="B14" s="1020">
        <f ca="1">IF(C14&lt;B2,"已过期",1120130020)</f>
        <v>1120130020</v>
      </c>
      <c r="C14" s="2342">
        <v>43622</v>
      </c>
      <c r="D14" s="2345"/>
      <c r="E14" s="1020"/>
      <c r="F14" s="1020"/>
    </row>
    <row r="15" spans="1:6" ht="24" customHeight="1">
      <c r="A15" s="1700" t="s">
        <v>1149</v>
      </c>
      <c r="B15" s="1020">
        <v>1120070085</v>
      </c>
      <c r="C15" s="2342">
        <v>43814</v>
      </c>
      <c r="D15" s="2346" t="s">
        <v>1149</v>
      </c>
      <c r="E15" s="1020">
        <v>2004110128</v>
      </c>
      <c r="F15" s="1021">
        <v>47118</v>
      </c>
    </row>
    <row r="16" spans="1:6" ht="24" customHeight="1">
      <c r="A16" s="1699" t="s">
        <v>842</v>
      </c>
      <c r="B16" s="1020">
        <f ca="1">IF(C16&lt;B2,"已过期",1120140022)</f>
        <v>1120140022</v>
      </c>
      <c r="C16" s="2342">
        <v>44029</v>
      </c>
      <c r="D16" s="2345" t="s">
        <v>842</v>
      </c>
      <c r="E16" s="1020">
        <f ca="1">IF(F16&lt;B2,"已过期",2008110059)</f>
        <v>2008110059</v>
      </c>
      <c r="F16" s="1028">
        <v>47177</v>
      </c>
    </row>
    <row r="17" spans="1:7" ht="24" customHeight="1">
      <c r="A17" s="1699"/>
      <c r="B17" s="1020"/>
      <c r="C17" s="2342"/>
      <c r="D17" s="2345"/>
      <c r="E17" s="1020"/>
      <c r="F17" s="1028"/>
    </row>
    <row r="18" spans="1:7" ht="24" customHeight="1">
      <c r="A18" s="1699"/>
      <c r="B18" s="1020"/>
      <c r="C18" s="2342"/>
      <c r="D18" s="2345"/>
      <c r="E18" s="1020"/>
      <c r="F18" s="1028"/>
    </row>
    <row r="19" spans="1:7" ht="24" customHeight="1">
      <c r="A19" s="1699"/>
      <c r="B19" s="1020"/>
      <c r="C19" s="2342"/>
      <c r="D19" s="2345"/>
      <c r="E19" s="1020"/>
      <c r="F19" s="1020"/>
    </row>
    <row r="20" spans="1:7" ht="24" customHeight="1">
      <c r="A20" s="1699"/>
      <c r="B20" s="1020"/>
      <c r="C20" s="2342"/>
      <c r="D20" s="2345"/>
      <c r="E20" s="1020"/>
      <c r="F20" s="1020"/>
    </row>
    <row r="21" spans="1:7" ht="24" customHeight="1">
      <c r="A21" s="1699"/>
      <c r="B21" s="1020"/>
      <c r="C21" s="2342"/>
      <c r="D21" s="2345" t="s">
        <v>843</v>
      </c>
      <c r="E21" s="1020">
        <f ca="1">IF(F21&lt;B2,"已过期",2011110090)</f>
        <v>2011110090</v>
      </c>
      <c r="F21" s="1028">
        <v>48302</v>
      </c>
    </row>
    <row r="22" spans="1:7" ht="24" customHeight="1">
      <c r="A22" s="1699" t="s">
        <v>844</v>
      </c>
      <c r="B22" s="1020" t="str">
        <f ca="1">IF(C22&lt;B2,"已过期",1120020033)</f>
        <v>已过期</v>
      </c>
      <c r="C22" s="2342">
        <v>43304</v>
      </c>
      <c r="D22" s="2345" t="s">
        <v>844</v>
      </c>
      <c r="E22" s="1020">
        <f ca="1">IF(F22&lt;B2,"已过期",2000110137)</f>
        <v>2000110137</v>
      </c>
      <c r="F22" s="1028">
        <v>46387</v>
      </c>
    </row>
    <row r="23" spans="1:7" ht="24" customHeight="1">
      <c r="A23" s="1699" t="s">
        <v>845</v>
      </c>
      <c r="B23" s="1020">
        <f ca="1">IF(C23&lt;B2,"已过期",1120130048)</f>
        <v>1120130048</v>
      </c>
      <c r="C23" s="2342">
        <v>43686</v>
      </c>
      <c r="D23" s="2345"/>
      <c r="E23" s="1020"/>
      <c r="F23" s="1020"/>
    </row>
    <row r="24" spans="1:7" s="1022" customFormat="1" ht="24" customHeight="1">
      <c r="A24" s="1700" t="s">
        <v>1333</v>
      </c>
      <c r="B24" s="1700" t="s">
        <v>1333</v>
      </c>
      <c r="C24" s="2343" t="s">
        <v>1333</v>
      </c>
      <c r="D24" s="2346" t="s">
        <v>1333</v>
      </c>
      <c r="E24" s="1700" t="s">
        <v>1333</v>
      </c>
      <c r="F24" s="1700" t="s">
        <v>1333</v>
      </c>
    </row>
    <row r="25" spans="1:7" ht="24" customHeight="1">
      <c r="A25" s="3025" t="s">
        <v>846</v>
      </c>
      <c r="B25" s="3025"/>
      <c r="C25" s="3025"/>
      <c r="D25" s="3025"/>
      <c r="E25" s="3025"/>
      <c r="F25" s="3025"/>
      <c r="G25" s="3025"/>
    </row>
    <row r="26" spans="1:7" s="1023" customFormat="1" ht="24" customHeight="1">
      <c r="A26" s="3026" t="s">
        <v>847</v>
      </c>
      <c r="B26" s="3026"/>
      <c r="C26" s="3027"/>
      <c r="D26" s="3028" t="s">
        <v>848</v>
      </c>
      <c r="E26" s="3026"/>
      <c r="F26" s="3026"/>
    </row>
    <row r="27" spans="1:7" s="1025" customFormat="1" ht="24" customHeight="1">
      <c r="A27" s="1024" t="s">
        <v>849</v>
      </c>
      <c r="B27" s="1019" t="s">
        <v>850</v>
      </c>
      <c r="C27" s="2341" t="s">
        <v>851</v>
      </c>
      <c r="D27" s="2349" t="s">
        <v>849</v>
      </c>
      <c r="E27" s="1019" t="s">
        <v>850</v>
      </c>
      <c r="F27" s="1019" t="s">
        <v>851</v>
      </c>
    </row>
    <row r="28" spans="1:7" s="1025" customFormat="1" ht="24" customHeight="1">
      <c r="A28" s="1026" t="s">
        <v>852</v>
      </c>
      <c r="B28" s="1027" t="s">
        <v>853</v>
      </c>
      <c r="C28" s="2347">
        <v>43725</v>
      </c>
      <c r="D28" s="2350" t="s">
        <v>854</v>
      </c>
      <c r="E28" s="1026" t="s">
        <v>855</v>
      </c>
      <c r="F28" s="1056">
        <v>44377</v>
      </c>
    </row>
    <row r="29" spans="1:7" s="1025" customFormat="1" ht="24" customHeight="1">
      <c r="A29" s="1026"/>
      <c r="B29" s="1026"/>
      <c r="C29" s="2348"/>
      <c r="D29" s="2350"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面积表-1</vt:lpstr>
      <vt:lpstr>面积表-2</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结果表链接报告</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2018-09-03T10:39:45Z</cp:lastPrinted>
  <dcterms:created xsi:type="dcterms:W3CDTF">2015-07-13T07:17:23Z</dcterms:created>
  <dcterms:modified xsi:type="dcterms:W3CDTF">2018-09-05T03:15:39Z</dcterms:modified>
</cp:coreProperties>
</file>