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比较法-商业" sheetId="33" r:id="rId24"/>
    <sheet name="比较法-办公" sheetId="34" state="hidden" r:id="rId25"/>
    <sheet name="比较法-车位" sheetId="35" state="hidden" r:id="rId26"/>
    <sheet name="收益法（汇总）" sheetId="70" state="hidden" r:id="rId27"/>
    <sheet name="收益法" sheetId="15" state="hidden" r:id="rId28"/>
    <sheet name="收益法 (元)" sheetId="67" r:id="rId29"/>
    <sheet name="酒店收入计算" sheetId="66"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链接报告的结果表" sheetId="78"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25" hidden="1">'比较法-车位'!$A$1:$L$39</definedName>
    <definedName name="_xlnm._FilterDatabase" localSheetId="30" hidden="1">'比较法-工业'!$A$1:$L$43</definedName>
    <definedName name="_xlnm._FilterDatabase" localSheetId="23" hidden="1">'比较法-商业'!$A$1:$L$49</definedName>
    <definedName name="_xlnm._FilterDatabase" localSheetId="22" hidden="1">'比较法-住宅'!$A$1:$L$49</definedName>
    <definedName name="_xlnm._FilterDatabase" localSheetId="13" hidden="1">抵押物清单!$A$2:$F$83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3">抵押物清单!$A$1:$E$81</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6" i="74" l="1"/>
  <c r="G4" i="77"/>
  <c r="G16" i="74" l="1"/>
  <c r="D16" i="74"/>
  <c r="C15" i="74" l="1"/>
  <c r="B15" i="74"/>
  <c r="H81" i="78" l="1"/>
  <c r="G81" i="78"/>
  <c r="A27" i="78"/>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H75" i="77"/>
  <c r="B26" i="31" l="1"/>
  <c r="A24" i="31"/>
  <c r="I13" i="3"/>
  <c r="C33" i="33"/>
  <c r="G3" i="77" l="1"/>
  <c r="G11" i="77" s="1"/>
  <c r="G10" i="77"/>
  <c r="H10" i="77" s="1"/>
  <c r="G9" i="77"/>
  <c r="H9" i="77" s="1"/>
  <c r="G8" i="77"/>
  <c r="H8" i="77" s="1"/>
  <c r="G7" i="77"/>
  <c r="H7" i="77" s="1"/>
  <c r="G6" i="77"/>
  <c r="H6" i="77" s="1"/>
  <c r="G5" i="77"/>
  <c r="H5" i="77" s="1"/>
  <c r="H4" i="77"/>
  <c r="H3" i="77" l="1"/>
  <c r="M18" i="31"/>
  <c r="M16" i="31"/>
  <c r="L16" i="31"/>
  <c r="K16" i="31"/>
  <c r="L18" i="31"/>
  <c r="K18" i="31"/>
  <c r="B25" i="31" l="1"/>
  <c r="N6" i="1"/>
  <c r="F19" i="6"/>
  <c r="B5" i="4" l="1"/>
  <c r="B7" i="4"/>
  <c r="Y6" i="1"/>
  <c r="B102" i="31" l="1"/>
  <c r="A102" i="31"/>
  <c r="A98" i="31"/>
  <c r="B98" i="31"/>
  <c r="A99" i="31"/>
  <c r="B99" i="31"/>
  <c r="A100" i="31"/>
  <c r="B100" i="31"/>
  <c r="A101" i="31"/>
  <c r="B101" i="31"/>
  <c r="A90" i="31"/>
  <c r="B90" i="31"/>
  <c r="A91" i="31"/>
  <c r="B91" i="31"/>
  <c r="A92" i="31"/>
  <c r="B92" i="31"/>
  <c r="A93" i="31"/>
  <c r="B93" i="31"/>
  <c r="A94" i="31"/>
  <c r="B94" i="31"/>
  <c r="A95" i="31"/>
  <c r="B95" i="31"/>
  <c r="A96" i="31"/>
  <c r="B96" i="31"/>
  <c r="A97" i="31"/>
  <c r="B97" i="31"/>
  <c r="A86" i="31"/>
  <c r="B86" i="31"/>
  <c r="A87" i="31"/>
  <c r="B87" i="31"/>
  <c r="A88" i="31"/>
  <c r="B88" i="31"/>
  <c r="A89" i="31"/>
  <c r="B89" i="31"/>
  <c r="A82" i="31"/>
  <c r="B82" i="31"/>
  <c r="A83" i="31"/>
  <c r="B83" i="31"/>
  <c r="A84" i="31"/>
  <c r="B84" i="31"/>
  <c r="A85" i="31"/>
  <c r="B85" i="31"/>
  <c r="A79" i="31"/>
  <c r="B79" i="31"/>
  <c r="A80" i="31"/>
  <c r="B80" i="31"/>
  <c r="A81" i="31"/>
  <c r="B81" i="31"/>
  <c r="A73" i="31"/>
  <c r="B73" i="31"/>
  <c r="A74" i="31"/>
  <c r="B74" i="31"/>
  <c r="A75" i="31"/>
  <c r="B75" i="31"/>
  <c r="A76" i="31"/>
  <c r="B76" i="31"/>
  <c r="A77" i="31"/>
  <c r="B77" i="31"/>
  <c r="A78" i="31"/>
  <c r="B78" i="31"/>
  <c r="A61" i="31"/>
  <c r="B61" i="31"/>
  <c r="A62" i="31"/>
  <c r="B62" i="31"/>
  <c r="A63" i="31"/>
  <c r="B63" i="31"/>
  <c r="A64" i="31"/>
  <c r="B64" i="31"/>
  <c r="A65" i="31"/>
  <c r="B65" i="31"/>
  <c r="A66" i="31"/>
  <c r="B66" i="31"/>
  <c r="A67" i="31"/>
  <c r="B67" i="31"/>
  <c r="A68" i="31"/>
  <c r="B68" i="31"/>
  <c r="A69" i="31"/>
  <c r="B69" i="31"/>
  <c r="A70" i="31"/>
  <c r="B70" i="31"/>
  <c r="A71" i="31"/>
  <c r="B71" i="31"/>
  <c r="A72" i="31"/>
  <c r="B72" i="31"/>
  <c r="A54" i="31"/>
  <c r="B54" i="31"/>
  <c r="A55" i="31"/>
  <c r="B55" i="31"/>
  <c r="A56" i="31"/>
  <c r="B56" i="31"/>
  <c r="A57" i="31"/>
  <c r="B57" i="31"/>
  <c r="A58" i="31"/>
  <c r="B58" i="31"/>
  <c r="A59" i="31"/>
  <c r="B59" i="31"/>
  <c r="A60" i="31"/>
  <c r="B60"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B27" i="31"/>
  <c r="B28" i="31"/>
  <c r="B29" i="31"/>
  <c r="B30" i="31"/>
  <c r="B31" i="31"/>
  <c r="B32" i="31"/>
  <c r="B33" i="31"/>
  <c r="B34" i="31"/>
  <c r="B35" i="31"/>
  <c r="B36" i="31"/>
  <c r="B37" i="31"/>
  <c r="A27" i="31"/>
  <c r="A28" i="31"/>
  <c r="A29" i="31"/>
  <c r="A30" i="31"/>
  <c r="A31" i="31"/>
  <c r="A32" i="31"/>
  <c r="A33" i="31"/>
  <c r="A34" i="31"/>
  <c r="A35" i="31"/>
  <c r="A36" i="31"/>
  <c r="A37" i="31"/>
  <c r="D82" i="77"/>
  <c r="D7" i="71"/>
  <c r="AH5" i="71"/>
  <c r="AG5" i="71"/>
  <c r="AE5" i="71"/>
  <c r="AF5" i="71"/>
  <c r="AD5" i="71"/>
  <c r="Q5" i="71"/>
  <c r="P5" i="71"/>
  <c r="O5" i="71"/>
  <c r="N5"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A19" i="3" s="1"/>
  <c r="AZ19" i="3" s="1"/>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D21" i="3"/>
  <c r="BE21" i="3"/>
  <c r="BF21" i="3"/>
  <c r="BG21" i="3"/>
  <c r="BH21" i="3"/>
  <c r="BI21" i="3"/>
  <c r="BJ21" i="3"/>
  <c r="BK21" i="3"/>
  <c r="BA21" i="3" s="1"/>
  <c r="AZ21" i="3" s="1"/>
  <c r="BM21" i="3"/>
  <c r="BN21" i="3"/>
  <c r="BO21" i="3"/>
  <c r="BP21" i="3"/>
  <c r="BQ21" i="3"/>
  <c r="BR21" i="3"/>
  <c r="BS21" i="3"/>
  <c r="BT21" i="3"/>
  <c r="BL21" i="3"/>
  <c r="BB22" i="3"/>
  <c r="BC22" i="3"/>
  <c r="BD22" i="3"/>
  <c r="BE22" i="3"/>
  <c r="BF22" i="3"/>
  <c r="BG22" i="3"/>
  <c r="BH22" i="3"/>
  <c r="BI22" i="3"/>
  <c r="BJ22" i="3"/>
  <c r="BK22" i="3"/>
  <c r="BA22" i="3"/>
  <c r="BM22" i="3"/>
  <c r="BN22" i="3"/>
  <c r="BO22" i="3"/>
  <c r="BP22" i="3"/>
  <c r="BL22" i="3" s="1"/>
  <c r="AZ22" i="3" s="1"/>
  <c r="BQ22" i="3"/>
  <c r="BR22" i="3"/>
  <c r="BS22" i="3"/>
  <c r="BT22" i="3"/>
  <c r="BB23" i="3"/>
  <c r="BC23" i="3"/>
  <c r="BD23" i="3"/>
  <c r="BE23" i="3"/>
  <c r="BF23" i="3"/>
  <c r="BG23" i="3"/>
  <c r="BH23" i="3"/>
  <c r="BI23" i="3"/>
  <c r="BJ23" i="3"/>
  <c r="BK23" i="3"/>
  <c r="BA23" i="3"/>
  <c r="BM23" i="3"/>
  <c r="BN23" i="3"/>
  <c r="BO23" i="3"/>
  <c r="BP23" i="3"/>
  <c r="BQ23" i="3"/>
  <c r="BR23" i="3"/>
  <c r="BS23" i="3"/>
  <c r="BT23" i="3"/>
  <c r="BL23" i="3" s="1"/>
  <c r="AZ23" i="3" s="1"/>
  <c r="BB24" i="3"/>
  <c r="BC24" i="3"/>
  <c r="BD24" i="3"/>
  <c r="BE24" i="3"/>
  <c r="BF24" i="3"/>
  <c r="BG24" i="3"/>
  <c r="BH24" i="3"/>
  <c r="BI24" i="3"/>
  <c r="BJ24" i="3"/>
  <c r="BK24" i="3"/>
  <c r="BA24" i="3"/>
  <c r="BM24" i="3"/>
  <c r="BN24" i="3"/>
  <c r="BO24" i="3"/>
  <c r="BP24" i="3"/>
  <c r="BQ24" i="3"/>
  <c r="BR24" i="3"/>
  <c r="BL24" i="3" s="1"/>
  <c r="AZ24" i="3" s="1"/>
  <c r="BS24" i="3"/>
  <c r="BT24" i="3"/>
  <c r="BB25" i="3"/>
  <c r="BC25" i="3"/>
  <c r="BD25" i="3"/>
  <c r="BE25" i="3"/>
  <c r="BF25" i="3"/>
  <c r="BG25" i="3"/>
  <c r="BH25" i="3"/>
  <c r="BI25" i="3"/>
  <c r="BJ25" i="3"/>
  <c r="BK25" i="3"/>
  <c r="BA25" i="3"/>
  <c r="BM25" i="3"/>
  <c r="BN25" i="3"/>
  <c r="BO25" i="3"/>
  <c r="BP25" i="3"/>
  <c r="BQ25" i="3"/>
  <c r="BR25" i="3"/>
  <c r="BS25" i="3"/>
  <c r="BT25" i="3"/>
  <c r="BL25" i="3"/>
  <c r="AZ25" i="3" s="1"/>
  <c r="BB26" i="3"/>
  <c r="BC26" i="3"/>
  <c r="BD26" i="3"/>
  <c r="BE26" i="3"/>
  <c r="BF26" i="3"/>
  <c r="BG26" i="3"/>
  <c r="BH26" i="3"/>
  <c r="BI26" i="3"/>
  <c r="BJ26" i="3"/>
  <c r="BK26" i="3"/>
  <c r="BA26" i="3"/>
  <c r="BM26" i="3"/>
  <c r="BN26" i="3"/>
  <c r="BO26" i="3"/>
  <c r="BP26" i="3"/>
  <c r="BL26" i="3" s="1"/>
  <c r="AZ26" i="3" s="1"/>
  <c r="BQ26" i="3"/>
  <c r="BR26" i="3"/>
  <c r="BS26" i="3"/>
  <c r="BT26" i="3"/>
  <c r="BB27" i="3"/>
  <c r="BC27" i="3"/>
  <c r="BD27" i="3"/>
  <c r="BE27" i="3"/>
  <c r="BF27" i="3"/>
  <c r="BG27" i="3"/>
  <c r="BH27" i="3"/>
  <c r="BI27" i="3"/>
  <c r="BJ27" i="3"/>
  <c r="BK27" i="3"/>
  <c r="BA27" i="3" s="1"/>
  <c r="AZ27" i="3" s="1"/>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Q29" i="3"/>
  <c r="BR29" i="3"/>
  <c r="BL29" i="3" s="1"/>
  <c r="AZ29" i="3" s="1"/>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S31" i="3"/>
  <c r="BT31" i="3"/>
  <c r="BL31" i="3"/>
  <c r="AZ31" i="3" s="1"/>
  <c r="BB32" i="3"/>
  <c r="BC32" i="3"/>
  <c r="BD32" i="3"/>
  <c r="BE32" i="3"/>
  <c r="BF32" i="3"/>
  <c r="BG32" i="3"/>
  <c r="BH32" i="3"/>
  <c r="BI32" i="3"/>
  <c r="BJ32" i="3"/>
  <c r="BK32" i="3"/>
  <c r="BA32" i="3"/>
  <c r="BM32" i="3"/>
  <c r="BN32" i="3"/>
  <c r="BO32" i="3"/>
  <c r="BP32" i="3"/>
  <c r="BQ32" i="3"/>
  <c r="BR32" i="3"/>
  <c r="BL32" i="3" s="1"/>
  <c r="AZ32" i="3" s="1"/>
  <c r="BS32" i="3"/>
  <c r="BT32" i="3"/>
  <c r="BB33" i="3"/>
  <c r="BC33" i="3"/>
  <c r="BD33" i="3"/>
  <c r="BE33" i="3"/>
  <c r="BF33" i="3"/>
  <c r="BG33" i="3"/>
  <c r="BH33" i="3"/>
  <c r="BI33" i="3"/>
  <c r="BJ33" i="3"/>
  <c r="BK33" i="3"/>
  <c r="BA33" i="3" s="1"/>
  <c r="AZ33" i="3" s="1"/>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s="1"/>
  <c r="AZ34" i="3" s="1"/>
  <c r="BB35" i="3"/>
  <c r="BC35" i="3"/>
  <c r="BD35" i="3"/>
  <c r="BE35" i="3"/>
  <c r="BF35" i="3"/>
  <c r="BG35" i="3"/>
  <c r="BH35" i="3"/>
  <c r="BI35" i="3"/>
  <c r="BJ35" i="3"/>
  <c r="BK35" i="3"/>
  <c r="BA35" i="3" s="1"/>
  <c r="AZ35" i="3" s="1"/>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L36" i="3"/>
  <c r="AZ36" i="3" s="1"/>
  <c r="BB37" i="3"/>
  <c r="BC37" i="3"/>
  <c r="BD37" i="3"/>
  <c r="BE37" i="3"/>
  <c r="BF37" i="3"/>
  <c r="BG37" i="3"/>
  <c r="BH37" i="3"/>
  <c r="BI37" i="3"/>
  <c r="BJ37" i="3"/>
  <c r="BK37" i="3"/>
  <c r="BA37" i="3"/>
  <c r="BM37" i="3"/>
  <c r="BN37" i="3"/>
  <c r="BO37" i="3"/>
  <c r="BP37" i="3"/>
  <c r="BQ37" i="3"/>
  <c r="BR37" i="3"/>
  <c r="BS37" i="3"/>
  <c r="BT37" i="3"/>
  <c r="BL37" i="3" s="1"/>
  <c r="AZ37" i="3" s="1"/>
  <c r="BB38" i="3"/>
  <c r="BC38" i="3"/>
  <c r="BD38" i="3"/>
  <c r="BE38" i="3"/>
  <c r="BF38" i="3"/>
  <c r="BG38" i="3"/>
  <c r="BH38" i="3"/>
  <c r="BI38" i="3"/>
  <c r="BJ38" i="3"/>
  <c r="BK38" i="3"/>
  <c r="BA38" i="3"/>
  <c r="BM38" i="3"/>
  <c r="BN38" i="3"/>
  <c r="BO38" i="3"/>
  <c r="BP38" i="3"/>
  <c r="BQ38" i="3"/>
  <c r="BR38" i="3"/>
  <c r="BS38" i="3"/>
  <c r="BT38" i="3"/>
  <c r="BL38" i="3"/>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c r="BM40" i="3"/>
  <c r="BN40" i="3"/>
  <c r="BO40" i="3"/>
  <c r="BP40" i="3"/>
  <c r="BQ40" i="3"/>
  <c r="BR40" i="3"/>
  <c r="BS40" i="3"/>
  <c r="BT40" i="3"/>
  <c r="BL40" i="3"/>
  <c r="AZ40" i="3" s="1"/>
  <c r="BB41" i="3"/>
  <c r="BC41" i="3"/>
  <c r="BD41" i="3"/>
  <c r="BE41" i="3"/>
  <c r="BF41" i="3"/>
  <c r="BG41" i="3"/>
  <c r="BH41" i="3"/>
  <c r="BI41" i="3"/>
  <c r="BJ41" i="3"/>
  <c r="BK41" i="3"/>
  <c r="BA41" i="3"/>
  <c r="BM41" i="3"/>
  <c r="BN41" i="3"/>
  <c r="BO41" i="3"/>
  <c r="BP41" i="3"/>
  <c r="BL41" i="3" s="1"/>
  <c r="AZ41" i="3" s="1"/>
  <c r="BQ41" i="3"/>
  <c r="BR41" i="3"/>
  <c r="BS41" i="3"/>
  <c r="BT41" i="3"/>
  <c r="BB42" i="3"/>
  <c r="BC42" i="3"/>
  <c r="BD42" i="3"/>
  <c r="BE42" i="3"/>
  <c r="BF42" i="3"/>
  <c r="BG42" i="3"/>
  <c r="BH42" i="3"/>
  <c r="BI42" i="3"/>
  <c r="BA42" i="3" s="1"/>
  <c r="AZ42" i="3" s="1"/>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6" i="71"/>
  <c r="AG6" i="71"/>
  <c r="AH6" i="71"/>
  <c r="AE6" i="71"/>
  <c r="AF6" i="71"/>
  <c r="N6" i="71"/>
  <c r="N7" i="71"/>
  <c r="X5" i="71" s="1"/>
  <c r="N8" i="71"/>
  <c r="N9" i="71"/>
  <c r="N10" i="71"/>
  <c r="N11" i="71"/>
  <c r="N12" i="71"/>
  <c r="N13" i="71"/>
  <c r="N14" i="71"/>
  <c r="N15" i="71"/>
  <c r="N16" i="71"/>
  <c r="N17" i="71"/>
  <c r="N18" i="71"/>
  <c r="N19" i="71"/>
  <c r="N20" i="71"/>
  <c r="N21" i="71"/>
  <c r="Q6" i="71"/>
  <c r="Q7" i="71"/>
  <c r="AB5" i="71" s="1"/>
  <c r="Q8" i="71"/>
  <c r="Q9" i="71"/>
  <c r="Q10" i="71"/>
  <c r="Q11" i="71"/>
  <c r="Q12" i="71"/>
  <c r="Q13" i="71"/>
  <c r="Q14" i="71"/>
  <c r="Q15" i="71"/>
  <c r="Q16" i="71"/>
  <c r="Q17" i="71"/>
  <c r="Q18" i="71"/>
  <c r="Q19" i="71"/>
  <c r="Q20" i="71"/>
  <c r="Q21" i="71"/>
  <c r="P6" i="71"/>
  <c r="P7" i="71"/>
  <c r="P8" i="71"/>
  <c r="P9" i="71"/>
  <c r="P10" i="71"/>
  <c r="P11" i="71"/>
  <c r="P12" i="71"/>
  <c r="P13" i="71"/>
  <c r="P14" i="71"/>
  <c r="P15" i="71"/>
  <c r="P16" i="71"/>
  <c r="P17" i="71"/>
  <c r="P18" i="71"/>
  <c r="P19" i="71"/>
  <c r="P20" i="71"/>
  <c r="P21" i="71"/>
  <c r="AA5" i="71"/>
  <c r="O6" i="71"/>
  <c r="O7" i="71"/>
  <c r="Y5" i="71" s="1"/>
  <c r="Z5" i="71" s="1"/>
  <c r="O8" i="71"/>
  <c r="O9" i="71"/>
  <c r="O10" i="71"/>
  <c r="O11" i="71"/>
  <c r="O12" i="71"/>
  <c r="O13" i="71"/>
  <c r="O14" i="71"/>
  <c r="O15" i="71"/>
  <c r="O16" i="71"/>
  <c r="O17" i="71"/>
  <c r="O18" i="71"/>
  <c r="O19" i="71"/>
  <c r="O20" i="71"/>
  <c r="O21" i="71"/>
  <c r="C6" i="71"/>
  <c r="T6" i="71"/>
  <c r="F6" i="71"/>
  <c r="F5" i="71"/>
  <c r="E6" i="71"/>
  <c r="B6" i="71"/>
  <c r="S6" i="71" s="1"/>
  <c r="E5" i="71"/>
  <c r="V6" i="71"/>
  <c r="B5" i="71"/>
  <c r="D6" i="71"/>
  <c r="U6" i="71"/>
  <c r="C5" i="71"/>
  <c r="D5" i="71"/>
  <c r="AB6" i="71"/>
  <c r="Y6" i="71"/>
  <c r="Z6" i="71" s="1"/>
  <c r="X6" i="71"/>
  <c r="AA6" i="71"/>
  <c r="A2" i="53"/>
  <c r="B2" i="1"/>
  <c r="B10" i="71"/>
  <c r="B9" i="71" s="1"/>
  <c r="B8" i="71" s="1"/>
  <c r="C10" i="71"/>
  <c r="C9" i="71"/>
  <c r="C8" i="71" s="1"/>
  <c r="D8" i="71" s="1"/>
  <c r="E10" i="71"/>
  <c r="E9" i="71"/>
  <c r="E8" i="71" s="1"/>
  <c r="F10" i="71"/>
  <c r="F9" i="71" s="1"/>
  <c r="F8" i="71" s="1"/>
  <c r="D10" i="71"/>
  <c r="D11" i="71"/>
  <c r="B12" i="71"/>
  <c r="B13" i="71" s="1"/>
  <c r="B14" i="71" s="1"/>
  <c r="S14" i="71" s="1"/>
  <c r="C12" i="71"/>
  <c r="D12" i="71"/>
  <c r="E12" i="71"/>
  <c r="F12" i="71"/>
  <c r="F13" i="71" s="1"/>
  <c r="F14" i="71" s="1"/>
  <c r="C13" i="71"/>
  <c r="D13" i="71" s="1"/>
  <c r="E13" i="71"/>
  <c r="E14" i="71" s="1"/>
  <c r="U14" i="71" s="1"/>
  <c r="D15" i="71"/>
  <c r="B16" i="71"/>
  <c r="B17" i="71" s="1"/>
  <c r="B18" i="71" s="1"/>
  <c r="S18" i="71" s="1"/>
  <c r="C16" i="71"/>
  <c r="D16" i="71"/>
  <c r="E16" i="71"/>
  <c r="F16" i="71"/>
  <c r="F17" i="71" s="1"/>
  <c r="F18" i="71" s="1"/>
  <c r="C17" i="71"/>
  <c r="D17" i="71" s="1"/>
  <c r="E17" i="71"/>
  <c r="E18" i="71" s="1"/>
  <c r="D19" i="71"/>
  <c r="B20" i="71"/>
  <c r="B21" i="71" s="1"/>
  <c r="B22" i="71" s="1"/>
  <c r="S22" i="71" s="1"/>
  <c r="C20" i="71"/>
  <c r="D20" i="71"/>
  <c r="E20" i="71"/>
  <c r="F20" i="71"/>
  <c r="F21" i="71" s="1"/>
  <c r="F22" i="71" s="1"/>
  <c r="C21" i="71"/>
  <c r="D21" i="71" s="1"/>
  <c r="E21" i="71"/>
  <c r="E22" i="71" s="1"/>
  <c r="U22" i="71" s="1"/>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D5" i="43"/>
  <c r="A15" i="51"/>
  <c r="B12" i="72" s="1"/>
  <c r="C76" i="9"/>
  <c r="I107" i="40"/>
  <c r="K6" i="4"/>
  <c r="M56" i="9" s="1"/>
  <c r="E16" i="74"/>
  <c r="F16" i="74"/>
  <c r="E17" i="74"/>
  <c r="F17" i="74"/>
  <c r="E18" i="74"/>
  <c r="F18" i="74"/>
  <c r="E19" i="74"/>
  <c r="F19" i="74"/>
  <c r="E20" i="74"/>
  <c r="F20" i="74"/>
  <c r="E21" i="74"/>
  <c r="F21" i="74"/>
  <c r="E22" i="74"/>
  <c r="F22" i="74"/>
  <c r="E23" i="74"/>
  <c r="F23" i="74"/>
  <c r="B3" i="74"/>
  <c r="C91" i="9"/>
  <c r="B8" i="72"/>
  <c r="M19" i="43"/>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B48" i="71" s="1"/>
  <c r="N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E41" i="71" s="1"/>
  <c r="O39" i="71"/>
  <c r="C40" i="71" s="1"/>
  <c r="D40" i="71" s="1"/>
  <c r="N39" i="71"/>
  <c r="B40" i="71" s="1"/>
  <c r="B41" i="71" s="1"/>
  <c r="B42" i="71" s="1"/>
  <c r="S42" i="71" s="1"/>
  <c r="D39" i="71"/>
  <c r="Q38" i="71"/>
  <c r="P38" i="71"/>
  <c r="O38" i="71"/>
  <c r="N38" i="71"/>
  <c r="Q37" i="71"/>
  <c r="P37" i="71"/>
  <c r="O37" i="71"/>
  <c r="N37" i="71"/>
  <c r="Q36" i="71"/>
  <c r="P36" i="71"/>
  <c r="O36" i="71"/>
  <c r="N36" i="71"/>
  <c r="O35" i="71"/>
  <c r="C36" i="71" s="1"/>
  <c r="D36" i="71" s="1"/>
  <c r="Q35" i="71"/>
  <c r="F36" i="71" s="1"/>
  <c r="F37" i="71"/>
  <c r="F38" i="71" s="1"/>
  <c r="V38" i="71" s="1"/>
  <c r="P35" i="71"/>
  <c r="E36" i="71"/>
  <c r="N35" i="71"/>
  <c r="B36" i="71"/>
  <c r="B37" i="71" s="1"/>
  <c r="B38" i="71"/>
  <c r="S38" i="71" s="1"/>
  <c r="D35" i="71"/>
  <c r="Q34" i="71"/>
  <c r="P34" i="71"/>
  <c r="O34" i="71"/>
  <c r="N34" i="71"/>
  <c r="Q33" i="71"/>
  <c r="P33" i="71"/>
  <c r="O33" i="71"/>
  <c r="N33" i="71"/>
  <c r="Q32" i="71"/>
  <c r="P32" i="71"/>
  <c r="O32" i="71"/>
  <c r="N32" i="71"/>
  <c r="Q31" i="71"/>
  <c r="F32" i="71"/>
  <c r="F33" i="71" s="1"/>
  <c r="P31" i="71"/>
  <c r="E32" i="71"/>
  <c r="E33" i="71" s="1"/>
  <c r="E34" i="71"/>
  <c r="U34" i="71" s="1"/>
  <c r="O31" i="71"/>
  <c r="C32" i="71" s="1"/>
  <c r="D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c r="B30" i="71" s="1"/>
  <c r="S30" i="71" s="1"/>
  <c r="D27" i="71"/>
  <c r="Q26" i="71"/>
  <c r="P26" i="71"/>
  <c r="O26" i="71"/>
  <c r="N26" i="71"/>
  <c r="Q25" i="71"/>
  <c r="P25" i="71"/>
  <c r="O25" i="71"/>
  <c r="N25" i="71"/>
  <c r="Q24" i="71"/>
  <c r="P24" i="71"/>
  <c r="O24" i="71"/>
  <c r="N24" i="71"/>
  <c r="Q23" i="71"/>
  <c r="F24" i="71" s="1"/>
  <c r="F25" i="71"/>
  <c r="F26" i="71" s="1"/>
  <c r="V26" i="71" s="1"/>
  <c r="P23" i="71"/>
  <c r="E24" i="71"/>
  <c r="E25" i="71" s="1"/>
  <c r="E26" i="71"/>
  <c r="U26" i="71" s="1"/>
  <c r="O23" i="71"/>
  <c r="C24" i="71" s="1"/>
  <c r="C25" i="71" s="1"/>
  <c r="C26" i="71" s="1"/>
  <c r="D26" i="71" s="1"/>
  <c r="N23" i="71"/>
  <c r="B24" i="71" s="1"/>
  <c r="B25" i="71" s="1"/>
  <c r="B26" i="71" s="1"/>
  <c r="S26" i="71" s="1"/>
  <c r="D23" i="71"/>
  <c r="Q22" i="71"/>
  <c r="P22" i="71"/>
  <c r="O22" i="71"/>
  <c r="N22" i="71"/>
  <c r="AB21" i="71"/>
  <c r="AA21" i="71"/>
  <c r="Y21" i="71"/>
  <c r="Z21" i="71" s="1"/>
  <c r="X21" i="71"/>
  <c r="AB20" i="71"/>
  <c r="Y20" i="71"/>
  <c r="Z20" i="71" s="1"/>
  <c r="V22" i="71"/>
  <c r="AB18" i="71"/>
  <c r="Y18" i="71"/>
  <c r="Z18" i="71" s="1"/>
  <c r="AB17" i="71"/>
  <c r="Y17" i="71"/>
  <c r="Z17" i="71"/>
  <c r="AB16" i="71"/>
  <c r="Y16" i="71"/>
  <c r="Z16" i="71" s="1"/>
  <c r="V18" i="71"/>
  <c r="AB14" i="71"/>
  <c r="Y14" i="71"/>
  <c r="Z14" i="71" s="1"/>
  <c r="AB13" i="71"/>
  <c r="Y13" i="71"/>
  <c r="Z13" i="71"/>
  <c r="AB12" i="71"/>
  <c r="Y12" i="71"/>
  <c r="Z12" i="71" s="1"/>
  <c r="V14" i="71"/>
  <c r="X11" i="71"/>
  <c r="AA11" i="71"/>
  <c r="X15" i="71"/>
  <c r="X19" i="71"/>
  <c r="AA19" i="71"/>
  <c r="N50" i="71"/>
  <c r="U18" i="71"/>
  <c r="AA15" i="71"/>
  <c r="Y11" i="71"/>
  <c r="Z11" i="71" s="1"/>
  <c r="AB11" i="71"/>
  <c r="X12" i="71"/>
  <c r="AA12" i="71"/>
  <c r="X13" i="71"/>
  <c r="AA13" i="71"/>
  <c r="X14" i="71"/>
  <c r="AA14" i="71"/>
  <c r="Y15" i="71"/>
  <c r="Z15" i="71"/>
  <c r="AB15" i="71"/>
  <c r="X16" i="71"/>
  <c r="AA16" i="71"/>
  <c r="X17" i="71"/>
  <c r="AA17" i="71"/>
  <c r="X18" i="71"/>
  <c r="AA18" i="71"/>
  <c r="Y19" i="71"/>
  <c r="Z19" i="71" s="1"/>
  <c r="AB19" i="71"/>
  <c r="X20" i="71"/>
  <c r="AA20" i="71"/>
  <c r="F34" i="71"/>
  <c r="V34" i="71" s="1"/>
  <c r="Y3" i="71"/>
  <c r="Z3" i="71" s="1"/>
  <c r="Y7" i="71"/>
  <c r="Z7" i="71" s="1"/>
  <c r="Y8" i="71"/>
  <c r="Z8" i="71" s="1"/>
  <c r="Y9" i="71"/>
  <c r="Z9" i="71" s="1"/>
  <c r="Y10" i="71"/>
  <c r="Z10" i="71" s="1"/>
  <c r="X7" i="71"/>
  <c r="X8" i="71"/>
  <c r="X9" i="71"/>
  <c r="X3" i="71"/>
  <c r="X10" i="71"/>
  <c r="D24" i="71"/>
  <c r="C33" i="71"/>
  <c r="C34" i="71" s="1"/>
  <c r="D34" i="71" s="1"/>
  <c r="E37" i="71"/>
  <c r="E38" i="71" s="1"/>
  <c r="U38" i="71" s="1"/>
  <c r="E42" i="71"/>
  <c r="U42" i="71" s="1"/>
  <c r="E45" i="71"/>
  <c r="E46" i="71" s="1"/>
  <c r="U46" i="71"/>
  <c r="U50" i="71"/>
  <c r="C37" i="71"/>
  <c r="C38" i="71" s="1"/>
  <c r="D38" i="71" s="1"/>
  <c r="C41" i="71"/>
  <c r="C42" i="71" s="1"/>
  <c r="D42" i="71" s="1"/>
  <c r="C45" i="71"/>
  <c r="D45" i="71" s="1"/>
  <c r="N49" i="71"/>
  <c r="O50" i="71"/>
  <c r="C49" i="71"/>
  <c r="C53" i="71"/>
  <c r="C52" i="71" s="1"/>
  <c r="E53" i="71"/>
  <c r="E52" i="71"/>
  <c r="D54" i="71"/>
  <c r="C57" i="71"/>
  <c r="D57" i="71" s="1"/>
  <c r="C61" i="71"/>
  <c r="D61" i="71" s="1"/>
  <c r="E61" i="71"/>
  <c r="E60" i="71"/>
  <c r="D62" i="71"/>
  <c r="C65" i="71"/>
  <c r="C64" i="71" s="1"/>
  <c r="C69" i="71"/>
  <c r="T10" i="71"/>
  <c r="S10" i="71"/>
  <c r="AB3" i="71"/>
  <c r="AB7" i="71"/>
  <c r="AB8" i="71"/>
  <c r="AB9" i="71"/>
  <c r="AB10" i="71"/>
  <c r="AA3" i="71"/>
  <c r="AA7" i="71"/>
  <c r="AA8" i="71"/>
  <c r="AA9" i="71"/>
  <c r="AA10" i="71"/>
  <c r="U10" i="71"/>
  <c r="O49" i="71"/>
  <c r="D65" i="71"/>
  <c r="D64" i="71"/>
  <c r="C56" i="71"/>
  <c r="D56" i="71" s="1"/>
  <c r="N47" i="71"/>
  <c r="D69" i="71"/>
  <c r="C68" i="71"/>
  <c r="D68" i="71"/>
  <c r="C60" i="71"/>
  <c r="D60" i="71" s="1"/>
  <c r="D53" i="71"/>
  <c r="D52" i="71"/>
  <c r="D41" i="71"/>
  <c r="D33" i="71"/>
  <c r="D25" i="71"/>
  <c r="V10" i="71"/>
  <c r="T26" i="71"/>
  <c r="T34" i="71"/>
  <c r="T38" i="71"/>
  <c r="T4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c r="D103" i="39"/>
  <c r="E103" i="39"/>
  <c r="F103" i="39" s="1"/>
  <c r="G103" i="39" s="1"/>
  <c r="F29" i="39"/>
  <c r="AA29" i="39"/>
  <c r="Q18" i="36"/>
  <c r="Z18" i="36"/>
  <c r="D66" i="36"/>
  <c r="E66" i="36"/>
  <c r="F66" i="36" s="1"/>
  <c r="G66" i="36" s="1"/>
  <c r="H18" i="36"/>
  <c r="F18" i="36"/>
  <c r="AA18" i="36" s="1"/>
  <c r="C18" i="36"/>
  <c r="Q18" i="35"/>
  <c r="Z18" i="35"/>
  <c r="D68" i="35"/>
  <c r="E68" i="35"/>
  <c r="F68" i="35" s="1"/>
  <c r="F18" i="35"/>
  <c r="AA18" i="35"/>
  <c r="C18" i="35"/>
  <c r="Q21" i="37"/>
  <c r="Z21" i="37" s="1"/>
  <c r="D77" i="37"/>
  <c r="E77" i="37" s="1"/>
  <c r="C21" i="37"/>
  <c r="Q21" i="34"/>
  <c r="Z21" i="34"/>
  <c r="D84" i="34"/>
  <c r="E84" i="34"/>
  <c r="F84" i="34" s="1"/>
  <c r="G84" i="34" s="1"/>
  <c r="F21" i="34"/>
  <c r="AA21" i="34"/>
  <c r="C21" i="34"/>
  <c r="Q21" i="33"/>
  <c r="Z21" i="33" s="1"/>
  <c r="D83" i="33"/>
  <c r="C21" i="33"/>
  <c r="C21" i="21"/>
  <c r="Q21" i="21"/>
  <c r="Z21" i="21"/>
  <c r="H19" i="21"/>
  <c r="D83" i="21"/>
  <c r="E83" i="21" s="1"/>
  <c r="F21" i="21"/>
  <c r="AA21" i="21"/>
  <c r="D81" i="21"/>
  <c r="G20" i="20"/>
  <c r="B86" i="43" s="1"/>
  <c r="C22" i="20"/>
  <c r="B55" i="43" s="1"/>
  <c r="C25" i="40"/>
  <c r="S25" i="40"/>
  <c r="S29" i="39"/>
  <c r="S18" i="36"/>
  <c r="S21" i="34"/>
  <c r="H25" i="40"/>
  <c r="U25" i="40" s="1"/>
  <c r="J25" i="40"/>
  <c r="W25" i="40" s="1"/>
  <c r="H29" i="39"/>
  <c r="U29" i="39" s="1"/>
  <c r="J29" i="39"/>
  <c r="W29" i="39" s="1"/>
  <c r="J18" i="36"/>
  <c r="W18" i="36" s="1"/>
  <c r="H18" i="35"/>
  <c r="AB18" i="35" s="1"/>
  <c r="S18" i="35"/>
  <c r="G68" i="35"/>
  <c r="J18" i="35"/>
  <c r="F77" i="37"/>
  <c r="G77" i="37" s="1"/>
  <c r="H21" i="37"/>
  <c r="F21" i="37"/>
  <c r="S21" i="37" s="1"/>
  <c r="H21" i="34"/>
  <c r="U21" i="34" s="1"/>
  <c r="F21" i="33"/>
  <c r="AA21" i="33" s="1"/>
  <c r="S21" i="21"/>
  <c r="H1" i="69"/>
  <c r="AC25" i="40"/>
  <c r="AB25" i="40"/>
  <c r="AB29" i="39"/>
  <c r="AC29" i="39"/>
  <c r="AC18" i="36"/>
  <c r="AB21" i="37"/>
  <c r="U21" i="37"/>
  <c r="AA21" i="37"/>
  <c r="AB21" i="34"/>
  <c r="S21" i="33"/>
  <c r="U18" i="35"/>
  <c r="AC18" i="35"/>
  <c r="W18" i="35"/>
  <c r="J21" i="37"/>
  <c r="AC21" i="37" s="1"/>
  <c r="J21" i="34"/>
  <c r="AC21" i="34" s="1"/>
  <c r="F83" i="21"/>
  <c r="G83" i="21" s="1"/>
  <c r="H21" i="21"/>
  <c r="F38" i="69"/>
  <c r="E37" i="69"/>
  <c r="F36" i="69"/>
  <c r="F35" i="69"/>
  <c r="F21" i="69"/>
  <c r="C21" i="69" s="1"/>
  <c r="F20" i="69"/>
  <c r="E10" i="69"/>
  <c r="E9" i="69"/>
  <c r="F7" i="69"/>
  <c r="C7" i="69" s="1"/>
  <c r="W21" i="34"/>
  <c r="AB21" i="21"/>
  <c r="U21" i="21"/>
  <c r="J21" i="21"/>
  <c r="F38" i="68"/>
  <c r="E37" i="68"/>
  <c r="F36" i="68"/>
  <c r="F35" i="68"/>
  <c r="F21" i="68"/>
  <c r="C21" i="68" s="1"/>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S449" i="31" s="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R499" i="31"/>
  <c r="R500" i="31"/>
  <c r="S500" i="31" s="1"/>
  <c r="R501" i="31"/>
  <c r="S501" i="31" s="1"/>
  <c r="R502" i="31"/>
  <c r="S502" i="31" s="1"/>
  <c r="R503" i="31"/>
  <c r="R504" i="31"/>
  <c r="S504" i="31" s="1"/>
  <c r="R505" i="31"/>
  <c r="S505" i="31" s="1"/>
  <c r="R506" i="31"/>
  <c r="S506" i="31" s="1"/>
  <c r="R507" i="31"/>
  <c r="R508" i="31"/>
  <c r="R509" i="31"/>
  <c r="R510" i="31"/>
  <c r="R511" i="31"/>
  <c r="R512" i="31"/>
  <c r="R513" i="31"/>
  <c r="R514" i="31"/>
  <c r="R515" i="31"/>
  <c r="S515" i="31" s="1"/>
  <c r="R516" i="31"/>
  <c r="S516" i="31" s="1"/>
  <c r="R517" i="31"/>
  <c r="S517" i="31" s="1"/>
  <c r="R518" i="31"/>
  <c r="S518" i="31" s="1"/>
  <c r="R519" i="31"/>
  <c r="S519" i="31" s="1"/>
  <c r="R520" i="31"/>
  <c r="S520" i="31" s="1"/>
  <c r="R521" i="31"/>
  <c r="S521" i="31" s="1"/>
  <c r="R522" i="31"/>
  <c r="R523" i="31"/>
  <c r="S523" i="31" s="1"/>
  <c r="R524" i="31"/>
  <c r="S524" i="31" s="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s="1"/>
  <c r="E19" i="6"/>
  <c r="E20" i="6"/>
  <c r="E21" i="6"/>
  <c r="K8" i="1"/>
  <c r="M8" i="1" s="1"/>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8" i="31"/>
  <c r="S396" i="31"/>
  <c r="S374" i="31"/>
  <c r="S354" i="31"/>
  <c r="S332" i="31"/>
  <c r="S310" i="31"/>
  <c r="S286" i="31"/>
  <c r="S251" i="31"/>
  <c r="S243" i="31"/>
  <c r="S235" i="31"/>
  <c r="S227" i="31"/>
  <c r="S429" i="31"/>
  <c r="S425" i="31"/>
  <c r="S222" i="31"/>
  <c r="S214" i="31"/>
  <c r="S206" i="31"/>
  <c r="S198" i="31"/>
  <c r="S190" i="31"/>
  <c r="S182" i="31"/>
  <c r="S174" i="31"/>
  <c r="S166" i="31"/>
  <c r="S158" i="31"/>
  <c r="S150" i="31"/>
  <c r="S142" i="31"/>
  <c r="S134" i="31"/>
  <c r="S129" i="31"/>
  <c r="S127" i="31"/>
  <c r="S125" i="31"/>
  <c r="S123" i="31"/>
  <c r="S495" i="31"/>
  <c r="S491" i="31"/>
  <c r="S487" i="31"/>
  <c r="S483" i="31"/>
  <c r="S479" i="31"/>
  <c r="S475" i="31"/>
  <c r="S471" i="31"/>
  <c r="S442" i="31"/>
  <c r="S434" i="31"/>
  <c r="S119" i="31"/>
  <c r="S115" i="31"/>
  <c r="S498" i="31"/>
  <c r="S467" i="31"/>
  <c r="S466" i="31"/>
  <c r="S465" i="31"/>
  <c r="S464" i="31"/>
  <c r="S463" i="31"/>
  <c r="S462" i="31"/>
  <c r="S461" i="31"/>
  <c r="S460" i="31"/>
  <c r="S459" i="31"/>
  <c r="S458" i="31"/>
  <c r="S457" i="31"/>
  <c r="S456" i="31"/>
  <c r="S455" i="31"/>
  <c r="S454" i="31"/>
  <c r="S453" i="31"/>
  <c r="S452" i="31"/>
  <c r="S451" i="31"/>
  <c r="S450" i="31"/>
  <c r="S103" i="31"/>
  <c r="S104" i="31"/>
  <c r="S105" i="31"/>
  <c r="S106" i="31"/>
  <c r="S107" i="31"/>
  <c r="S108" i="31"/>
  <c r="S109" i="31"/>
  <c r="S110" i="31"/>
  <c r="S111" i="31"/>
  <c r="S447"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22"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s="1"/>
  <c r="Q23" i="33"/>
  <c r="Z23" i="33"/>
  <c r="Q19" i="33"/>
  <c r="Z19" i="33"/>
  <c r="Q17" i="33"/>
  <c r="Z17" i="33"/>
  <c r="Q15" i="33"/>
  <c r="Z15" i="33"/>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C101"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H37" i="33"/>
  <c r="AB37" i="33" s="1"/>
  <c r="H15" i="33"/>
  <c r="AB15" i="33" s="1"/>
  <c r="F28" i="40"/>
  <c r="AA28" i="40" s="1"/>
  <c r="AA29" i="35"/>
  <c r="AA42" i="34"/>
  <c r="S42" i="34"/>
  <c r="AC38" i="34"/>
  <c r="AA38" i="34"/>
  <c r="J37" i="34"/>
  <c r="AC37" i="34"/>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AC13" i="36"/>
  <c r="S11" i="36"/>
  <c r="W11" i="35"/>
  <c r="AC30" i="34"/>
  <c r="S45" i="33"/>
  <c r="AB31" i="33"/>
  <c r="W29" i="33"/>
  <c r="U13" i="33"/>
  <c r="AC28" i="21"/>
  <c r="S44" i="34"/>
  <c r="F17" i="21"/>
  <c r="AA17" i="21" s="1"/>
  <c r="H17" i="21"/>
  <c r="AB17" i="21" s="1"/>
  <c r="F15" i="21"/>
  <c r="S15" i="21" s="1"/>
  <c r="AB11" i="21"/>
  <c r="J41" i="39"/>
  <c r="W41" i="39"/>
  <c r="AC45" i="39"/>
  <c r="W44" i="39"/>
  <c r="W36" i="39"/>
  <c r="W35" i="39"/>
  <c r="U36" i="39"/>
  <c r="S35" i="39"/>
  <c r="S503" i="31"/>
  <c r="S499" i="31"/>
  <c r="O27" i="31"/>
  <c r="O28" i="31"/>
  <c r="O26" i="31"/>
  <c r="M27" i="31"/>
  <c r="M28" i="31"/>
  <c r="M26" i="31"/>
  <c r="I26" i="31"/>
  <c r="I25" i="31"/>
  <c r="K26" i="31"/>
  <c r="I27" i="31"/>
  <c r="K27" i="31"/>
  <c r="I28" i="31"/>
  <c r="K28" i="31"/>
  <c r="AC28" i="34"/>
  <c r="S21" i="40"/>
  <c r="H25" i="21"/>
  <c r="U25" i="21" s="1"/>
  <c r="F25" i="21"/>
  <c r="S25" i="21" s="1"/>
  <c r="J25" i="21"/>
  <c r="AC25" i="21" s="1"/>
  <c r="E125" i="33"/>
  <c r="F125" i="33" s="1"/>
  <c r="G125" i="33" s="1"/>
  <c r="H43" i="33"/>
  <c r="AB43" i="33" s="1"/>
  <c r="H17" i="37"/>
  <c r="U17" i="37"/>
  <c r="AA36" i="39"/>
  <c r="F39" i="33"/>
  <c r="AA39" i="33" s="1"/>
  <c r="E123" i="33"/>
  <c r="F42" i="33"/>
  <c r="AA42" i="33" s="1"/>
  <c r="H28" i="34"/>
  <c r="AB28" i="34"/>
  <c r="F14" i="36"/>
  <c r="AA14" i="36"/>
  <c r="F22" i="36"/>
  <c r="S22" i="36"/>
  <c r="F26" i="36"/>
  <c r="S26" i="36"/>
  <c r="H27" i="34"/>
  <c r="AB27" i="34"/>
  <c r="H35" i="34"/>
  <c r="U35" i="34"/>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c r="P9" i="1"/>
  <c r="AE9" i="1"/>
  <c r="D93" i="9"/>
  <c r="E15" i="6"/>
  <c r="K6" i="1"/>
  <c r="B29" i="1" s="1"/>
  <c r="C8" i="68" s="1"/>
  <c r="E13" i="6"/>
  <c r="E58" i="40" s="1"/>
  <c r="G29" i="6"/>
  <c r="E29" i="6"/>
  <c r="AC26" i="33"/>
  <c r="W27" i="34"/>
  <c r="AC27" i="34"/>
  <c r="W12" i="33"/>
  <c r="AC12" i="33"/>
  <c r="F28" i="6"/>
  <c r="U30" i="33"/>
  <c r="AC13" i="34"/>
  <c r="AA47" i="34"/>
  <c r="W28" i="37"/>
  <c r="S19" i="39"/>
  <c r="F12" i="33"/>
  <c r="H12" i="39"/>
  <c r="AB12" i="39"/>
  <c r="F39" i="40"/>
  <c r="S12" i="1"/>
  <c r="AQ12" i="1" s="1"/>
  <c r="R12" i="1"/>
  <c r="B12" i="1"/>
  <c r="E12" i="1" s="1"/>
  <c r="S10" i="1"/>
  <c r="R10" i="1"/>
  <c r="B10" i="1"/>
  <c r="E10" i="1" s="1"/>
  <c r="D1" i="66"/>
  <c r="E10" i="66" s="1"/>
  <c r="K12" i="1"/>
  <c r="M12" i="1" s="1"/>
  <c r="O12" i="1"/>
  <c r="P12" i="1"/>
  <c r="S13" i="1"/>
  <c r="AR13" i="1" s="1"/>
  <c r="R13" i="1"/>
  <c r="S11" i="1"/>
  <c r="AQ11" i="1" s="1"/>
  <c r="R11" i="1"/>
  <c r="S9" i="1"/>
  <c r="AR9" i="1" s="1"/>
  <c r="R9" i="1"/>
  <c r="J51" i="67"/>
  <c r="C42" i="1"/>
  <c r="H100" i="43"/>
  <c r="C30" i="66"/>
  <c r="E26" i="66" s="1"/>
  <c r="AC34" i="33"/>
  <c r="AA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F32"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S30" i="37"/>
  <c r="S37" i="37"/>
  <c r="AC15" i="37"/>
  <c r="J17" i="37"/>
  <c r="W17" i="37" s="1"/>
  <c r="F17" i="37"/>
  <c r="AA17" i="37"/>
  <c r="AB17" i="37"/>
  <c r="F19" i="37"/>
  <c r="F23" i="37"/>
  <c r="S23" i="37"/>
  <c r="U23" i="37"/>
  <c r="U15" i="37"/>
  <c r="AC13" i="37"/>
  <c r="U9" i="37"/>
  <c r="AA13" i="37"/>
  <c r="AA12" i="37"/>
  <c r="AA9"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U42" i="33"/>
  <c r="S42" i="33"/>
  <c r="J35" i="33"/>
  <c r="W35" i="33" s="1"/>
  <c r="S37" i="33"/>
  <c r="AA37" i="33"/>
  <c r="S39" i="33"/>
  <c r="J32" i="33"/>
  <c r="AC32" i="33" s="1"/>
  <c r="S46" i="33"/>
  <c r="W43" i="33"/>
  <c r="S43" i="33"/>
  <c r="H27" i="33"/>
  <c r="AB27" i="33" s="1"/>
  <c r="H25" i="33"/>
  <c r="AB25" i="33" s="1"/>
  <c r="F25" i="33"/>
  <c r="S25" i="33" s="1"/>
  <c r="J23" i="33"/>
  <c r="W23" i="33" s="1"/>
  <c r="H23" i="33"/>
  <c r="U23" i="33" s="1"/>
  <c r="F19" i="33"/>
  <c r="S19" i="33" s="1"/>
  <c r="W19" i="33"/>
  <c r="J17" i="33"/>
  <c r="W17" i="33" s="1"/>
  <c r="W15" i="33"/>
  <c r="U9" i="33"/>
  <c r="J10" i="33"/>
  <c r="W10" i="33" s="1"/>
  <c r="H10" i="33"/>
  <c r="U10" i="33" s="1"/>
  <c r="AA10"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s="1"/>
  <c r="E10" i="6"/>
  <c r="E11" i="6"/>
  <c r="E61" i="39" s="1"/>
  <c r="G30" i="6"/>
  <c r="G31" i="6" s="1"/>
  <c r="A24" i="51"/>
  <c r="B18" i="72" s="1"/>
  <c r="U29" i="34"/>
  <c r="E14" i="6"/>
  <c r="E64" i="39" s="1"/>
  <c r="E5" i="6"/>
  <c r="P10" i="1"/>
  <c r="E32" i="6"/>
  <c r="L19" i="6"/>
  <c r="G1" i="68"/>
  <c r="K1" i="12"/>
  <c r="F30" i="6"/>
  <c r="E28" i="6"/>
  <c r="C107" i="43"/>
  <c r="S2" i="43"/>
  <c r="E19" i="69"/>
  <c r="E19" i="68"/>
  <c r="E19" i="11"/>
  <c r="E1" i="73"/>
  <c r="K1" i="73" s="1"/>
  <c r="G41" i="69"/>
  <c r="G22" i="69"/>
  <c r="G41" i="68"/>
  <c r="G22" i="68"/>
  <c r="G27" i="12"/>
  <c r="G26" i="12"/>
  <c r="G41" i="11"/>
  <c r="G22" i="11"/>
  <c r="G25" i="12"/>
  <c r="C109" i="43"/>
  <c r="C100" i="43"/>
  <c r="E11" i="43"/>
  <c r="E10" i="43"/>
  <c r="E9" i="43"/>
  <c r="E8" i="43"/>
  <c r="C7" i="43"/>
  <c r="E81" i="43"/>
  <c r="B79" i="43"/>
  <c r="AD11" i="43"/>
  <c r="AI11" i="43"/>
  <c r="AI13" i="43" s="1"/>
  <c r="AA11" i="43"/>
  <c r="AA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7" i="21"/>
  <c r="C58" i="21" s="1"/>
  <c r="D58" i="21" s="1"/>
  <c r="C7" i="40"/>
  <c r="C63" i="40" s="1"/>
  <c r="M47" i="9"/>
  <c r="C46" i="36"/>
  <c r="D46" i="36" s="1"/>
  <c r="C59" i="34"/>
  <c r="D59" i="34" s="1"/>
  <c r="C52" i="37"/>
  <c r="D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C31" i="12"/>
  <c r="M18" i="67"/>
  <c r="F32" i="67"/>
  <c r="F60" i="67"/>
  <c r="F30" i="69"/>
  <c r="C48" i="69"/>
  <c r="F32" i="15"/>
  <c r="F60" i="15"/>
  <c r="M18" i="15"/>
  <c r="F28" i="15"/>
  <c r="E63" i="39"/>
  <c r="T11" i="1"/>
  <c r="D19" i="12"/>
  <c r="C19" i="12" s="1"/>
  <c r="AQ9" i="1"/>
  <c r="AR11" i="1"/>
  <c r="E59" i="40"/>
  <c r="D68" i="39"/>
  <c r="D70" i="39" s="1"/>
  <c r="C28" i="15"/>
  <c r="E30" i="6"/>
  <c r="K15" i="1"/>
  <c r="T9" i="1"/>
  <c r="T13" i="1"/>
  <c r="C48" i="68"/>
  <c r="C77" i="9"/>
  <c r="C74" i="9" s="1"/>
  <c r="C30" i="69"/>
  <c r="D9" i="68"/>
  <c r="C9" i="68" s="1"/>
  <c r="S7" i="1"/>
  <c r="T7" i="1" s="1"/>
  <c r="E7" i="70"/>
  <c r="C24" i="12"/>
  <c r="AA39" i="40"/>
  <c r="S39" i="40"/>
  <c r="S12" i="33"/>
  <c r="AA12" i="33"/>
  <c r="C16" i="43"/>
  <c r="D68" i="9"/>
  <c r="F54" i="9"/>
  <c r="J32" i="39"/>
  <c r="H107" i="39"/>
  <c r="I107" i="39"/>
  <c r="J107" i="39" s="1"/>
  <c r="K107" i="39" s="1"/>
  <c r="L107" i="39" s="1"/>
  <c r="M107" i="39" s="1"/>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J25" i="33"/>
  <c r="AC25" i="33" s="1"/>
  <c r="F23" i="33"/>
  <c r="S23" i="33" s="1"/>
  <c r="H19" i="33"/>
  <c r="U19" i="33" s="1"/>
  <c r="H17" i="33"/>
  <c r="AB17" i="33" s="1"/>
  <c r="F17" i="33"/>
  <c r="AA17" i="33" s="1"/>
  <c r="AB10" i="33"/>
  <c r="AC10" i="33"/>
  <c r="AC37" i="21"/>
  <c r="U33" i="21"/>
  <c r="S37" i="21"/>
  <c r="AA23" i="21"/>
  <c r="AB15" i="21"/>
  <c r="J23" i="21"/>
  <c r="F85" i="21"/>
  <c r="G85" i="21"/>
  <c r="H23" i="21"/>
  <c r="S13" i="21"/>
  <c r="D6" i="52"/>
  <c r="D121" i="9"/>
  <c r="D7" i="52" s="1"/>
  <c r="K120" i="9"/>
  <c r="S6" i="43"/>
  <c r="S3" i="43"/>
  <c r="K14" i="1"/>
  <c r="M14" i="1" s="1"/>
  <c r="O14" i="1"/>
  <c r="P14" i="1"/>
  <c r="C5" i="43"/>
  <c r="E52" i="37"/>
  <c r="F52" i="37" s="1"/>
  <c r="E58" i="21"/>
  <c r="F58" i="21" s="1"/>
  <c r="E48" i="35"/>
  <c r="F48" i="35" s="1"/>
  <c r="G48" i="35" s="1"/>
  <c r="E59" i="34"/>
  <c r="F59" i="34" s="1"/>
  <c r="L27" i="6"/>
  <c r="AP7" i="1"/>
  <c r="C36" i="69" s="1"/>
  <c r="O7" i="1"/>
  <c r="H16" i="1"/>
  <c r="AB45" i="21"/>
  <c r="AC33" i="21"/>
  <c r="W33" i="21"/>
  <c r="S33" i="21"/>
  <c r="AA33" i="21"/>
  <c r="W32" i="21"/>
  <c r="AC32" i="21"/>
  <c r="AB9" i="21"/>
  <c r="U9" i="21"/>
  <c r="AA32" i="21"/>
  <c r="S32" i="21"/>
  <c r="W9" i="21"/>
  <c r="AC9" i="21"/>
  <c r="AB32" i="21"/>
  <c r="U32" i="21"/>
  <c r="AA10" i="21"/>
  <c r="S10" i="21"/>
  <c r="M17" i="15"/>
  <c r="F31" i="15"/>
  <c r="F59" i="67"/>
  <c r="M17" i="67"/>
  <c r="F59" i="15"/>
  <c r="F31" i="67"/>
  <c r="C30" i="11"/>
  <c r="A18" i="62"/>
  <c r="B64" i="72" s="1"/>
  <c r="D3" i="33"/>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U17" i="33"/>
  <c r="U23" i="21"/>
  <c r="AB23" i="21"/>
  <c r="AC23" i="21"/>
  <c r="W23" i="21"/>
  <c r="P7" i="1"/>
  <c r="P16" i="1" s="1"/>
  <c r="C11" i="12" s="1"/>
  <c r="C12" i="12" s="1"/>
  <c r="G39" i="43"/>
  <c r="I39" i="43" s="1"/>
  <c r="E68" i="39"/>
  <c r="F68" i="39"/>
  <c r="G68" i="39" s="1"/>
  <c r="H68" i="39" s="1"/>
  <c r="C5" i="68"/>
  <c r="W11" i="37"/>
  <c r="W11" i="34"/>
  <c r="AC11" i="34"/>
  <c r="R7" i="1"/>
  <c r="C13" i="12"/>
  <c r="F34" i="11"/>
  <c r="F11" i="12"/>
  <c r="C23" i="12" s="1"/>
  <c r="F34" i="68"/>
  <c r="C36" i="68" s="1"/>
  <c r="E70" i="39"/>
  <c r="F70" i="39"/>
  <c r="R8" i="1"/>
  <c r="G70" i="39"/>
  <c r="AE7" i="1"/>
  <c r="AE8" i="1"/>
  <c r="AG6" i="1"/>
  <c r="H109" i="9"/>
  <c r="H110" i="9"/>
  <c r="D18" i="53" s="1"/>
  <c r="B35" i="72" s="1"/>
  <c r="D124" i="9"/>
  <c r="D10" i="52" s="1"/>
  <c r="D16" i="53"/>
  <c r="B34" i="72"/>
  <c r="H14" i="74"/>
  <c r="B7" i="74" s="1"/>
  <c r="D17" i="53"/>
  <c r="B36" i="72"/>
  <c r="H112" i="9"/>
  <c r="D21" i="53"/>
  <c r="B39" i="72" s="1"/>
  <c r="H111" i="9"/>
  <c r="D126" i="9" s="1"/>
  <c r="D19" i="53"/>
  <c r="B38" i="72" s="1"/>
  <c r="D59" i="9"/>
  <c r="M55" i="9"/>
  <c r="D20" i="53"/>
  <c r="B40" i="72" s="1"/>
  <c r="AD3" i="71"/>
  <c r="M23" i="67"/>
  <c r="D2" i="34"/>
  <c r="F6" i="15"/>
  <c r="J15" i="67"/>
  <c r="C76" i="67"/>
  <c r="B7" i="76"/>
  <c r="F6" i="73"/>
  <c r="F8" i="67"/>
  <c r="F42" i="67"/>
  <c r="F36" i="15"/>
  <c r="F40" i="67"/>
  <c r="E12" i="76"/>
  <c r="AO9" i="1"/>
  <c r="E13" i="76"/>
  <c r="E7" i="76"/>
  <c r="F37" i="15"/>
  <c r="F37" i="67"/>
  <c r="F8" i="15"/>
  <c r="D2" i="21"/>
  <c r="F5" i="73"/>
  <c r="E9" i="76"/>
  <c r="F43" i="67"/>
  <c r="D4" i="73"/>
  <c r="M27" i="67"/>
  <c r="M8" i="15"/>
  <c r="E8" i="76"/>
  <c r="E11" i="76"/>
  <c r="F20" i="31"/>
  <c r="AO13" i="1"/>
  <c r="L47" i="15"/>
  <c r="M22" i="15"/>
  <c r="D3" i="73"/>
  <c r="M27" i="15"/>
  <c r="E2" i="69"/>
  <c r="F13" i="67"/>
  <c r="L47" i="67"/>
  <c r="F4" i="73"/>
  <c r="F26" i="15"/>
  <c r="M28" i="15"/>
  <c r="F38" i="15"/>
  <c r="F36" i="67"/>
  <c r="B10" i="76"/>
  <c r="M6" i="67"/>
  <c r="M6" i="15"/>
  <c r="D2" i="33"/>
  <c r="M29" i="67"/>
  <c r="D7" i="73"/>
  <c r="D6" i="73"/>
  <c r="AO10" i="1"/>
  <c r="D2" i="37"/>
  <c r="M28" i="67"/>
  <c r="F7" i="15"/>
  <c r="D2" i="35"/>
  <c r="F40" i="15"/>
  <c r="M26" i="15"/>
  <c r="L48" i="15"/>
  <c r="F9" i="15"/>
  <c r="M26" i="67"/>
  <c r="F38" i="67"/>
  <c r="F9" i="67"/>
  <c r="AO7" i="1"/>
  <c r="F16" i="15"/>
  <c r="M29" i="15"/>
  <c r="F42" i="15"/>
  <c r="F3" i="73"/>
  <c r="J15" i="15"/>
  <c r="B11" i="76"/>
  <c r="M24" i="15"/>
  <c r="D5" i="73"/>
  <c r="M9" i="15"/>
  <c r="D2" i="36"/>
  <c r="E10" i="76"/>
  <c r="M9" i="67"/>
  <c r="L48" i="67"/>
  <c r="B8" i="76"/>
  <c r="C76" i="15"/>
  <c r="B12" i="76"/>
  <c r="F7" i="73"/>
  <c r="M22" i="67"/>
  <c r="F16" i="67"/>
  <c r="AO8" i="1"/>
  <c r="AO12" i="1"/>
  <c r="E2" i="68"/>
  <c r="F6" i="67"/>
  <c r="B9" i="76"/>
  <c r="M24" i="67"/>
  <c r="F26" i="67"/>
  <c r="AO11" i="1"/>
  <c r="M8" i="67"/>
  <c r="M23" i="15"/>
  <c r="F43" i="15"/>
  <c r="F13" i="15"/>
  <c r="F7" i="67"/>
  <c r="B13" i="76"/>
  <c r="J53" i="67" l="1"/>
  <c r="F1" i="67" s="1"/>
  <c r="P74" i="67"/>
  <c r="U32" i="33"/>
  <c r="AA25" i="33"/>
  <c r="Q52" i="67"/>
  <c r="B113" i="43"/>
  <c r="D117" i="43" s="1"/>
  <c r="E117" i="43" s="1"/>
  <c r="F117" i="43" s="1"/>
  <c r="G117" i="43" s="1"/>
  <c r="H117" i="43" s="1"/>
  <c r="BA13" i="3"/>
  <c r="AZ13" i="3" s="1"/>
  <c r="E12" i="6"/>
  <c r="G13" i="3"/>
  <c r="I14" i="74"/>
  <c r="B8" i="74" s="1"/>
  <c r="D127" i="9"/>
  <c r="D13" i="52" s="1"/>
  <c r="D12" i="52"/>
  <c r="G58" i="21"/>
  <c r="H58" i="21" s="1"/>
  <c r="I58" i="21" s="1"/>
  <c r="J58" i="21" s="1"/>
  <c r="K58" i="21" s="1"/>
  <c r="L58" i="21" s="1"/>
  <c r="M58" i="21" s="1"/>
  <c r="N58" i="21" s="1"/>
  <c r="O58" i="21" s="1"/>
  <c r="F7" i="21" s="1"/>
  <c r="H7" i="21"/>
  <c r="D125" i="9"/>
  <c r="D11" i="52" s="1"/>
  <c r="J7" i="21"/>
  <c r="H33" i="33"/>
  <c r="J33" i="33"/>
  <c r="F33" i="33"/>
  <c r="F27" i="6"/>
  <c r="F31" i="6" s="1"/>
  <c r="E56" i="39"/>
  <c r="E51" i="40"/>
  <c r="AA12" i="34"/>
  <c r="S12" i="34"/>
  <c r="U34" i="36"/>
  <c r="AB34" i="36"/>
  <c r="U33" i="36"/>
  <c r="AB33" i="36"/>
  <c r="AB14" i="37"/>
  <c r="U14" i="37"/>
  <c r="AC32" i="40"/>
  <c r="W32" i="40"/>
  <c r="W39" i="40"/>
  <c r="AC39" i="40"/>
  <c r="F26" i="35"/>
  <c r="J26" i="35"/>
  <c r="H26" i="35"/>
  <c r="S12" i="21"/>
  <c r="AA12" i="21"/>
  <c r="W9" i="34"/>
  <c r="AC9" i="34"/>
  <c r="W24" i="35"/>
  <c r="AC24" i="35"/>
  <c r="AC34" i="35"/>
  <c r="W34" i="35"/>
  <c r="AB36" i="35"/>
  <c r="U36" i="35"/>
  <c r="AA32" i="36"/>
  <c r="S32" i="36"/>
  <c r="U27" i="37"/>
  <c r="AB27" i="37"/>
  <c r="AC39" i="37"/>
  <c r="W39" i="37"/>
  <c r="W12" i="39"/>
  <c r="AC12" i="39"/>
  <c r="W12" i="40"/>
  <c r="AC12" i="40"/>
  <c r="AA38" i="40"/>
  <c r="S38" i="40"/>
  <c r="AB35" i="39"/>
  <c r="U35" i="39"/>
  <c r="I7" i="33"/>
  <c r="E7" i="33"/>
  <c r="G7" i="33"/>
  <c r="H38" i="40"/>
  <c r="J38" i="40"/>
  <c r="H39" i="40"/>
  <c r="K100" i="43"/>
  <c r="D108" i="43"/>
  <c r="D100" i="43"/>
  <c r="D24" i="67"/>
  <c r="D23" i="67"/>
  <c r="C40" i="69"/>
  <c r="W21" i="37"/>
  <c r="E83" i="33"/>
  <c r="F83" i="33" s="1"/>
  <c r="G83" i="33" s="1"/>
  <c r="H21" i="33"/>
  <c r="U21" i="33" s="1"/>
  <c r="J21" i="33"/>
  <c r="D37" i="71"/>
  <c r="C46" i="71"/>
  <c r="P50" i="71"/>
  <c r="E49" i="71"/>
  <c r="U58" i="71"/>
  <c r="E57" i="71"/>
  <c r="E56" i="71" s="1"/>
  <c r="Z12" i="43"/>
  <c r="Z10" i="43"/>
  <c r="AD12" i="43"/>
  <c r="AD10" i="43"/>
  <c r="AH12" i="43"/>
  <c r="AH10" i="43"/>
  <c r="C58" i="33"/>
  <c r="D58" i="33" s="1"/>
  <c r="E58" i="33" s="1"/>
  <c r="F58" i="33" s="1"/>
  <c r="G58" i="33" s="1"/>
  <c r="H58" i="33" s="1"/>
  <c r="I58" i="33" s="1"/>
  <c r="J58" i="33" s="1"/>
  <c r="K58" i="33" s="1"/>
  <c r="L58" i="33" s="1"/>
  <c r="M58" i="33" s="1"/>
  <c r="N58" i="33" s="1"/>
  <c r="O58" i="33" s="1"/>
  <c r="AD13" i="43"/>
  <c r="E56" i="40"/>
  <c r="AA39" i="34"/>
  <c r="E16" i="6"/>
  <c r="AB45" i="33"/>
  <c r="AA14" i="34"/>
  <c r="AB46" i="34"/>
  <c r="W11" i="36"/>
  <c r="AB11" i="36"/>
  <c r="AA14" i="33"/>
  <c r="AA44" i="33"/>
  <c r="AB17" i="34"/>
  <c r="F15" i="33"/>
  <c r="H9" i="34"/>
  <c r="F34" i="35"/>
  <c r="H34" i="35"/>
  <c r="J36" i="35"/>
  <c r="A15" i="62"/>
  <c r="B61" i="72" s="1"/>
  <c r="F3" i="35"/>
  <c r="M108" i="43"/>
  <c r="M100" i="43"/>
  <c r="I108" i="43"/>
  <c r="I100" i="43"/>
  <c r="E108" i="43"/>
  <c r="E100" i="43"/>
  <c r="B75" i="43"/>
  <c r="B66" i="43"/>
  <c r="C29" i="39"/>
  <c r="AB18" i="36"/>
  <c r="U18" i="36"/>
  <c r="C48" i="71"/>
  <c r="D49" i="71"/>
  <c r="C29" i="71"/>
  <c r="D29" i="71" s="1"/>
  <c r="D28" i="71"/>
  <c r="T50" i="71"/>
  <c r="D50" i="71"/>
  <c r="V50" i="71"/>
  <c r="F49" i="71"/>
  <c r="Q50" i="71"/>
  <c r="T58" i="71"/>
  <c r="D58" i="71"/>
  <c r="AF10" i="43"/>
  <c r="AC12" i="43"/>
  <c r="AC10" i="43"/>
  <c r="AG12" i="43"/>
  <c r="AG10" i="43"/>
  <c r="G5" i="3"/>
  <c r="B3" i="3" s="1"/>
  <c r="C22" i="71"/>
  <c r="C18" i="71"/>
  <c r="C14" i="71"/>
  <c r="D9" i="71"/>
  <c r="J51" i="15"/>
  <c r="BL570" i="3"/>
  <c r="AZ570" i="3" s="1"/>
  <c r="BA569" i="3"/>
  <c r="AZ569" i="3" s="1"/>
  <c r="BL566" i="3"/>
  <c r="AZ566" i="3" s="1"/>
  <c r="BA565" i="3"/>
  <c r="AZ565" i="3" s="1"/>
  <c r="BL562" i="3"/>
  <c r="AZ562" i="3" s="1"/>
  <c r="BA561" i="3"/>
  <c r="AZ561" i="3" s="1"/>
  <c r="AZ351" i="3"/>
  <c r="AZ343" i="3"/>
  <c r="AZ335" i="3"/>
  <c r="BA571" i="3"/>
  <c r="AZ571" i="3" s="1"/>
  <c r="BL568" i="3"/>
  <c r="AZ568" i="3" s="1"/>
  <c r="BA567" i="3"/>
  <c r="AZ567" i="3" s="1"/>
  <c r="BL564" i="3"/>
  <c r="AZ564" i="3" s="1"/>
  <c r="BA563" i="3"/>
  <c r="AZ563" i="3" s="1"/>
  <c r="BL560" i="3"/>
  <c r="AZ560" i="3" s="1"/>
  <c r="BA559" i="3"/>
  <c r="AZ559" i="3" s="1"/>
  <c r="BA354" i="3"/>
  <c r="AZ354" i="3" s="1"/>
  <c r="BL351" i="3"/>
  <c r="BA350" i="3"/>
  <c r="AZ350" i="3" s="1"/>
  <c r="BL347" i="3"/>
  <c r="AZ347" i="3" s="1"/>
  <c r="BA346" i="3"/>
  <c r="AZ346" i="3" s="1"/>
  <c r="BL343" i="3"/>
  <c r="BA342" i="3"/>
  <c r="AZ342" i="3" s="1"/>
  <c r="BL339" i="3"/>
  <c r="AZ339" i="3" s="1"/>
  <c r="BA338" i="3"/>
  <c r="AZ338" i="3" s="1"/>
  <c r="BL335" i="3"/>
  <c r="BL353" i="3"/>
  <c r="AZ353" i="3" s="1"/>
  <c r="BA352" i="3"/>
  <c r="AZ352" i="3" s="1"/>
  <c r="BL349" i="3"/>
  <c r="AZ349" i="3" s="1"/>
  <c r="BA348" i="3"/>
  <c r="AZ348" i="3" s="1"/>
  <c r="BL345" i="3"/>
  <c r="AZ345" i="3" s="1"/>
  <c r="BA344" i="3"/>
  <c r="AZ344" i="3" s="1"/>
  <c r="BL341" i="3"/>
  <c r="AZ341" i="3" s="1"/>
  <c r="BA340" i="3"/>
  <c r="AZ340" i="3" s="1"/>
  <c r="BL337" i="3"/>
  <c r="AZ337" i="3" s="1"/>
  <c r="BA336" i="3"/>
  <c r="AZ336" i="3" s="1"/>
  <c r="BA246" i="3"/>
  <c r="AZ246" i="3" s="1"/>
  <c r="BL243" i="3"/>
  <c r="AZ243" i="3" s="1"/>
  <c r="BA242" i="3"/>
  <c r="AZ242" i="3" s="1"/>
  <c r="BL239" i="3"/>
  <c r="AZ239" i="3" s="1"/>
  <c r="BL245" i="3"/>
  <c r="AZ245" i="3" s="1"/>
  <c r="BA244" i="3"/>
  <c r="AZ244" i="3" s="1"/>
  <c r="BL241" i="3"/>
  <c r="AZ241" i="3" s="1"/>
  <c r="BA240" i="3"/>
  <c r="AZ240" i="3" s="1"/>
  <c r="BA141" i="3"/>
  <c r="AZ141" i="3" s="1"/>
  <c r="BL138" i="3"/>
  <c r="AZ138" i="3" s="1"/>
  <c r="BA137" i="3"/>
  <c r="AZ137" i="3" s="1"/>
  <c r="BL134" i="3"/>
  <c r="AZ134" i="3" s="1"/>
  <c r="BA133" i="3"/>
  <c r="AZ133" i="3" s="1"/>
  <c r="BL130" i="3"/>
  <c r="AZ130" i="3" s="1"/>
  <c r="BA129" i="3"/>
  <c r="BL140" i="3"/>
  <c r="AZ140" i="3" s="1"/>
  <c r="BA139" i="3"/>
  <c r="AZ139" i="3" s="1"/>
  <c r="BL136" i="3"/>
  <c r="AZ136" i="3" s="1"/>
  <c r="BA135" i="3"/>
  <c r="AZ135" i="3" s="1"/>
  <c r="BL132" i="3"/>
  <c r="AZ132" i="3" s="1"/>
  <c r="BA131" i="3"/>
  <c r="AZ131" i="3" s="1"/>
  <c r="BL85" i="3"/>
  <c r="BL5" i="3" s="1"/>
  <c r="AC17" i="33"/>
  <c r="AB19" i="33"/>
  <c r="S17" i="33"/>
  <c r="O16" i="1"/>
  <c r="U40" i="33"/>
  <c r="U25" i="33"/>
  <c r="AB21" i="33"/>
  <c r="S41" i="33"/>
  <c r="G111" i="33"/>
  <c r="J36" i="33" s="1"/>
  <c r="F91" i="33"/>
  <c r="G91" i="33" s="1"/>
  <c r="H91" i="33" s="1"/>
  <c r="I91" i="33" s="1"/>
  <c r="J91" i="33" s="1"/>
  <c r="K91" i="33" s="1"/>
  <c r="L91" i="33" s="1"/>
  <c r="M91" i="33" s="1"/>
  <c r="J27" i="33"/>
  <c r="W27" i="33" s="1"/>
  <c r="AB23" i="33"/>
  <c r="B16" i="49"/>
  <c r="B4" i="49"/>
  <c r="E16" i="49"/>
  <c r="S38" i="33"/>
  <c r="AC35" i="33"/>
  <c r="S32" i="33"/>
  <c r="U27" i="33"/>
  <c r="W25" i="33"/>
  <c r="E11" i="49"/>
  <c r="E10" i="49"/>
  <c r="E6" i="49"/>
  <c r="U35" i="33"/>
  <c r="W32" i="33"/>
  <c r="S26" i="33"/>
  <c r="AB26" i="33"/>
  <c r="AC23" i="33"/>
  <c r="AA23" i="33"/>
  <c r="AA19" i="33"/>
  <c r="W40" i="33"/>
  <c r="C34" i="69"/>
  <c r="C35" i="69" s="1"/>
  <c r="C36" i="11"/>
  <c r="N104" i="46"/>
  <c r="M7" i="1"/>
  <c r="M16" i="1" s="1"/>
  <c r="Q16" i="1"/>
  <c r="K16" i="1"/>
  <c r="AQ8" i="1"/>
  <c r="T8" i="1"/>
  <c r="C104" i="43"/>
  <c r="C106" i="43"/>
  <c r="C105" i="43"/>
  <c r="C102" i="43"/>
  <c r="C103" i="43"/>
  <c r="AQ7" i="1"/>
  <c r="AR7" i="1"/>
  <c r="AE11" i="43"/>
  <c r="AE13" i="43" s="1"/>
  <c r="Z11" i="43"/>
  <c r="Z13" i="43" s="1"/>
  <c r="AH11" i="43"/>
  <c r="AH13" i="43" s="1"/>
  <c r="L101" i="43"/>
  <c r="D9" i="11"/>
  <c r="C9" i="11" s="1"/>
  <c r="D9" i="69"/>
  <c r="C9" i="69" s="1"/>
  <c r="AQ10" i="1"/>
  <c r="T10" i="1"/>
  <c r="AR10" i="1"/>
  <c r="AR12" i="1"/>
  <c r="T12" i="1"/>
  <c r="B115" i="43"/>
  <c r="I118" i="43"/>
  <c r="J118" i="43" s="1"/>
  <c r="K118" i="43" s="1"/>
  <c r="L118" i="43" s="1"/>
  <c r="M118" i="43" s="1"/>
  <c r="D115" i="43"/>
  <c r="E115" i="43" s="1"/>
  <c r="F115" i="43" s="1"/>
  <c r="G115" i="43" s="1"/>
  <c r="H115" i="43" s="1"/>
  <c r="G118" i="43"/>
  <c r="H118" i="43" s="1"/>
  <c r="I116" i="43"/>
  <c r="J116" i="43" s="1"/>
  <c r="K116" i="43" s="1"/>
  <c r="L116" i="43" s="1"/>
  <c r="M116" i="43" s="1"/>
  <c r="E60" i="40"/>
  <c r="E65" i="39"/>
  <c r="F22" i="43"/>
  <c r="K101" i="43"/>
  <c r="F101" i="43"/>
  <c r="N101" i="43"/>
  <c r="E22" i="43"/>
  <c r="H22" i="43"/>
  <c r="D101" i="43"/>
  <c r="M101" i="43"/>
  <c r="I101" i="43"/>
  <c r="E101" i="43"/>
  <c r="S5" i="43"/>
  <c r="G101" i="43"/>
  <c r="J101" i="43"/>
  <c r="H101" i="43"/>
  <c r="G22" i="43"/>
  <c r="AJ11" i="43"/>
  <c r="AJ13" i="43" s="1"/>
  <c r="AF11" i="43"/>
  <c r="AF13" i="43" s="1"/>
  <c r="AB11" i="43"/>
  <c r="AB13" i="43" s="1"/>
  <c r="Z7" i="43"/>
  <c r="AG11" i="43"/>
  <c r="AG13" i="43" s="1"/>
  <c r="AC11" i="43"/>
  <c r="AC13" i="43" s="1"/>
  <c r="Y11" i="43"/>
  <c r="Y13" i="43" s="1"/>
  <c r="C23" i="43"/>
  <c r="C21" i="43" s="1"/>
  <c r="S4" i="43"/>
  <c r="S7" i="43"/>
  <c r="B8" i="49"/>
  <c r="E5" i="49"/>
  <c r="E8" i="49"/>
  <c r="B9" i="49"/>
  <c r="E7" i="49"/>
  <c r="B10" i="49"/>
  <c r="T35" i="4"/>
  <c r="A19" i="51" s="1"/>
  <c r="B14" i="72" s="1"/>
  <c r="K56" i="9"/>
  <c r="N56" i="9"/>
  <c r="E4" i="49"/>
  <c r="B6" i="49"/>
  <c r="E9" i="49"/>
  <c r="E21" i="49"/>
  <c r="B11" i="49"/>
  <c r="B13" i="49"/>
  <c r="C4" i="4" s="1"/>
  <c r="B4" i="62" s="1"/>
  <c r="B71" i="72" s="1"/>
  <c r="B5" i="49"/>
  <c r="E22" i="49"/>
  <c r="B14" i="49"/>
  <c r="B7" i="49"/>
  <c r="E4" i="4" s="1"/>
  <c r="B5" i="62" s="1"/>
  <c r="B73" i="72" s="1"/>
  <c r="B22" i="49"/>
  <c r="J56" i="9"/>
  <c r="J57" i="9" s="1"/>
  <c r="J59" i="9" s="1"/>
  <c r="J61" i="9" s="1"/>
  <c r="A13" i="51"/>
  <c r="B11" i="72" s="1"/>
  <c r="C94" i="9"/>
  <c r="C92" i="9"/>
  <c r="C15" i="12"/>
  <c r="G16" i="1"/>
  <c r="F10" i="39" s="1"/>
  <c r="C34" i="68"/>
  <c r="C35" i="68" s="1"/>
  <c r="I68" i="39"/>
  <c r="H70" i="39"/>
  <c r="G59" i="34"/>
  <c r="D63" i="40"/>
  <c r="C65" i="40"/>
  <c r="H48" i="35"/>
  <c r="I48" i="35" s="1"/>
  <c r="J48" i="35" s="1"/>
  <c r="K48" i="35" s="1"/>
  <c r="L48" i="35" s="1"/>
  <c r="M48" i="35" s="1"/>
  <c r="N48" i="35" s="1"/>
  <c r="O48" i="35" s="1"/>
  <c r="F7" i="35"/>
  <c r="G52" i="37"/>
  <c r="H52" i="37" s="1"/>
  <c r="I52" i="37" s="1"/>
  <c r="J52" i="37" s="1"/>
  <c r="K52" i="37" s="1"/>
  <c r="L52" i="37" s="1"/>
  <c r="M52" i="37" s="1"/>
  <c r="N52" i="37" s="1"/>
  <c r="O52" i="37" s="1"/>
  <c r="E46" i="36"/>
  <c r="F46" i="36" s="1"/>
  <c r="G46" i="36" s="1"/>
  <c r="H46" i="36" s="1"/>
  <c r="I46" i="36" s="1"/>
  <c r="J46" i="36" s="1"/>
  <c r="K46" i="36" s="1"/>
  <c r="L46" i="36" s="1"/>
  <c r="M46" i="36" s="1"/>
  <c r="N46" i="36" s="1"/>
  <c r="O46" i="36" s="1"/>
  <c r="G19" i="43"/>
  <c r="B7" i="70"/>
  <c r="B8" i="70"/>
  <c r="M59" i="15"/>
  <c r="L58" i="15"/>
  <c r="N59" i="15"/>
  <c r="L59" i="15"/>
  <c r="F70" i="67"/>
  <c r="F65" i="67"/>
  <c r="F66" i="67"/>
  <c r="F51" i="67"/>
  <c r="Q71" i="67"/>
  <c r="F64" i="67"/>
  <c r="F68" i="67"/>
  <c r="F71" i="67"/>
  <c r="I54" i="67"/>
  <c r="J57" i="67"/>
  <c r="J55" i="67" s="1"/>
  <c r="J58" i="67" s="1"/>
  <c r="Q50" i="67" s="1"/>
  <c r="L56" i="67"/>
  <c r="M7" i="67"/>
  <c r="J6" i="67" s="1"/>
  <c r="F50" i="67"/>
  <c r="C27" i="67"/>
  <c r="L58" i="67"/>
  <c r="L59" i="67"/>
  <c r="N59" i="67"/>
  <c r="M59" i="67"/>
  <c r="Q71" i="15"/>
  <c r="C6" i="67"/>
  <c r="B11" i="70"/>
  <c r="B9" i="70"/>
  <c r="E20" i="43"/>
  <c r="J53" i="15"/>
  <c r="J57" i="15"/>
  <c r="J55" i="15" s="1"/>
  <c r="J58" i="15" s="1"/>
  <c r="Q50" i="15" s="1"/>
  <c r="I54" i="15"/>
  <c r="L56" i="15"/>
  <c r="L57" i="15"/>
  <c r="L60" i="15"/>
  <c r="F66" i="15"/>
  <c r="F65" i="15"/>
  <c r="F64" i="15"/>
  <c r="M7" i="15"/>
  <c r="J6" i="15" s="1"/>
  <c r="F50" i="15"/>
  <c r="C6" i="15"/>
  <c r="B12" i="70"/>
  <c r="B10" i="70"/>
  <c r="B13" i="70"/>
  <c r="F68" i="15"/>
  <c r="C27" i="15"/>
  <c r="F71" i="15"/>
  <c r="I1" i="73"/>
  <c r="B39" i="1" s="1"/>
  <c r="F51" i="15"/>
  <c r="G1" i="73"/>
  <c r="C14" i="67"/>
  <c r="C16" i="67"/>
  <c r="C17" i="67"/>
  <c r="C16" i="15"/>
  <c r="B118" i="43" l="1"/>
  <c r="C118" i="43" s="1"/>
  <c r="D116" i="43"/>
  <c r="E116" i="43" s="1"/>
  <c r="F116" i="43" s="1"/>
  <c r="G116" i="43" s="1"/>
  <c r="H116" i="43" s="1"/>
  <c r="D118" i="43"/>
  <c r="E118" i="43" s="1"/>
  <c r="F118" i="43" s="1"/>
  <c r="I117" i="43"/>
  <c r="J117" i="43" s="1"/>
  <c r="K117" i="43" s="1"/>
  <c r="L117" i="43" s="1"/>
  <c r="M117" i="43" s="1"/>
  <c r="I115" i="43"/>
  <c r="J115" i="43" s="1"/>
  <c r="K115" i="43" s="1"/>
  <c r="L115" i="43" s="1"/>
  <c r="M115" i="43" s="1"/>
  <c r="B116" i="43"/>
  <c r="C116" i="43" s="1"/>
  <c r="B117" i="43"/>
  <c r="C117" i="43" s="1"/>
  <c r="E57" i="40"/>
  <c r="E62" i="39"/>
  <c r="E66" i="39"/>
  <c r="AC27" i="33"/>
  <c r="S7" i="21"/>
  <c r="AA7" i="21"/>
  <c r="R48" i="21" s="1"/>
  <c r="J7" i="36"/>
  <c r="H7" i="35"/>
  <c r="J7" i="35"/>
  <c r="AZ85" i="3"/>
  <c r="D14" i="71"/>
  <c r="T14" i="71"/>
  <c r="D22" i="71"/>
  <c r="T22" i="71"/>
  <c r="Q49" i="71"/>
  <c r="F48" i="71"/>
  <c r="AB34" i="35"/>
  <c r="U34" i="35"/>
  <c r="AB9" i="34"/>
  <c r="U9" i="34"/>
  <c r="P49" i="71"/>
  <c r="E48" i="71"/>
  <c r="D46" i="71"/>
  <c r="T46" i="71"/>
  <c r="W21" i="33"/>
  <c r="AC21" i="33"/>
  <c r="U39" i="40"/>
  <c r="AB39" i="40"/>
  <c r="AB38" i="40"/>
  <c r="U38" i="40"/>
  <c r="F7" i="33"/>
  <c r="W26" i="35"/>
  <c r="AC26" i="35"/>
  <c r="AC33" i="33"/>
  <c r="W33" i="33"/>
  <c r="AC7" i="21"/>
  <c r="V48" i="21" s="1"/>
  <c r="I48" i="21" s="1"/>
  <c r="I52" i="21" s="1"/>
  <c r="J52" i="21" s="1"/>
  <c r="W7" i="21"/>
  <c r="AB7" i="21"/>
  <c r="T48" i="21" s="1"/>
  <c r="G48" i="21" s="1"/>
  <c r="U7" i="21"/>
  <c r="AZ129" i="3"/>
  <c r="BA5" i="3"/>
  <c r="E27" i="6" s="1"/>
  <c r="D18" i="71"/>
  <c r="T18"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D48" i="71"/>
  <c r="O47" i="71"/>
  <c r="O48" i="71"/>
  <c r="W36" i="35"/>
  <c r="AC36" i="35"/>
  <c r="S34" i="35"/>
  <c r="AA34" i="35"/>
  <c r="AA15" i="33"/>
  <c r="S15" i="33"/>
  <c r="AC38" i="40"/>
  <c r="W38" i="40"/>
  <c r="H7" i="33"/>
  <c r="J7" i="33"/>
  <c r="U26" i="35"/>
  <c r="AB26" i="35"/>
  <c r="AA26" i="35"/>
  <c r="S26" i="35"/>
  <c r="AA33" i="33"/>
  <c r="S33" i="33"/>
  <c r="AB33" i="33"/>
  <c r="U33" i="33"/>
  <c r="F36" i="33"/>
  <c r="H111" i="33"/>
  <c r="I111" i="33" s="1"/>
  <c r="J111" i="33" s="1"/>
  <c r="K111" i="33" s="1"/>
  <c r="L111" i="33" s="1"/>
  <c r="M111" i="33" s="1"/>
  <c r="H36" i="33"/>
  <c r="AC36" i="33"/>
  <c r="W36" i="33"/>
  <c r="C38" i="69"/>
  <c r="H102" i="43"/>
  <c r="H103" i="43"/>
  <c r="H104" i="43"/>
  <c r="H109" i="43"/>
  <c r="H106" i="43"/>
  <c r="H107" i="43"/>
  <c r="H105" i="43"/>
  <c r="G105" i="43"/>
  <c r="G102" i="43"/>
  <c r="G103" i="43"/>
  <c r="G107" i="43"/>
  <c r="G109" i="43"/>
  <c r="G106" i="43"/>
  <c r="G104" i="43"/>
  <c r="E102" i="43"/>
  <c r="E106" i="43"/>
  <c r="E103" i="43"/>
  <c r="E107" i="43"/>
  <c r="E109" i="43"/>
  <c r="E105" i="43"/>
  <c r="E104" i="43"/>
  <c r="M109" i="43"/>
  <c r="M102" i="43"/>
  <c r="M106" i="43"/>
  <c r="M103" i="43"/>
  <c r="M104" i="43"/>
  <c r="M105" i="43"/>
  <c r="M107" i="43"/>
  <c r="H10" i="40"/>
  <c r="J104" i="43"/>
  <c r="J105" i="43"/>
  <c r="J103" i="43"/>
  <c r="J106" i="43"/>
  <c r="J109" i="43"/>
  <c r="J107" i="43"/>
  <c r="J102" i="43"/>
  <c r="I104" i="43"/>
  <c r="I107" i="43"/>
  <c r="I105" i="43"/>
  <c r="I109" i="43"/>
  <c r="I106" i="43"/>
  <c r="I102" i="43"/>
  <c r="I103" i="43"/>
  <c r="D105" i="43"/>
  <c r="D106" i="43"/>
  <c r="D102" i="43"/>
  <c r="D103" i="43"/>
  <c r="D107" i="43"/>
  <c r="D109" i="43"/>
  <c r="D104" i="43"/>
  <c r="D22" i="43"/>
  <c r="F107" i="43"/>
  <c r="F106" i="43"/>
  <c r="F103" i="43"/>
  <c r="F109" i="43"/>
  <c r="F104" i="43"/>
  <c r="F102" i="43"/>
  <c r="F105" i="43"/>
  <c r="F27" i="69"/>
  <c r="F28" i="12"/>
  <c r="C29" i="12" s="1"/>
  <c r="D28" i="12" s="1"/>
  <c r="F27" i="68"/>
  <c r="F27" i="11"/>
  <c r="F10" i="40"/>
  <c r="S10" i="40" s="1"/>
  <c r="N103" i="43"/>
  <c r="N106" i="43"/>
  <c r="N107" i="43"/>
  <c r="N102" i="43"/>
  <c r="N104" i="43"/>
  <c r="N109" i="43"/>
  <c r="N105" i="43"/>
  <c r="K107" i="43"/>
  <c r="K104" i="43"/>
  <c r="K106" i="43"/>
  <c r="K109" i="43"/>
  <c r="K105" i="43"/>
  <c r="K103" i="43"/>
  <c r="K102" i="43"/>
  <c r="C115" i="43"/>
  <c r="D113" i="43" s="1"/>
  <c r="J22" i="43" s="1"/>
  <c r="L109" i="43"/>
  <c r="L106" i="43"/>
  <c r="L107" i="43"/>
  <c r="L103" i="43"/>
  <c r="L105" i="43"/>
  <c r="L104" i="43"/>
  <c r="L102" i="43"/>
  <c r="N16" i="1"/>
  <c r="L16" i="1"/>
  <c r="C34" i="11"/>
  <c r="B40" i="1"/>
  <c r="F24" i="15" s="1"/>
  <c r="C24" i="15" s="1"/>
  <c r="C38" i="68"/>
  <c r="K4" i="4"/>
  <c r="B46" i="48" s="1"/>
  <c r="B4" i="72" s="1"/>
  <c r="J10" i="39"/>
  <c r="AC10" i="39" s="1"/>
  <c r="H10" i="39"/>
  <c r="J10" i="40"/>
  <c r="C49" i="15"/>
  <c r="H7" i="36"/>
  <c r="F7" i="36"/>
  <c r="J7" i="37"/>
  <c r="F7" i="37"/>
  <c r="AA7" i="35"/>
  <c r="R38" i="35" s="1"/>
  <c r="S7" i="35"/>
  <c r="W10" i="39"/>
  <c r="S10" i="39"/>
  <c r="AA10" i="39"/>
  <c r="J68" i="39"/>
  <c r="I70" i="39"/>
  <c r="M20" i="43"/>
  <c r="C19" i="43" s="1"/>
  <c r="O19" i="43"/>
  <c r="P21" i="43"/>
  <c r="P23" i="43"/>
  <c r="B71" i="39" s="1"/>
  <c r="P24" i="43"/>
  <c r="B66" i="40" s="1"/>
  <c r="P25" i="43"/>
  <c r="P22" i="43"/>
  <c r="W7" i="36"/>
  <c r="AC7" i="36"/>
  <c r="V36" i="36" s="1"/>
  <c r="I36" i="36" s="1"/>
  <c r="H7" i="37"/>
  <c r="AB7" i="35"/>
  <c r="T38" i="35" s="1"/>
  <c r="G38" i="35" s="1"/>
  <c r="U7" i="35"/>
  <c r="AC7" i="35"/>
  <c r="V38" i="35" s="1"/>
  <c r="I38" i="35" s="1"/>
  <c r="W7" i="35"/>
  <c r="AA10" i="40"/>
  <c r="U10" i="40"/>
  <c r="AB10" i="40"/>
  <c r="E63" i="40"/>
  <c r="D65" i="40"/>
  <c r="H59" i="34"/>
  <c r="I59" i="34" s="1"/>
  <c r="J59" i="34" s="1"/>
  <c r="K59" i="34" s="1"/>
  <c r="L59" i="34" s="1"/>
  <c r="M59" i="34" s="1"/>
  <c r="N59" i="34" s="1"/>
  <c r="O59" i="34" s="1"/>
  <c r="F7" i="34"/>
  <c r="H7" i="34"/>
  <c r="C15" i="67"/>
  <c r="C18" i="67"/>
  <c r="M11" i="15"/>
  <c r="J10" i="15" s="1"/>
  <c r="J5" i="15" s="1"/>
  <c r="F11" i="15"/>
  <c r="M11" i="67"/>
  <c r="J10" i="67" s="1"/>
  <c r="J5" i="67" s="1"/>
  <c r="F11" i="67"/>
  <c r="Q57" i="15"/>
  <c r="Q66" i="15"/>
  <c r="Q74" i="67"/>
  <c r="Q61" i="67"/>
  <c r="Q74" i="15"/>
  <c r="Q61" i="15"/>
  <c r="Q73" i="15"/>
  <c r="Q60" i="15"/>
  <c r="F1" i="15"/>
  <c r="Q52" i="15"/>
  <c r="O17" i="43"/>
  <c r="P17" i="43"/>
  <c r="N17" i="43"/>
  <c r="M17" i="43"/>
  <c r="Q60" i="67"/>
  <c r="Q73" i="67"/>
  <c r="C49" i="67"/>
  <c r="AE6" i="1"/>
  <c r="W7" i="33" l="1"/>
  <c r="AC7" i="33"/>
  <c r="H6" i="3"/>
  <c r="E6" i="3" s="1"/>
  <c r="G52" i="21"/>
  <c r="H52" i="21" s="1"/>
  <c r="G53" i="21"/>
  <c r="H53" i="21" s="1"/>
  <c r="P48" i="71"/>
  <c r="P47" i="71"/>
  <c r="Q48" i="71"/>
  <c r="Q47" i="71"/>
  <c r="AZ5" i="3"/>
  <c r="E48" i="21"/>
  <c r="R49" i="21"/>
  <c r="U7" i="33"/>
  <c r="AB7" i="33"/>
  <c r="K24" i="6"/>
  <c r="M24" i="6" s="1"/>
  <c r="I24" i="6" s="1"/>
  <c r="S24" i="6" s="1"/>
  <c r="K26" i="6"/>
  <c r="M26" i="6" s="1"/>
  <c r="I26" i="6" s="1"/>
  <c r="S26" i="6" s="1"/>
  <c r="K19" i="6"/>
  <c r="K23" i="6"/>
  <c r="M23" i="6" s="1"/>
  <c r="I23" i="6" s="1"/>
  <c r="S23" i="6" s="1"/>
  <c r="K20" i="6"/>
  <c r="M20" i="6" s="1"/>
  <c r="I20" i="6" s="1"/>
  <c r="S20" i="6" s="1"/>
  <c r="E31" i="6"/>
  <c r="K21" i="6"/>
  <c r="M21" i="6" s="1"/>
  <c r="I21" i="6" s="1"/>
  <c r="S21" i="6" s="1"/>
  <c r="K22" i="6"/>
  <c r="M22" i="6" s="1"/>
  <c r="I22" i="6" s="1"/>
  <c r="S22" i="6" s="1"/>
  <c r="K25" i="6"/>
  <c r="M25" i="6" s="1"/>
  <c r="I25" i="6" s="1"/>
  <c r="S25" i="6" s="1"/>
  <c r="S7" i="33"/>
  <c r="AA7" i="33"/>
  <c r="U36" i="33"/>
  <c r="AB36" i="33"/>
  <c r="S36" i="33"/>
  <c r="AA36" i="33"/>
  <c r="F25" i="12"/>
  <c r="C26" i="12" s="1"/>
  <c r="D25" i="12" s="1"/>
  <c r="F22" i="68"/>
  <c r="C26" i="68" s="1"/>
  <c r="D22" i="68" s="1"/>
  <c r="F22" i="11"/>
  <c r="C44" i="11" s="1"/>
  <c r="D41" i="11" s="1"/>
  <c r="F24" i="67"/>
  <c r="C24" i="67" s="1"/>
  <c r="F22" i="69"/>
  <c r="C47" i="11"/>
  <c r="D45" i="11" s="1"/>
  <c r="C29" i="11"/>
  <c r="D27" i="11" s="1"/>
  <c r="C38" i="11"/>
  <c r="C35" i="11"/>
  <c r="F50" i="11"/>
  <c r="F50" i="68"/>
  <c r="F50" i="69"/>
  <c r="C29" i="68"/>
  <c r="D27" i="68" s="1"/>
  <c r="C47" i="68"/>
  <c r="D45" i="68" s="1"/>
  <c r="C29" i="69"/>
  <c r="D27" i="69" s="1"/>
  <c r="C47" i="69"/>
  <c r="D45" i="69" s="1"/>
  <c r="C19" i="67"/>
  <c r="C20" i="67" s="1"/>
  <c r="C26" i="67" s="1"/>
  <c r="W10" i="40"/>
  <c r="AC10" i="40"/>
  <c r="U10" i="39"/>
  <c r="AB10" i="39"/>
  <c r="R39" i="35"/>
  <c r="E38" i="35"/>
  <c r="I43" i="35" s="1"/>
  <c r="J43" i="35" s="1"/>
  <c r="AC7" i="37"/>
  <c r="V42" i="37" s="1"/>
  <c r="I42" i="37" s="1"/>
  <c r="W7" i="37"/>
  <c r="U7" i="36"/>
  <c r="AB7" i="36"/>
  <c r="T36" i="36" s="1"/>
  <c r="G36" i="36" s="1"/>
  <c r="S7" i="34"/>
  <c r="AA7" i="34"/>
  <c r="R49" i="34" s="1"/>
  <c r="U7" i="37"/>
  <c r="AB7" i="37"/>
  <c r="T42" i="37" s="1"/>
  <c r="G42" i="37" s="1"/>
  <c r="U7" i="34"/>
  <c r="AB7" i="34"/>
  <c r="T49" i="34" s="1"/>
  <c r="G49" i="34" s="1"/>
  <c r="E65" i="40"/>
  <c r="F63" i="40"/>
  <c r="I42" i="35"/>
  <c r="J42" i="35" s="1"/>
  <c r="G43" i="35"/>
  <c r="H43" i="35" s="1"/>
  <c r="G42" i="35"/>
  <c r="H42" i="35" s="1"/>
  <c r="I40" i="36"/>
  <c r="J40" i="36" s="1"/>
  <c r="C33" i="43"/>
  <c r="C35"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36" i="43"/>
  <c r="C34" i="43"/>
  <c r="C29" i="43"/>
  <c r="K68" i="39"/>
  <c r="J70" i="39"/>
  <c r="S7" i="37"/>
  <c r="AA7" i="37"/>
  <c r="R42" i="37" s="1"/>
  <c r="S7" i="36"/>
  <c r="AA7" i="36"/>
  <c r="R36" i="36" s="1"/>
  <c r="J7" i="34"/>
  <c r="J26" i="15"/>
  <c r="J24" i="15"/>
  <c r="J18" i="15"/>
  <c r="J24" i="67"/>
  <c r="J26" i="67"/>
  <c r="J18" i="67"/>
  <c r="C10" i="67"/>
  <c r="C5" i="67" s="1"/>
  <c r="C53" i="67"/>
  <c r="C48" i="67" s="1"/>
  <c r="C10" i="15"/>
  <c r="C5" i="15" s="1"/>
  <c r="C53" i="15"/>
  <c r="C48" i="15" s="1"/>
  <c r="F41" i="67"/>
  <c r="F41" i="15"/>
  <c r="F69" i="67" l="1"/>
  <c r="J29" i="67"/>
  <c r="C49" i="21"/>
  <c r="C48" i="21"/>
  <c r="E3" i="6"/>
  <c r="AY6" i="3"/>
  <c r="S6" i="1"/>
  <c r="M19" i="6"/>
  <c r="K27" i="6"/>
  <c r="E52" i="21"/>
  <c r="F52" i="21" s="1"/>
  <c r="E53" i="21"/>
  <c r="F53" i="21" s="1"/>
  <c r="I53" i="21"/>
  <c r="J53" i="21" s="1"/>
  <c r="C23" i="11"/>
  <c r="C26" i="69"/>
  <c r="D22" i="69" s="1"/>
  <c r="C44" i="69"/>
  <c r="D41" i="69" s="1"/>
  <c r="C26" i="11"/>
  <c r="D22" i="11" s="1"/>
  <c r="C44" i="68"/>
  <c r="D41" i="68" s="1"/>
  <c r="C23" i="68"/>
  <c r="F69" i="15"/>
  <c r="J29" i="15"/>
  <c r="C23" i="67"/>
  <c r="C29" i="67" s="1"/>
  <c r="AC7" i="34"/>
  <c r="V49" i="34" s="1"/>
  <c r="I49" i="34" s="1"/>
  <c r="G54" i="34" s="1"/>
  <c r="H54" i="34" s="1"/>
  <c r="W7" i="34"/>
  <c r="L68" i="39"/>
  <c r="K70" i="39"/>
  <c r="G34" i="43"/>
  <c r="I34" i="43" s="1"/>
  <c r="E34" i="43"/>
  <c r="G37" i="43"/>
  <c r="I37" i="43" s="1"/>
  <c r="E37" i="43"/>
  <c r="G35" i="43"/>
  <c r="I35" i="43" s="1"/>
  <c r="E35" i="43"/>
  <c r="G63" i="40"/>
  <c r="F65" i="40"/>
  <c r="G53" i="34"/>
  <c r="H53" i="34" s="1"/>
  <c r="I46" i="37"/>
  <c r="J46" i="37" s="1"/>
  <c r="C39" i="35"/>
  <c r="B2" i="35" s="1"/>
  <c r="B3" i="35" s="1"/>
  <c r="C38" i="35"/>
  <c r="E36" i="36"/>
  <c r="R37" i="36"/>
  <c r="R43" i="37"/>
  <c r="E42" i="37"/>
  <c r="C30" i="43"/>
  <c r="E30" i="43" s="1"/>
  <c r="E29" i="43"/>
  <c r="E36" i="43"/>
  <c r="G36" i="43"/>
  <c r="I36" i="43" s="1"/>
  <c r="G38" i="43"/>
  <c r="I38" i="43" s="1"/>
  <c r="E38" i="43"/>
  <c r="G33" i="43"/>
  <c r="I33" i="43" s="1"/>
  <c r="E33" i="43"/>
  <c r="G47" i="37"/>
  <c r="H47" i="37" s="1"/>
  <c r="G46" i="37"/>
  <c r="H46" i="37" s="1"/>
  <c r="E49" i="34"/>
  <c r="R50" i="34"/>
  <c r="G40" i="36"/>
  <c r="H40" i="36" s="1"/>
  <c r="G41" i="36"/>
  <c r="H41" i="36" s="1"/>
  <c r="E43" i="35"/>
  <c r="F43" i="35" s="1"/>
  <c r="E42" i="35"/>
  <c r="F42" i="35" s="1"/>
  <c r="C32" i="67"/>
  <c r="C38" i="67"/>
  <c r="C66" i="15"/>
  <c r="C60" i="15"/>
  <c r="C60" i="67"/>
  <c r="C66" i="67"/>
  <c r="C32" i="15"/>
  <c r="C38" i="15"/>
  <c r="C33" i="15"/>
  <c r="C17" i="15"/>
  <c r="S16" i="1" l="1"/>
  <c r="AQ6" i="1"/>
  <c r="E6" i="70"/>
  <c r="E2" i="70" s="1"/>
  <c r="AR6" i="1"/>
  <c r="T6"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191" i="3"/>
  <c r="AY31" i="3"/>
  <c r="AY147" i="3"/>
  <c r="AY350" i="3"/>
  <c r="AY425" i="3"/>
  <c r="AY244" i="3"/>
  <c r="AY481" i="3"/>
  <c r="AY562" i="3"/>
  <c r="AY89" i="3"/>
  <c r="AY36" i="3"/>
  <c r="AY146" i="3"/>
  <c r="AY302"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0" i="3"/>
  <c r="AY387" i="3"/>
  <c r="AY269" i="3"/>
  <c r="AY535" i="3"/>
  <c r="AY68" i="3"/>
  <c r="AY117" i="3"/>
  <c r="AY227" i="3"/>
  <c r="AY507" i="3"/>
  <c r="AY29" i="3"/>
  <c r="AY275" i="3"/>
  <c r="AY341" i="3"/>
  <c r="AY480" i="3"/>
  <c r="AY419" i="3"/>
  <c r="AY536" i="3"/>
  <c r="AY532" i="3"/>
  <c r="AY64" i="3"/>
  <c r="AY113" i="3"/>
  <c r="AY361" i="3"/>
  <c r="AY479" i="3"/>
  <c r="AY402" i="3"/>
  <c r="AY524" i="3"/>
  <c r="AY578" i="3"/>
  <c r="AY192" i="3"/>
  <c r="AY249" i="3"/>
  <c r="AY347" i="3"/>
  <c r="AY482" i="3"/>
  <c r="AY421" i="3"/>
  <c r="AY528" i="3"/>
  <c r="AY102" i="3"/>
  <c r="AY22" i="3"/>
  <c r="AY175" i="3"/>
  <c r="AY288" i="3"/>
  <c r="AY208" i="3"/>
  <c r="AY339" i="3"/>
  <c r="AY474" i="3"/>
  <c r="AY413" i="3"/>
  <c r="AY583" i="3"/>
  <c r="AY98" i="3"/>
  <c r="AY163" i="3"/>
  <c r="AY334" i="3"/>
  <c r="AY390" i="3"/>
  <c r="AY574" i="3"/>
  <c r="AY25" i="3"/>
  <c r="AY271" i="3"/>
  <c r="AY384" i="3"/>
  <c r="BB6" i="3"/>
  <c r="AY181" i="3"/>
  <c r="AY258" i="3"/>
  <c r="AY309" i="3"/>
  <c r="AY449" i="3"/>
  <c r="AY503" i="3"/>
  <c r="AY520" i="3"/>
  <c r="AY496" i="3"/>
  <c r="AY21" i="3"/>
  <c r="AY267" i="3"/>
  <c r="AY337" i="3"/>
  <c r="AY476" i="3"/>
  <c r="AY415" i="3"/>
  <c r="AY565" i="3"/>
  <c r="AY99" i="3"/>
  <c r="AY156" i="3"/>
  <c r="AY232" i="3"/>
  <c r="AY315" i="3"/>
  <c r="AY451" i="3"/>
  <c r="AY500" i="3"/>
  <c r="AY568" i="3"/>
  <c r="AY71" i="3"/>
  <c r="AY200" i="3"/>
  <c r="AY143" i="3"/>
  <c r="AY257" i="3"/>
  <c r="AY386" i="3"/>
  <c r="AY307" i="3"/>
  <c r="AY443" i="3"/>
  <c r="AY521" i="3"/>
  <c r="BT6" i="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82" i="3"/>
  <c r="AY132" i="3"/>
  <c r="AY292" i="3"/>
  <c r="AY220" i="3"/>
  <c r="AY486" i="3"/>
  <c r="AY199" i="3"/>
  <c r="AY355" i="3"/>
  <c r="AY404" i="3"/>
  <c r="BO6" i="3"/>
  <c r="AY53" i="3"/>
  <c r="AY182" i="3"/>
  <c r="AY126"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8" i="3"/>
  <c r="AY75" i="3"/>
  <c r="AY444" i="3"/>
  <c r="AY311" i="3"/>
  <c r="AY555" i="3"/>
  <c r="AY178" i="3"/>
  <c r="AY270" i="3"/>
  <c r="AY373" i="3"/>
  <c r="AY88" i="3"/>
  <c r="AY161" i="3"/>
  <c r="AY215" i="3"/>
  <c r="AY324" i="3"/>
  <c r="AY438" i="3"/>
  <c r="AY580" i="3"/>
  <c r="AY552" i="3"/>
  <c r="AY523" i="3"/>
  <c r="AY174" i="3"/>
  <c r="AY250" i="3"/>
  <c r="AY305" i="3"/>
  <c r="AY445" i="3"/>
  <c r="AY505" i="3"/>
  <c r="AY542" i="3"/>
  <c r="AY63" i="3"/>
  <c r="AY135" i="3"/>
  <c r="AY378" i="3"/>
  <c r="AY330" i="3"/>
  <c r="AY440" i="3"/>
  <c r="AY13" i="3"/>
  <c r="AY576" i="3"/>
  <c r="AY39" i="3"/>
  <c r="AY195" i="3"/>
  <c r="AY136" i="3"/>
  <c r="AY272" i="3"/>
  <c r="AY375" i="3"/>
  <c r="AY322" i="3"/>
  <c r="AY432" i="3"/>
  <c r="AY15" i="3"/>
  <c r="AY567" i="3"/>
  <c r="AY171" i="3"/>
  <c r="AY237" i="3"/>
  <c r="AY526" i="3"/>
  <c r="AY447" i="3"/>
  <c r="AY85" i="3"/>
  <c r="AY157" i="3"/>
  <c r="AY238" i="3"/>
  <c r="AY368" i="3"/>
  <c r="AY72" i="3"/>
  <c r="AY121" i="3"/>
  <c r="AY370" i="3"/>
  <c r="AY483" i="3"/>
  <c r="AY406" i="3"/>
  <c r="AY572" i="3"/>
  <c r="AY543" i="3"/>
  <c r="AY81" i="3"/>
  <c r="AY153" i="3"/>
  <c r="AY396" i="3"/>
  <c r="AY320" i="3"/>
  <c r="AY434" i="3"/>
  <c r="AY538" i="3"/>
  <c r="AY570" i="3"/>
  <c r="AY46" i="3"/>
  <c r="AY285" i="3"/>
  <c r="AY359" i="3"/>
  <c r="AY485" i="3"/>
  <c r="AY408" i="3"/>
  <c r="AY547" i="3"/>
  <c r="AY107" i="3"/>
  <c r="AY54" i="3"/>
  <c r="AY164" i="3"/>
  <c r="AY293" i="3"/>
  <c r="AY240" i="3"/>
  <c r="AY351" i="3"/>
  <c r="AY477" i="3"/>
  <c r="AY400" i="3"/>
  <c r="AY566" i="3"/>
  <c r="I19" i="6"/>
  <c r="M27" i="6"/>
  <c r="D37" i="11"/>
  <c r="C37" i="11" s="1"/>
  <c r="C33" i="11" s="1"/>
  <c r="D3" i="34"/>
  <c r="E6" i="6"/>
  <c r="D14" i="12"/>
  <c r="M18" i="9"/>
  <c r="B118" i="9" s="1"/>
  <c r="B14" i="74" s="1"/>
  <c r="B1" i="74" s="1"/>
  <c r="D3" i="21"/>
  <c r="C17" i="4"/>
  <c r="B4" i="52" s="1"/>
  <c r="B43" i="72" s="1"/>
  <c r="D3" i="37"/>
  <c r="B24" i="31"/>
  <c r="D19" i="11"/>
  <c r="C19" i="11" s="1"/>
  <c r="L18" i="9"/>
  <c r="B2" i="21"/>
  <c r="B3" i="21" s="1"/>
  <c r="C49" i="34"/>
  <c r="C50" i="34"/>
  <c r="B2" i="34" s="1"/>
  <c r="B3" i="34" s="1"/>
  <c r="C26" i="43"/>
  <c r="C43" i="37"/>
  <c r="B2" i="37" s="1"/>
  <c r="B3" i="37" s="1"/>
  <c r="C42" i="37"/>
  <c r="E40" i="36"/>
  <c r="F40" i="36" s="1"/>
  <c r="E41" i="36"/>
  <c r="F41" i="36" s="1"/>
  <c r="I41" i="36"/>
  <c r="J41" i="36" s="1"/>
  <c r="E54" i="34"/>
  <c r="F54" i="34" s="1"/>
  <c r="E53" i="34"/>
  <c r="F53" i="34" s="1"/>
  <c r="C27" i="43"/>
  <c r="E47" i="37"/>
  <c r="F47" i="37" s="1"/>
  <c r="E46" i="37"/>
  <c r="F46" i="37" s="1"/>
  <c r="C36" i="36"/>
  <c r="C37" i="36"/>
  <c r="B2" i="36" s="1"/>
  <c r="B3" i="36" s="1"/>
  <c r="I47" i="37"/>
  <c r="J47" i="37" s="1"/>
  <c r="H63" i="40"/>
  <c r="G65" i="40"/>
  <c r="M68" i="39"/>
  <c r="L70" i="39"/>
  <c r="I54" i="34"/>
  <c r="J54" i="34" s="1"/>
  <c r="I53" i="34"/>
  <c r="J53" i="34" s="1"/>
  <c r="Q49" i="67"/>
  <c r="J14" i="67"/>
  <c r="C13" i="67"/>
  <c r="J19" i="67"/>
  <c r="C36" i="67"/>
  <c r="C33" i="67"/>
  <c r="C57" i="67"/>
  <c r="J59" i="67"/>
  <c r="J60" i="67" s="1"/>
  <c r="E6" i="76"/>
  <c r="C14" i="15"/>
  <c r="C15" i="15" l="1"/>
  <c r="C18" i="15"/>
  <c r="C27" i="31"/>
  <c r="C29" i="31"/>
  <c r="C31" i="31"/>
  <c r="C33" i="31"/>
  <c r="C35" i="31"/>
  <c r="C37" i="31"/>
  <c r="C39" i="31"/>
  <c r="C41" i="31"/>
  <c r="C43" i="31"/>
  <c r="C45" i="31"/>
  <c r="C47" i="31"/>
  <c r="C49" i="31"/>
  <c r="C51" i="31"/>
  <c r="C53" i="31"/>
  <c r="C55" i="31"/>
  <c r="C57" i="31"/>
  <c r="C59" i="31"/>
  <c r="C61" i="31"/>
  <c r="C63" i="31"/>
  <c r="C65" i="31"/>
  <c r="C67" i="31"/>
  <c r="C69" i="31"/>
  <c r="C71" i="31"/>
  <c r="C73" i="31"/>
  <c r="C75" i="31"/>
  <c r="C77" i="31"/>
  <c r="C79" i="31"/>
  <c r="C81" i="31"/>
  <c r="C83" i="31"/>
  <c r="C85" i="31"/>
  <c r="C87" i="31"/>
  <c r="C89" i="31"/>
  <c r="C91" i="31"/>
  <c r="C93" i="31"/>
  <c r="C95" i="31"/>
  <c r="C97" i="31"/>
  <c r="C99" i="31"/>
  <c r="C101" i="31"/>
  <c r="C25" i="31"/>
  <c r="C26" i="31"/>
  <c r="C28"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6" i="31"/>
  <c r="C88" i="31"/>
  <c r="C90" i="31"/>
  <c r="C92" i="31"/>
  <c r="C94" i="31"/>
  <c r="C96" i="31"/>
  <c r="C98" i="31"/>
  <c r="C100" i="31"/>
  <c r="C102" i="31"/>
  <c r="B22" i="31"/>
  <c r="S14" i="31" s="1"/>
  <c r="Q14" i="31" s="1"/>
  <c r="C7" i="74"/>
  <c r="C8" i="74"/>
  <c r="D10" i="68"/>
  <c r="D20" i="12"/>
  <c r="C20" i="12" s="1"/>
  <c r="C18" i="12" s="1"/>
  <c r="D10" i="69"/>
  <c r="D10" i="11"/>
  <c r="C10" i="11" s="1"/>
  <c r="C39" i="11"/>
  <c r="C43" i="11" s="1"/>
  <c r="S19" i="6"/>
  <c r="S27" i="6" s="1"/>
  <c r="I27" i="6"/>
  <c r="M19" i="9"/>
  <c r="C118" i="9" s="1"/>
  <c r="C14" i="74" s="1"/>
  <c r="B2" i="74" s="1"/>
  <c r="D19" i="6"/>
  <c r="C18" i="4"/>
  <c r="D23" i="6"/>
  <c r="D21" i="6"/>
  <c r="D5" i="6"/>
  <c r="D11" i="6"/>
  <c r="D28" i="6"/>
  <c r="H23" i="6"/>
  <c r="D25" i="6"/>
  <c r="D24" i="6"/>
  <c r="D6" i="6"/>
  <c r="D10" i="6"/>
  <c r="D29" i="6"/>
  <c r="H22" i="6"/>
  <c r="H24" i="6"/>
  <c r="H20" i="6"/>
  <c r="D26" i="6"/>
  <c r="D8" i="6"/>
  <c r="D15" i="6"/>
  <c r="D14" i="6"/>
  <c r="D12" i="6"/>
  <c r="D13" i="6"/>
  <c r="E61" i="40"/>
  <c r="H26" i="6"/>
  <c r="D22" i="6"/>
  <c r="D20" i="6"/>
  <c r="R20" i="6" s="1"/>
  <c r="D9" i="6"/>
  <c r="L19" i="9"/>
  <c r="H25" i="6"/>
  <c r="H21" i="6"/>
  <c r="H19" i="6"/>
  <c r="C42" i="11"/>
  <c r="C20" i="11"/>
  <c r="C25" i="11" s="1"/>
  <c r="C24" i="11"/>
  <c r="D17" i="12"/>
  <c r="C17" i="12" s="1"/>
  <c r="C14" i="12"/>
  <c r="C16" i="12" s="1"/>
  <c r="T16" i="1"/>
  <c r="E2" i="76"/>
  <c r="N68" i="39"/>
  <c r="M70" i="39"/>
  <c r="B2" i="43"/>
  <c r="I63" i="40"/>
  <c r="H65" i="40"/>
  <c r="Q48" i="67"/>
  <c r="J22" i="67"/>
  <c r="J13" i="67"/>
  <c r="J23" i="67" s="1"/>
  <c r="C61" i="67"/>
  <c r="C64" i="67"/>
  <c r="Q70" i="67"/>
  <c r="C56" i="67"/>
  <c r="C65" i="67" s="1"/>
  <c r="C37" i="67"/>
  <c r="C75" i="67"/>
  <c r="B6" i="76"/>
  <c r="C41" i="11" l="1"/>
  <c r="R22" i="6"/>
  <c r="C46" i="11"/>
  <c r="C45" i="11" s="1"/>
  <c r="H27" i="6"/>
  <c r="R26" i="6"/>
  <c r="R23" i="6"/>
  <c r="C21" i="12"/>
  <c r="C22" i="12" s="1"/>
  <c r="C30" i="12" s="1"/>
  <c r="C28" i="12" s="1"/>
  <c r="C22" i="11"/>
  <c r="C19" i="15"/>
  <c r="C20" i="15" s="1"/>
  <c r="C23" i="15" s="1"/>
  <c r="R25" i="6"/>
  <c r="D30" i="6"/>
  <c r="D27" i="6"/>
  <c r="R19" i="6"/>
  <c r="C28" i="11"/>
  <c r="C27" i="11" s="1"/>
  <c r="D16" i="6"/>
  <c r="R24" i="6"/>
  <c r="R21" i="6"/>
  <c r="A10" i="51"/>
  <c r="B9" i="72" s="1"/>
  <c r="C4" i="52"/>
  <c r="B45" i="72" s="1"/>
  <c r="A7" i="51"/>
  <c r="B7" i="72" s="1"/>
  <c r="D8" i="74"/>
  <c r="D7" i="74"/>
  <c r="C10" i="69"/>
  <c r="C8" i="69" s="1"/>
  <c r="C5" i="69" s="1"/>
  <c r="D19" i="69"/>
  <c r="C10" i="68"/>
  <c r="D19" i="68"/>
  <c r="B2" i="76"/>
  <c r="B3" i="76" s="1"/>
  <c r="I65" i="40"/>
  <c r="J63" i="40"/>
  <c r="B3" i="43"/>
  <c r="O68" i="39"/>
  <c r="O70" i="39" s="1"/>
  <c r="F7" i="39" s="1"/>
  <c r="N70" i="39"/>
  <c r="C49" i="11" l="1"/>
  <c r="C51" i="11" s="1"/>
  <c r="D31" i="6"/>
  <c r="I6" i="6" s="1"/>
  <c r="C11" i="33" s="1"/>
  <c r="C31" i="11"/>
  <c r="C52" i="11" s="1"/>
  <c r="C56" i="11" s="1"/>
  <c r="C57" i="11" s="1"/>
  <c r="C27" i="12"/>
  <c r="C25" i="12" s="1"/>
  <c r="C32" i="12" s="1"/>
  <c r="B2" i="12" s="1"/>
  <c r="B3" i="12" s="1"/>
  <c r="C19" i="68"/>
  <c r="D37" i="68"/>
  <c r="C37" i="68" s="1"/>
  <c r="C33" i="68" s="1"/>
  <c r="C19" i="69"/>
  <c r="C24" i="69" s="1"/>
  <c r="D37" i="69"/>
  <c r="C37" i="69" s="1"/>
  <c r="C33" i="69" s="1"/>
  <c r="I5" i="6"/>
  <c r="C23" i="69"/>
  <c r="R27" i="6"/>
  <c r="R6" i="1"/>
  <c r="C26" i="15"/>
  <c r="C29" i="15" s="1"/>
  <c r="AA7" i="39"/>
  <c r="R47" i="39" s="1"/>
  <c r="S7" i="39"/>
  <c r="J7" i="39"/>
  <c r="H7" i="39"/>
  <c r="J65" i="40"/>
  <c r="K63" i="40"/>
  <c r="M21" i="67"/>
  <c r="F35" i="15"/>
  <c r="F35" i="67"/>
  <c r="M21" i="15"/>
  <c r="J20" i="67" l="1"/>
  <c r="J17" i="67" s="1"/>
  <c r="J16" i="67" s="1"/>
  <c r="J25" i="67" s="1"/>
  <c r="C34" i="67"/>
  <c r="C31" i="67" s="1"/>
  <c r="C30" i="67" s="1"/>
  <c r="C39" i="67" s="1"/>
  <c r="F63" i="67"/>
  <c r="C62" i="67" s="1"/>
  <c r="C59" i="67" s="1"/>
  <c r="C58" i="67" s="1"/>
  <c r="C67" i="67" s="1"/>
  <c r="C68" i="67" s="1"/>
  <c r="B2" i="11"/>
  <c r="B3" i="11" s="1"/>
  <c r="C20" i="69"/>
  <c r="C28" i="69" s="1"/>
  <c r="C27" i="69" s="1"/>
  <c r="F63" i="15"/>
  <c r="C62" i="15" s="1"/>
  <c r="C34" i="15"/>
  <c r="C31" i="15" s="1"/>
  <c r="J20" i="15"/>
  <c r="C36" i="15"/>
  <c r="J59" i="15"/>
  <c r="J60" i="15" s="1"/>
  <c r="Q49" i="15"/>
  <c r="C13" i="15"/>
  <c r="J19" i="15"/>
  <c r="C57" i="15"/>
  <c r="J14" i="15"/>
  <c r="F11" i="33"/>
  <c r="J11" i="33"/>
  <c r="H11" i="33"/>
  <c r="C39" i="69"/>
  <c r="C43" i="69" s="1"/>
  <c r="C42" i="69"/>
  <c r="C39" i="68"/>
  <c r="C43" i="68" s="1"/>
  <c r="C42" i="68"/>
  <c r="R16" i="1"/>
  <c r="C20" i="68"/>
  <c r="C25" i="68" s="1"/>
  <c r="C24" i="68"/>
  <c r="L63" i="40"/>
  <c r="K65" i="40"/>
  <c r="AB7" i="39"/>
  <c r="T47" i="39" s="1"/>
  <c r="G47" i="39" s="1"/>
  <c r="U7" i="39"/>
  <c r="W7" i="39"/>
  <c r="AC7" i="39"/>
  <c r="V47" i="39" s="1"/>
  <c r="I47" i="39" s="1"/>
  <c r="R48" i="39"/>
  <c r="E47" i="39"/>
  <c r="L51" i="67"/>
  <c r="L57" i="67" l="1"/>
  <c r="L60" i="67" s="1"/>
  <c r="Q67" i="67"/>
  <c r="C40" i="67"/>
  <c r="C45" i="67" s="1"/>
  <c r="C46" i="67" s="1"/>
  <c r="Q69" i="67"/>
  <c r="Q68" i="67" s="1"/>
  <c r="C80" i="67"/>
  <c r="C79" i="67" s="1"/>
  <c r="C71" i="67"/>
  <c r="C22" i="68"/>
  <c r="C25" i="69"/>
  <c r="C22" i="69" s="1"/>
  <c r="C31" i="69" s="1"/>
  <c r="C41" i="68"/>
  <c r="C28" i="68"/>
  <c r="C27" i="68" s="1"/>
  <c r="C46" i="68"/>
  <c r="C45" i="68" s="1"/>
  <c r="C41" i="69"/>
  <c r="C46" i="69"/>
  <c r="C45" i="69" s="1"/>
  <c r="AC11" i="33"/>
  <c r="V48" i="33" s="1"/>
  <c r="I48" i="33" s="1"/>
  <c r="W11" i="33"/>
  <c r="J22" i="15"/>
  <c r="J13" i="15"/>
  <c r="J23" i="15" s="1"/>
  <c r="AB11" i="33"/>
  <c r="T48" i="33" s="1"/>
  <c r="G48" i="33" s="1"/>
  <c r="U11" i="33"/>
  <c r="AA11" i="33"/>
  <c r="R48" i="33" s="1"/>
  <c r="S11" i="33"/>
  <c r="C61" i="15"/>
  <c r="C59" i="15" s="1"/>
  <c r="C64" i="15"/>
  <c r="Q70" i="15"/>
  <c r="C56" i="15"/>
  <c r="C65" i="15" s="1"/>
  <c r="C37" i="15"/>
  <c r="C30" i="15" s="1"/>
  <c r="C39" i="15" s="1"/>
  <c r="C75" i="15"/>
  <c r="L46" i="15"/>
  <c r="Q48" i="15"/>
  <c r="J17" i="15"/>
  <c r="E51" i="39"/>
  <c r="F51" i="39" s="1"/>
  <c r="E52" i="39"/>
  <c r="F52" i="39" s="1"/>
  <c r="I51" i="39"/>
  <c r="J51" i="39" s="1"/>
  <c r="I52" i="39"/>
  <c r="J52" i="39" s="1"/>
  <c r="C48" i="39"/>
  <c r="C47" i="39"/>
  <c r="G52" i="39"/>
  <c r="H52" i="39" s="1"/>
  <c r="G51" i="39"/>
  <c r="H51" i="39" s="1"/>
  <c r="L65" i="40"/>
  <c r="M63" i="40"/>
  <c r="Q56" i="67" l="1"/>
  <c r="C83" i="67"/>
  <c r="C82" i="67" s="1"/>
  <c r="Q65" i="67"/>
  <c r="Q47" i="67"/>
  <c r="Q53" i="67" s="1"/>
  <c r="C43" i="67"/>
  <c r="L46" i="67"/>
  <c r="D2" i="67" s="1"/>
  <c r="Q66" i="67"/>
  <c r="Q75" i="67" s="1"/>
  <c r="Q57" i="67"/>
  <c r="C49" i="68"/>
  <c r="C51" i="68" s="1"/>
  <c r="C31" i="68"/>
  <c r="C49" i="69"/>
  <c r="C51" i="69" s="1"/>
  <c r="C52" i="69" s="1"/>
  <c r="B2" i="69" s="1"/>
  <c r="B3" i="69" s="1"/>
  <c r="J16" i="15"/>
  <c r="J25" i="15" s="1"/>
  <c r="C58" i="15"/>
  <c r="C67" i="15" s="1"/>
  <c r="C68" i="15" s="1"/>
  <c r="C71" i="15" s="1"/>
  <c r="C80" i="15"/>
  <c r="C79" i="15" s="1"/>
  <c r="C40" i="15"/>
  <c r="Q69" i="15"/>
  <c r="Q68" i="15" s="1"/>
  <c r="I52" i="33"/>
  <c r="J52" i="33" s="1"/>
  <c r="E48" i="33"/>
  <c r="I53" i="33" s="1"/>
  <c r="J53" i="33" s="1"/>
  <c r="R49" i="33"/>
  <c r="G53" i="33"/>
  <c r="H53" i="33" s="1"/>
  <c r="G52" i="33"/>
  <c r="H52" i="33" s="1"/>
  <c r="N63" i="40"/>
  <c r="M65" i="40"/>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L51" i="15"/>
  <c r="Q62" i="67" l="1"/>
  <c r="B2" i="67"/>
  <c r="B3" i="67"/>
  <c r="C52" i="68"/>
  <c r="B2" i="68" s="1"/>
  <c r="B3" i="68" s="1"/>
  <c r="C46" i="15"/>
  <c r="C57" i="69"/>
  <c r="C56" i="69" s="1"/>
  <c r="Q67" i="15"/>
  <c r="C49" i="33"/>
  <c r="C48" i="33"/>
  <c r="E53" i="33"/>
  <c r="F53" i="33" s="1"/>
  <c r="E52" i="33"/>
  <c r="F52" i="33" s="1"/>
  <c r="Q47" i="15"/>
  <c r="Q53" i="15" s="1"/>
  <c r="Q56" i="15"/>
  <c r="Q62" i="15" s="1"/>
  <c r="C43" i="15"/>
  <c r="Q65" i="15"/>
  <c r="Q75" i="15" s="1"/>
  <c r="C83" i="15"/>
  <c r="C82" i="15" s="1"/>
  <c r="B2" i="15"/>
  <c r="O63" i="40"/>
  <c r="O65" i="40" s="1"/>
  <c r="N65" i="40"/>
  <c r="D19" i="9"/>
  <c r="AO6" i="1"/>
  <c r="C57" i="68" l="1"/>
  <c r="C56" i="68" s="1"/>
  <c r="D21" i="9"/>
  <c r="D102" i="9"/>
  <c r="B6" i="70"/>
  <c r="B2" i="70" s="1"/>
  <c r="B3" i="70" s="1"/>
  <c r="B2" i="33"/>
  <c r="B3" i="33"/>
  <c r="B3" i="15"/>
  <c r="J7" i="40"/>
  <c r="H7" i="40"/>
  <c r="F7" i="40"/>
  <c r="D34" i="9"/>
  <c r="D20" i="9"/>
  <c r="C19" i="9"/>
  <c r="D35" i="9"/>
  <c r="C20" i="9"/>
  <c r="D103" i="9" l="1"/>
  <c r="C21" i="9"/>
  <c r="C102" i="9"/>
  <c r="D22" i="9"/>
  <c r="G19" i="9"/>
  <c r="C103" i="9"/>
  <c r="G20" i="9"/>
  <c r="R24" i="31" s="1"/>
  <c r="AB7" i="40"/>
  <c r="T42" i="40" s="1"/>
  <c r="G42" i="40" s="1"/>
  <c r="U7" i="40"/>
  <c r="AA7" i="40"/>
  <c r="R42" i="40" s="1"/>
  <c r="S7" i="40"/>
  <c r="W7" i="40"/>
  <c r="AC7" i="40"/>
  <c r="V42" i="40" s="1"/>
  <c r="I42" i="40" s="1"/>
  <c r="C32" i="9" l="1"/>
  <c r="G21" i="9"/>
  <c r="I46" i="40"/>
  <c r="J46" i="40" s="1"/>
  <c r="R43" i="40"/>
  <c r="E42" i="40"/>
  <c r="I47" i="40" s="1"/>
  <c r="J47" i="40" s="1"/>
  <c r="G47" i="40"/>
  <c r="H47" i="40" s="1"/>
  <c r="G46" i="40"/>
  <c r="H46" i="40" s="1"/>
  <c r="H118" i="9" l="1"/>
  <c r="C35" i="9"/>
  <c r="F118" i="9" s="1"/>
  <c r="C43" i="40"/>
  <c r="C42" i="40"/>
  <c r="E46" i="40"/>
  <c r="F46" i="40" s="1"/>
  <c r="E47" i="40"/>
  <c r="F47" i="40" s="1"/>
  <c r="G118" i="9" l="1"/>
  <c r="G4" i="52" s="1"/>
  <c r="B52" i="72" s="1"/>
  <c r="F4" i="52"/>
  <c r="B51" i="72" s="1"/>
  <c r="F119" i="9"/>
  <c r="F5" i="52" s="1"/>
  <c r="B53" i="72" s="1"/>
  <c r="C34" i="9"/>
  <c r="D118" i="9" s="1"/>
  <c r="I118" i="9"/>
  <c r="J5" i="78" s="1"/>
  <c r="H101" i="9"/>
  <c r="H4" i="52"/>
  <c r="H119" i="9"/>
  <c r="H5" i="52" s="1"/>
  <c r="D14" i="74"/>
  <c r="C104" i="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D4" i="52" l="1"/>
  <c r="B47" i="72" s="1"/>
  <c r="D119" i="9"/>
  <c r="D5" i="52" s="1"/>
  <c r="B49" i="72" s="1"/>
  <c r="D45" i="9"/>
  <c r="D5" i="53"/>
  <c r="M48" i="9"/>
  <c r="H107" i="9"/>
  <c r="E14" i="74"/>
  <c r="F14" i="74"/>
  <c r="S24" i="31"/>
  <c r="I4" i="52"/>
  <c r="H102" i="9"/>
  <c r="D7" i="53" s="1"/>
  <c r="B21" i="72" s="1"/>
  <c r="C105" i="9"/>
  <c r="E118" i="9"/>
  <c r="E4" i="52" s="1"/>
  <c r="B48" i="72" s="1"/>
  <c r="I5" i="78" l="1"/>
  <c r="M49" i="9"/>
  <c r="D13" i="53"/>
  <c r="D122" i="9"/>
  <c r="H108" i="9"/>
  <c r="D15" i="53" s="1"/>
  <c r="B31" i="72" s="1"/>
  <c r="B20" i="72"/>
  <c r="D6" i="53"/>
  <c r="B22" i="72" s="1"/>
  <c r="D55" i="9"/>
  <c r="M53" i="9" s="1"/>
  <c r="C72" i="9"/>
  <c r="C85" i="9"/>
  <c r="D52" i="9"/>
  <c r="C78" i="9"/>
  <c r="C73" i="9" s="1"/>
  <c r="C93" i="9"/>
  <c r="C86" i="9" s="1"/>
  <c r="D53" i="9"/>
  <c r="C64" i="9"/>
  <c r="C63" i="9" s="1"/>
  <c r="C67" i="9" s="1"/>
  <c r="C68" i="9" s="1"/>
  <c r="D54" i="9" s="1"/>
  <c r="C79" i="9" l="1"/>
  <c r="C80" i="9" s="1"/>
  <c r="B30" i="72"/>
  <c r="D14" i="53"/>
  <c r="B32" i="72" s="1"/>
  <c r="C95" i="9"/>
  <c r="D8" i="52"/>
  <c r="G14" i="74"/>
  <c r="D123" i="9"/>
  <c r="D9" i="52" s="1"/>
  <c r="L66" i="9"/>
  <c r="M66" i="9" s="1"/>
  <c r="L65" i="9"/>
  <c r="M65" i="9" s="1"/>
  <c r="L67" i="9"/>
  <c r="M67" i="9" s="1"/>
  <c r="L68" i="9"/>
  <c r="M68" i="9" s="1"/>
  <c r="L63" i="9"/>
  <c r="M63" i="9" s="1"/>
  <c r="L64" i="9"/>
  <c r="M64" i="9" s="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5" i="31"/>
  <c r="Q349" i="31"/>
  <c r="Q353" i="31"/>
  <c r="Q357" i="31"/>
  <c r="Q361" i="31"/>
  <c r="Q365" i="31"/>
  <c r="Q369" i="31"/>
  <c r="Q373" i="31"/>
  <c r="Q377" i="31"/>
  <c r="Q381" i="31"/>
  <c r="Q385" i="31"/>
  <c r="Q389" i="31"/>
  <c r="Q393"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70" i="31"/>
  <c r="Q378" i="31"/>
  <c r="Q386" i="31"/>
  <c r="Q394"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347" i="31"/>
  <c r="Q351" i="31"/>
  <c r="Q355" i="31"/>
  <c r="Q359" i="31"/>
  <c r="Q363" i="31"/>
  <c r="Q367" i="31"/>
  <c r="Q371" i="31"/>
  <c r="Q375" i="31"/>
  <c r="Q379" i="31"/>
  <c r="Q383" i="31"/>
  <c r="Q387" i="31"/>
  <c r="Q391" i="31"/>
  <c r="Q395"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4" i="31"/>
  <c r="Q382" i="31"/>
  <c r="Q390"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9" i="31"/>
  <c r="Q515" i="31"/>
  <c r="Q519" i="31"/>
  <c r="Q523" i="31"/>
  <c r="Q444" i="31"/>
  <c r="Q452" i="31"/>
  <c r="Q460" i="31"/>
  <c r="Q470" i="31"/>
  <c r="Q476" i="31"/>
  <c r="Q484" i="31"/>
  <c r="Q492" i="31"/>
  <c r="Q502" i="31"/>
  <c r="Q508" i="31"/>
  <c r="Q516" i="31"/>
  <c r="Q520" i="31"/>
  <c r="Q524" i="31"/>
  <c r="Q372" i="31"/>
  <c r="Q380" i="31"/>
  <c r="Q388" i="31"/>
  <c r="Q396" i="31"/>
  <c r="Q400" i="31"/>
  <c r="Q404" i="31"/>
  <c r="Q408" i="31"/>
  <c r="Q412" i="31"/>
  <c r="Q416" i="31"/>
  <c r="Q420" i="31"/>
  <c r="Q424" i="31"/>
  <c r="Q428" i="31"/>
  <c r="Q432" i="31"/>
  <c r="Q438" i="31"/>
  <c r="Q442" i="31"/>
  <c r="Q450" i="31"/>
  <c r="Q458" i="31"/>
  <c r="Q466" i="31"/>
  <c r="Q474" i="31"/>
  <c r="Q480" i="31"/>
  <c r="Q490" i="31"/>
  <c r="Q498" i="31"/>
  <c r="Q506" i="31"/>
  <c r="Q514" i="31"/>
  <c r="Q505" i="31"/>
  <c r="Q513" i="31"/>
  <c r="Q517" i="31"/>
  <c r="Q521" i="31"/>
  <c r="Q436" i="31"/>
  <c r="Q448" i="31"/>
  <c r="Q456" i="31"/>
  <c r="Q464" i="31"/>
  <c r="Q472" i="31"/>
  <c r="Q482" i="31"/>
  <c r="Q488" i="31"/>
  <c r="Q496" i="31"/>
  <c r="Q504" i="31"/>
  <c r="Q512" i="31"/>
  <c r="Q518" i="31"/>
  <c r="Q522" i="31"/>
  <c r="Q368" i="31"/>
  <c r="Q376" i="31"/>
  <c r="Q384" i="31"/>
  <c r="Q392" i="31"/>
  <c r="Q398" i="31"/>
  <c r="Q402" i="31"/>
  <c r="Q406" i="31"/>
  <c r="Q410" i="31"/>
  <c r="Q414" i="31"/>
  <c r="Q418" i="31"/>
  <c r="Q422" i="31"/>
  <c r="Q426" i="31"/>
  <c r="Q430" i="31"/>
  <c r="Q434" i="31"/>
  <c r="Q440" i="31"/>
  <c r="Q446" i="31"/>
  <c r="Q454" i="31"/>
  <c r="Q462" i="31"/>
  <c r="Q468" i="31"/>
  <c r="Q478" i="31"/>
  <c r="Q486" i="31"/>
  <c r="Q494" i="31"/>
  <c r="Q500" i="31"/>
  <c r="Q510" i="31"/>
  <c r="Q36" i="31"/>
  <c r="R36" i="31" s="1"/>
  <c r="Q52" i="31"/>
  <c r="R52" i="31" s="1"/>
  <c r="Q68" i="31"/>
  <c r="R68" i="31" s="1"/>
  <c r="Q84" i="31"/>
  <c r="R84" i="31" s="1"/>
  <c r="Q100" i="31"/>
  <c r="R100" i="31" s="1"/>
  <c r="Q41" i="31"/>
  <c r="R41" i="31" s="1"/>
  <c r="Q57" i="31"/>
  <c r="R57" i="31" s="1"/>
  <c r="Q73" i="31"/>
  <c r="R73" i="31" s="1"/>
  <c r="Q89" i="31"/>
  <c r="R89" i="31" s="1"/>
  <c r="Q30" i="31"/>
  <c r="R30" i="31" s="1"/>
  <c r="Q46" i="31"/>
  <c r="R46" i="31" s="1"/>
  <c r="Q62" i="31"/>
  <c r="R62" i="31" s="1"/>
  <c r="Q78" i="31"/>
  <c r="R78" i="31" s="1"/>
  <c r="Q94" i="31"/>
  <c r="R94" i="31" s="1"/>
  <c r="Q51" i="31"/>
  <c r="R51" i="31" s="1"/>
  <c r="Q83" i="31"/>
  <c r="R83" i="31" s="1"/>
  <c r="Q32" i="31"/>
  <c r="R32" i="31" s="1"/>
  <c r="Q48" i="31"/>
  <c r="R48" i="31" s="1"/>
  <c r="Q64" i="31"/>
  <c r="R64" i="31" s="1"/>
  <c r="Q80" i="31"/>
  <c r="R80" i="31" s="1"/>
  <c r="Q96" i="31"/>
  <c r="R96" i="31" s="1"/>
  <c r="Q37" i="31"/>
  <c r="R37" i="31" s="1"/>
  <c r="Q53" i="31"/>
  <c r="R53" i="31" s="1"/>
  <c r="Q69" i="31"/>
  <c r="R69" i="31" s="1"/>
  <c r="Q85" i="31"/>
  <c r="R85" i="31" s="1"/>
  <c r="Q101" i="31"/>
  <c r="R101" i="31" s="1"/>
  <c r="Q34" i="31"/>
  <c r="R34" i="31" s="1"/>
  <c r="Q50" i="31"/>
  <c r="R50" i="31" s="1"/>
  <c r="Q66" i="31"/>
  <c r="R66" i="31" s="1"/>
  <c r="Q82" i="31"/>
  <c r="R82" i="31" s="1"/>
  <c r="Q98" i="31"/>
  <c r="R98" i="31" s="1"/>
  <c r="Q39" i="31"/>
  <c r="R39" i="31" s="1"/>
  <c r="Q55" i="31"/>
  <c r="R55" i="31" s="1"/>
  <c r="Q71" i="31"/>
  <c r="R71" i="31" s="1"/>
  <c r="Q87" i="31"/>
  <c r="R87" i="31" s="1"/>
  <c r="Q102" i="31"/>
  <c r="R102" i="31" s="1"/>
  <c r="Q43" i="31"/>
  <c r="R43" i="31" s="1"/>
  <c r="Q75" i="31"/>
  <c r="R75" i="31" s="1"/>
  <c r="Q28" i="31"/>
  <c r="R28" i="31" s="1"/>
  <c r="Q44" i="31"/>
  <c r="R44" i="31" s="1"/>
  <c r="Q60" i="31"/>
  <c r="R60" i="31" s="1"/>
  <c r="Q76" i="31"/>
  <c r="R76" i="31" s="1"/>
  <c r="Q92" i="31"/>
  <c r="R92" i="31" s="1"/>
  <c r="Q33" i="31"/>
  <c r="R33" i="31" s="1"/>
  <c r="Q49" i="31"/>
  <c r="R49" i="31" s="1"/>
  <c r="Q65" i="31"/>
  <c r="R65" i="31" s="1"/>
  <c r="Q81" i="31"/>
  <c r="R81" i="31" s="1"/>
  <c r="Q97" i="31"/>
  <c r="R97" i="31" s="1"/>
  <c r="Q38" i="31"/>
  <c r="R38" i="31" s="1"/>
  <c r="Q54" i="31"/>
  <c r="R54" i="31" s="1"/>
  <c r="Q70" i="31"/>
  <c r="R70" i="31" s="1"/>
  <c r="Q86" i="31"/>
  <c r="R86" i="31" s="1"/>
  <c r="Q35" i="31"/>
  <c r="R35" i="31" s="1"/>
  <c r="Q67" i="31"/>
  <c r="R67" i="31" s="1"/>
  <c r="Q99" i="31"/>
  <c r="R99" i="31" s="1"/>
  <c r="Q40" i="31"/>
  <c r="R40" i="31" s="1"/>
  <c r="Q56" i="31"/>
  <c r="R56" i="31" s="1"/>
  <c r="Q72" i="31"/>
  <c r="R72" i="31" s="1"/>
  <c r="Q88" i="31"/>
  <c r="R88" i="31" s="1"/>
  <c r="Q29" i="31"/>
  <c r="R29" i="31" s="1"/>
  <c r="Q45" i="31"/>
  <c r="R45" i="31" s="1"/>
  <c r="Q61" i="31"/>
  <c r="R61" i="31" s="1"/>
  <c r="Q77" i="31"/>
  <c r="R77" i="31" s="1"/>
  <c r="Q93" i="31"/>
  <c r="R93" i="31" s="1"/>
  <c r="Q26" i="31"/>
  <c r="R26" i="31" s="1"/>
  <c r="Q42" i="31"/>
  <c r="R42" i="31" s="1"/>
  <c r="Q58" i="31"/>
  <c r="R58" i="31" s="1"/>
  <c r="Q74" i="31"/>
  <c r="R74" i="31" s="1"/>
  <c r="Q90" i="31"/>
  <c r="R90" i="31" s="1"/>
  <c r="Q31" i="31"/>
  <c r="R31" i="31" s="1"/>
  <c r="Q47" i="31"/>
  <c r="R47" i="31" s="1"/>
  <c r="Q63" i="31"/>
  <c r="R63" i="31" s="1"/>
  <c r="Q79" i="31"/>
  <c r="R79" i="31" s="1"/>
  <c r="Q95" i="31"/>
  <c r="R95" i="31" s="1"/>
  <c r="Q27" i="31"/>
  <c r="R27" i="31" s="1"/>
  <c r="Q59" i="31"/>
  <c r="R59" i="31" s="1"/>
  <c r="Q91" i="31"/>
  <c r="R91" i="31" s="1"/>
  <c r="Q25" i="31"/>
  <c r="R25" i="31" s="1"/>
  <c r="S91" i="31" l="1"/>
  <c r="I70" i="78" s="1"/>
  <c r="J70" i="78"/>
  <c r="S79" i="31"/>
  <c r="I58" i="78" s="1"/>
  <c r="J58" i="78"/>
  <c r="S47" i="31"/>
  <c r="I26" i="78" s="1"/>
  <c r="J26" i="78"/>
  <c r="S90" i="31"/>
  <c r="I69" i="78" s="1"/>
  <c r="J69" i="78"/>
  <c r="S58" i="31"/>
  <c r="I37" i="78" s="1"/>
  <c r="J37" i="78"/>
  <c r="S77" i="31"/>
  <c r="I56" i="78" s="1"/>
  <c r="J56" i="78"/>
  <c r="S45" i="31"/>
  <c r="I24" i="78" s="1"/>
  <c r="J24" i="78"/>
  <c r="S88" i="31"/>
  <c r="I67" i="78" s="1"/>
  <c r="J67" i="78"/>
  <c r="S56" i="31"/>
  <c r="I35" i="78" s="1"/>
  <c r="J35" i="78"/>
  <c r="S99" i="31"/>
  <c r="I78" i="78" s="1"/>
  <c r="J78" i="78"/>
  <c r="S35" i="31"/>
  <c r="I14" i="78" s="1"/>
  <c r="J14" i="78"/>
  <c r="S70" i="31"/>
  <c r="I49" i="78" s="1"/>
  <c r="J49" i="78"/>
  <c r="S38" i="31"/>
  <c r="I17" i="78" s="1"/>
  <c r="J17" i="78"/>
  <c r="S81" i="31"/>
  <c r="I60" i="78" s="1"/>
  <c r="J60" i="78"/>
  <c r="S49" i="31"/>
  <c r="I28" i="78" s="1"/>
  <c r="J28" i="78"/>
  <c r="S92" i="31"/>
  <c r="I71" i="78" s="1"/>
  <c r="J71" i="78"/>
  <c r="S60" i="31"/>
  <c r="I39" i="78" s="1"/>
  <c r="J39" i="78"/>
  <c r="S28" i="31"/>
  <c r="I7" i="78" s="1"/>
  <c r="J7" i="78"/>
  <c r="S43" i="31"/>
  <c r="I22" i="78" s="1"/>
  <c r="J22" i="78"/>
  <c r="S87" i="31"/>
  <c r="I66" i="78" s="1"/>
  <c r="J66" i="78"/>
  <c r="S55" i="31"/>
  <c r="I34" i="78" s="1"/>
  <c r="J34" i="78"/>
  <c r="S98" i="31"/>
  <c r="I77" i="78" s="1"/>
  <c r="J77" i="78"/>
  <c r="S66" i="31"/>
  <c r="I45" i="78" s="1"/>
  <c r="J45" i="78"/>
  <c r="S34" i="31"/>
  <c r="I13" i="78" s="1"/>
  <c r="J13" i="78"/>
  <c r="S85" i="31"/>
  <c r="I64" i="78" s="1"/>
  <c r="J64" i="78"/>
  <c r="S53" i="31"/>
  <c r="I32" i="78" s="1"/>
  <c r="J32" i="78"/>
  <c r="S96" i="31"/>
  <c r="I75" i="78" s="1"/>
  <c r="J75" i="78"/>
  <c r="S64" i="31"/>
  <c r="I43" i="78" s="1"/>
  <c r="J43" i="78"/>
  <c r="S32" i="31"/>
  <c r="I11" i="78" s="1"/>
  <c r="J11" i="78"/>
  <c r="S51" i="31"/>
  <c r="I30" i="78" s="1"/>
  <c r="J30" i="78"/>
  <c r="S78" i="31"/>
  <c r="I57" i="78" s="1"/>
  <c r="J57" i="78"/>
  <c r="S46" i="31"/>
  <c r="I25" i="78" s="1"/>
  <c r="J25" i="78"/>
  <c r="S89" i="31"/>
  <c r="I68" i="78" s="1"/>
  <c r="J68" i="78"/>
  <c r="S57" i="31"/>
  <c r="I36" i="78" s="1"/>
  <c r="J36" i="78"/>
  <c r="S100" i="31"/>
  <c r="I79" i="78" s="1"/>
  <c r="J79" i="78"/>
  <c r="S68" i="31"/>
  <c r="I47" i="78" s="1"/>
  <c r="J47" i="78"/>
  <c r="S36" i="31"/>
  <c r="I15" i="78" s="1"/>
  <c r="J15" i="78"/>
  <c r="S59" i="31"/>
  <c r="I38" i="78" s="1"/>
  <c r="J38" i="78"/>
  <c r="S95" i="31"/>
  <c r="I74" i="78" s="1"/>
  <c r="J74" i="78"/>
  <c r="S63" i="31"/>
  <c r="I42" i="78" s="1"/>
  <c r="J42" i="78"/>
  <c r="S31" i="31"/>
  <c r="I10" i="78" s="1"/>
  <c r="J10" i="78"/>
  <c r="S74" i="31"/>
  <c r="I53" i="78" s="1"/>
  <c r="J53" i="78"/>
  <c r="S42" i="31"/>
  <c r="I21" i="78" s="1"/>
  <c r="J21" i="78"/>
  <c r="S93" i="31"/>
  <c r="I72" i="78" s="1"/>
  <c r="J72" i="78"/>
  <c r="S61" i="31"/>
  <c r="I40" i="78" s="1"/>
  <c r="J40" i="78"/>
  <c r="S29" i="31"/>
  <c r="I8" i="78" s="1"/>
  <c r="J8" i="78"/>
  <c r="S72" i="31"/>
  <c r="I51" i="78" s="1"/>
  <c r="J51" i="78"/>
  <c r="S40" i="31"/>
  <c r="I19" i="78" s="1"/>
  <c r="J19" i="78"/>
  <c r="S67" i="31"/>
  <c r="I46" i="78" s="1"/>
  <c r="J46" i="78"/>
  <c r="S86" i="31"/>
  <c r="I65" i="78" s="1"/>
  <c r="J65" i="78"/>
  <c r="S54" i="31"/>
  <c r="I33" i="78" s="1"/>
  <c r="J33" i="78"/>
  <c r="S97" i="31"/>
  <c r="I76" i="78" s="1"/>
  <c r="J76" i="78"/>
  <c r="S65" i="31"/>
  <c r="I44" i="78" s="1"/>
  <c r="J44" i="78"/>
  <c r="S33" i="31"/>
  <c r="I12" i="78" s="1"/>
  <c r="J12" i="78"/>
  <c r="S76" i="31"/>
  <c r="I55" i="78" s="1"/>
  <c r="J55" i="78"/>
  <c r="S44" i="31"/>
  <c r="I23" i="78" s="1"/>
  <c r="J23" i="78"/>
  <c r="S75" i="31"/>
  <c r="I54" i="78" s="1"/>
  <c r="J54" i="78"/>
  <c r="S71" i="31"/>
  <c r="I50" i="78" s="1"/>
  <c r="J50" i="78"/>
  <c r="S39" i="31"/>
  <c r="I18" i="78" s="1"/>
  <c r="J18" i="78"/>
  <c r="S82" i="31"/>
  <c r="I61" i="78" s="1"/>
  <c r="J61" i="78"/>
  <c r="S50" i="31"/>
  <c r="I29" i="78" s="1"/>
  <c r="J29" i="78"/>
  <c r="S101" i="31"/>
  <c r="I80" i="78" s="1"/>
  <c r="J80" i="78"/>
  <c r="S69" i="31"/>
  <c r="I48" i="78" s="1"/>
  <c r="J48" i="78"/>
  <c r="S37" i="31"/>
  <c r="I16" i="78" s="1"/>
  <c r="J16" i="78"/>
  <c r="S80" i="31"/>
  <c r="I59" i="78" s="1"/>
  <c r="J59" i="78"/>
  <c r="S48" i="31"/>
  <c r="I27" i="78" s="1"/>
  <c r="J27" i="78"/>
  <c r="S83" i="31"/>
  <c r="I62" i="78" s="1"/>
  <c r="J62" i="78"/>
  <c r="S94" i="31"/>
  <c r="I73" i="78" s="1"/>
  <c r="J73" i="78"/>
  <c r="S62" i="31"/>
  <c r="I41" i="78" s="1"/>
  <c r="J41" i="78"/>
  <c r="S30" i="31"/>
  <c r="I9" i="78" s="1"/>
  <c r="J9" i="78"/>
  <c r="S73" i="31"/>
  <c r="I52" i="78" s="1"/>
  <c r="J52" i="78"/>
  <c r="S41" i="31"/>
  <c r="I20" i="78" s="1"/>
  <c r="J20" i="78"/>
  <c r="S84" i="31"/>
  <c r="I63" i="78" s="1"/>
  <c r="J63" i="78"/>
  <c r="S52" i="31"/>
  <c r="I31" i="78" s="1"/>
  <c r="J31" i="78"/>
  <c r="S27" i="31"/>
  <c r="I6" i="78" s="1"/>
  <c r="J6" i="78"/>
  <c r="S26" i="31"/>
  <c r="I4" i="78" s="1"/>
  <c r="J4" i="78"/>
  <c r="S25" i="31"/>
  <c r="J3" i="78"/>
  <c r="S102" i="31"/>
  <c r="J2" i="78"/>
  <c r="E80" i="9"/>
  <c r="E81" i="9" s="1"/>
  <c r="C81" i="9"/>
  <c r="M69" i="9"/>
  <c r="N69" i="9" s="1"/>
  <c r="C96" i="9"/>
  <c r="E96" i="9" s="1"/>
  <c r="E97" i="9" s="1"/>
  <c r="S22" i="31"/>
  <c r="G15" i="74" l="1"/>
  <c r="B6" i="74" s="1"/>
  <c r="I3" i="78"/>
  <c r="Q21" i="31"/>
  <c r="S21" i="31" s="1"/>
  <c r="D15" i="74"/>
  <c r="T22" i="31"/>
  <c r="I2" i="78"/>
  <c r="C97" i="9"/>
  <c r="D58" i="9" s="1"/>
  <c r="D56" i="9" s="1"/>
  <c r="M54" i="9" s="1"/>
  <c r="N57" i="9" s="1"/>
  <c r="B20" i="31"/>
  <c r="R22" i="31"/>
  <c r="I81" i="78" l="1"/>
  <c r="J81" i="78" s="1"/>
  <c r="D6" i="74"/>
  <c r="C6" i="74"/>
  <c r="F15" i="74"/>
  <c r="E15" i="74"/>
  <c r="B5" i="74"/>
  <c r="N58" i="9"/>
  <c r="P57" i="9"/>
  <c r="N59" i="9"/>
  <c r="B21" i="31"/>
  <c r="D5" i="74" l="1"/>
  <c r="C5" i="74"/>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<sst xmlns="http://schemas.openxmlformats.org/spreadsheetml/2006/main" count="7925" uniqueCount="3499">
  <si>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</si>
  <si>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</si>
  <si>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</si>
  <si>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</si>
  <si>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</si>
  <si>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</si>
  <si>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</si>
  <si>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</si>
  <si>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</si>
  <si>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</si>
  <si>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</si>
  <si>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</si>
  <si>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</si>
  <si>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</si>
  <si>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</si>
  <si>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</si>
  <si>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</si>
  <si>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</si>
  <si>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</si>
  <si>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</si>
  <si>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</si>
  <si>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</si>
  <si>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</si>
  <si>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</si>
  <si>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</si>
  <si>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</si>
  <si>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</si>
  <si>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</si>
  <si>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</si>
  <si>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</si>
  <si>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</si>
  <si>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</si>
  <si>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</si>
  <si>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</si>
  <si>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</si>
  <si>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</si>
  <si>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</si>
  <si>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</si>
  <si>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</si>
  <si>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</si>
  <si>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</si>
  <si>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</si>
  <si>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</si>
  <si>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</si>
  <si>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</si>
  <si>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</si>
  <si>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</si>
  <si>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</si>
  <si>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</si>
  <si>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</si>
  <si>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</si>
  <si>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</si>
  <si>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</si>
  <si>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</si>
  <si>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</si>
  <si>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</si>
  <si>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</si>
  <si>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</si>
  <si>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</si>
  <si>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</si>
  <si>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</si>
  <si>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</si>
  <si>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</si>
  <si>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</si>
  <si>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</si>
  <si>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</si>
  <si>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</si>
  <si>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</si>
  <si>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</si>
  <si>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</si>
  <si>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</si>
  <si>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</si>
  <si>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</si>
  <si>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</si>
  <si>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</si>
  <si>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</si>
  <si>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</si>
  <si>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</si>
  <si>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</si>
  <si>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</si>
  <si>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</si>
  <si>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</si>
  <si>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</si>
  <si>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</si>
  <si>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</si>
  <si>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</si>
  <si>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</si>
  <si>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</si>
  <si>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</si>
  <si>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</si>
  <si>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</si>
  <si>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</si>
  <si>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</si>
  <si>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</si>
  <si>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</si>
  <si>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</si>
  <si>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</si>
  <si>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</si>
  <si>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</si>
  <si>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</si>
  <si>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</si>
  <si>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</si>
  <si>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</si>
  <si>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</si>
  <si>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</si>
  <si>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</si>
  <si>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</si>
  <si>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</si>
  <si>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</si>
  <si>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</si>
  <si>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</si>
  <si>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</si>
  <si>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</si>
  <si>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</si>
  <si>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</si>
  <si>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</si>
  <si>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</si>
  <si>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</si>
  <si>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</si>
  <si>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</si>
  <si>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</si>
  <si>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</si>
  <si>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</si>
  <si>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</si>
  <si>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</si>
  <si>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</si>
  <si>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</si>
  <si>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</si>
  <si>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</si>
  <si>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</si>
  <si>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</si>
  <si>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</si>
  <si>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</si>
  <si>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</si>
  <si>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</si>
  <si>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</si>
  <si>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</si>
  <si>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</si>
  <si>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</si>
  <si>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</si>
  <si>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</si>
  <si>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</si>
  <si>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</si>
  <si>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</si>
  <si>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</si>
  <si>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</si>
  <si>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</si>
  <si>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</si>
  <si>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</si>
  <si>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</si>
  <si>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</si>
  <si>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</si>
  <si>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</si>
  <si>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</si>
  <si>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</si>
  <si>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</si>
  <si>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</si>
  <si>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</si>
  <si>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</si>
  <si>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</si>
  <si>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</si>
  <si>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</si>
  <si>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</si>
  <si>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</si>
  <si>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</si>
  <si>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</si>
  <si>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</si>
  <si>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</si>
  <si>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</si>
  <si>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</si>
  <si>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</si>
  <si>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</si>
  <si>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</si>
  <si>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</si>
  <si>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</si>
  <si>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</si>
  <si>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</si>
  <si>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</si>
  <si>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</si>
  <si>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</si>
  <si>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</si>
  <si>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</si>
  <si>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</si>
  <si>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</si>
  <si>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</si>
  <si>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</si>
  <si>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</si>
  <si>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</si>
  <si>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</si>
  <si>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</si>
  <si>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</si>
  <si>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</si>
  <si>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</si>
  <si>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</si>
  <si>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</si>
  <si>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</si>
  <si>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</si>
  <si>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</si>
  <si>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</si>
  <si>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</si>
  <si>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</si>
  <si>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</si>
  <si>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</si>
  <si>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</si>
  <si>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</si>
  <si>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</si>
  <si>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</si>
  <si>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</si>
  <si>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</si>
  <si>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</si>
  <si>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</si>
  <si>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</si>
  <si>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</si>
  <si>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</si>
  <si>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</si>
  <si>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</si>
  <si>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</si>
  <si>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</si>
  <si>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</si>
  <si>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</si>
  <si>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</si>
  <si>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</si>
  <si>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</si>
  <si>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</si>
  <si>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</si>
  <si>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</si>
  <si>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</si>
  <si>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</si>
  <si>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</si>
  <si>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</si>
  <si>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</si>
  <si>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</si>
  <si>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</si>
  <si>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</si>
  <si>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</si>
  <si>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</si>
  <si>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</si>
  <si>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</si>
  <si>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</si>
  <si>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</si>
  <si>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</si>
  <si>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</si>
  <si>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</si>
  <si>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</si>
  <si>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</si>
  <si>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</si>
  <si>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</si>
  <si>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</si>
  <si>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</si>
  <si>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</si>
  <si>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</si>
  <si>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</si>
  <si>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</si>
  <si>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</si>
  <si>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</si>
  <si>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</si>
  <si>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</si>
  <si>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</si>
  <si>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</si>
  <si>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</si>
  <si>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</si>
  <si>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</si>
  <si>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</si>
  <si>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</si>
  <si>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</si>
  <si>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</si>
  <si>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</si>
  <si>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</si>
  <si>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</si>
  <si>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</si>
  <si>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</si>
  <si>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</si>
  <si>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</si>
  <si>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</si>
  <si>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</si>
  <si>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</si>
  <si>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</si>
  <si>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</si>
  <si>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</si>
  <si>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</si>
  <si>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</si>
  <si>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</si>
  <si>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</si>
  <si>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</si>
  <si>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</si>
  <si>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</si>
  <si>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</si>
  <si>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</si>
  <si>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</si>
  <si>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</si>
  <si>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</si>
  <si>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</si>
  <si>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</si>
  <si>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</si>
  <si>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</si>
  <si>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</si>
  <si>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</si>
  <si>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</si>
  <si>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</si>
  <si>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</si>
  <si>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</si>
  <si>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</si>
  <si>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</si>
  <si>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</si>
  <si>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</si>
  <si>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</si>
  <si>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</si>
  <si>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</si>
  <si>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</si>
  <si>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</si>
  <si>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</si>
  <si>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</si>
  <si>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</si>
  <si>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</si>
  <si>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</si>
  <si>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</si>
  <si>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</si>
  <si>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</si>
  <si>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</si>
  <si>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</si>
  <si>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</si>
  <si>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</si>
  <si>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</si>
  <si>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</si>
  <si>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</si>
  <si>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</si>
  <si>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</si>
  <si>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</si>
  <si>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</si>
  <si>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</si>
  <si>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</si>
  <si>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</si>
  <si>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</si>
  <si>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</si>
  <si>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</si>
  <si>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</si>
  <si>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</si>
  <si>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</si>
  <si>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</si>
  <si>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</si>
  <si>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</si>
  <si>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</si>
  <si>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</si>
  <si>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</si>
  <si>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</si>
  <si>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</si>
  <si>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</si>
  <si>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</si>
  <si>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</si>
  <si>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</si>
  <si>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</si>
  <si>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</si>
  <si>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</si>
  <si>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</si>
  <si>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</si>
  <si>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</si>
  <si>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</si>
  <si>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</si>
  <si>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</si>
  <si>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</si>
  <si>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</si>
  <si>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</si>
  <si>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</si>
  <si>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</si>
  <si>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</si>
  <si>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</si>
  <si>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</si>
  <si>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</si>
  <si>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</si>
  <si>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</si>
  <si>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</si>
  <si>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</si>
  <si>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</si>
  <si>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</si>
  <si>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</si>
  <si>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</si>
  <si>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</si>
  <si>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</si>
  <si>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</si>
  <si>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</si>
  <si>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</si>
  <si>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</si>
  <si>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</si>
  <si>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</si>
  <si>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</si>
  <si>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</si>
  <si>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</si>
  <si>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</si>
  <si>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</si>
  <si>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</si>
  <si>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</si>
  <si>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</si>
  <si>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</si>
  <si>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</si>
  <si>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</si>
  <si>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</si>
  <si>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</si>
  <si>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</si>
  <si>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</si>
  <si>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</si>
  <si>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</si>
  <si>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</si>
  <si>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</si>
  <si>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</si>
  <si>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</si>
  <si>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</si>
  <si>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</si>
  <si>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</si>
  <si>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</si>
  <si>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</si>
  <si>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</si>
  <si>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</si>
  <si>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</si>
  <si>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</si>
  <si>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</si>
  <si>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</si>
  <si>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</si>
  <si>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</si>
  <si>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</si>
  <si>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</si>
  <si>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</si>
  <si>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</si>
  <si>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</si>
  <si>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</si>
  <si>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</si>
  <si>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</si>
  <si>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</si>
  <si>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</si>
  <si>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</si>
  <si>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</si>
  <si>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</si>
  <si>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</si>
  <si>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</si>
  <si>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</si>
  <si>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</si>
  <si>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</si>
  <si>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</si>
  <si>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</si>
  <si>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</si>
  <si>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</si>
  <si>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</si>
  <si>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</si>
  <si>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</si>
  <si>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</si>
  <si>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</si>
  <si>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</si>
  <si>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</si>
  <si>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</si>
  <si>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</si>
  <si>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</si>
  <si>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</si>
  <si>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</si>
  <si>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</si>
  <si>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</si>
  <si>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</si>
  <si>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</si>
  <si>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</si>
  <si>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</si>
  <si>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</si>
  <si>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</si>
  <si>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</si>
  <si>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</si>
  <si>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</si>
  <si>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</si>
  <si>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</si>
  <si>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</si>
  <si>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</si>
  <si>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</si>
  <si>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</si>
  <si>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</si>
  <si>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</si>
  <si>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</si>
  <si>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</si>
  <si>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</si>
  <si>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</si>
  <si>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</si>
  <si>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</si>
  <si>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</si>
  <si>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</si>
  <si>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</si>
  <si>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</si>
  <si>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</si>
  <si>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</si>
  <si>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</si>
  <si>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</si>
  <si>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</si>
  <si>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</si>
  <si>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</si>
  <si>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</si>
  <si>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</si>
  <si>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</si>
  <si>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</si>
  <si>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</si>
  <si>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</si>
  <si>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</si>
  <si>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</si>
  <si>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</si>
  <si>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</si>
  <si>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</si>
  <si>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</si>
  <si>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</si>
  <si>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</si>
  <si>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</si>
  <si>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</si>
  <si>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</si>
  <si>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</si>
  <si>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</si>
  <si>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</si>
  <si>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</si>
  <si>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</si>
  <si>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</si>
  <si>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</si>
  <si>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</si>
  <si>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</si>
  <si>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</si>
  <si>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</si>
  <si>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</si>
  <si>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</si>
  <si>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</si>
  <si>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</si>
  <si>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</si>
  <si>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</si>
  <si>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</si>
  <si>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</si>
  <si>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</si>
  <si>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</si>
  <si>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</si>
  <si>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</si>
  <si>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</si>
  <si>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</si>
  <si>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</si>
  <si>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</si>
  <si>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</si>
  <si>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</si>
  <si>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</si>
  <si>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</si>
  <si>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</si>
  <si>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</si>
  <si>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</si>
  <si>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</si>
  <si>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</si>
  <si>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</si>
  <si>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</si>
  <si>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</si>
  <si>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</si>
  <si>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</si>
  <si>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</si>
  <si>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</si>
  <si>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</si>
  <si>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</si>
  <si>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</si>
  <si>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</si>
  <si>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</si>
  <si>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</si>
  <si>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</si>
  <si>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</si>
  <si>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</si>
  <si>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</si>
  <si>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</si>
  <si>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</si>
  <si>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</si>
  <si>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</si>
  <si>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</si>
  <si>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</si>
  <si>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</si>
  <si>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</si>
  <si>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</si>
  <si>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</si>
  <si>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</si>
  <si>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</si>
  <si>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</si>
  <si>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</si>
  <si>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</si>
  <si>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</si>
  <si>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</si>
  <si>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</si>
  <si>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</si>
  <si>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</si>
  <si>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</si>
  <si>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</si>
  <si>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</si>
  <si>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</si>
  <si>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</si>
  <si>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</si>
  <si>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</si>
  <si>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</si>
  <si>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</si>
  <si>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</si>
  <si>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</si>
  <si>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</si>
  <si>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</si>
  <si>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</si>
  <si>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</si>
  <si>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</si>
  <si>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</si>
  <si>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</si>
  <si>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</si>
  <si>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</si>
  <si>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</si>
  <si>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</si>
  <si>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</si>
  <si>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</si>
  <si>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</si>
  <si>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</si>
  <si>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</si>
  <si>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</si>
  <si>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</si>
  <si>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</si>
  <si>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</si>
  <si>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</si>
  <si>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</si>
  <si>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</si>
  <si>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</si>
  <si>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</si>
  <si>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</si>
  <si>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</si>
  <si>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</si>
  <si>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</si>
  <si>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</si>
  <si>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</si>
  <si>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</si>
  <si>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</si>
  <si>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</si>
  <si>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</si>
  <si>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</si>
  <si>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</si>
  <si>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</si>
  <si>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</si>
  <si>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</si>
  <si>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</si>
  <si>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</si>
  <si>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</si>
  <si>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</si>
  <si>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</si>
  <si>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</si>
  <si>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</si>
  <si>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</si>
  <si>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</si>
  <si>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</si>
  <si>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</si>
  <si>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</si>
  <si>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</si>
  <si>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</si>
  <si>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</si>
  <si>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</si>
  <si>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</si>
  <si>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</si>
  <si>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</si>
  <si>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</si>
  <si>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</si>
  <si>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</si>
  <si>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</si>
  <si>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</si>
  <si>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</si>
  <si>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</si>
  <si>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</si>
  <si>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</si>
  <si>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</si>
  <si>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</si>
  <si>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</si>
  <si>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</si>
  <si>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</si>
  <si>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</si>
  <si>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</si>
  <si>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</si>
  <si>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</si>
  <si>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</si>
  <si>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</si>
  <si>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</si>
  <si>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</si>
  <si>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</si>
  <si>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</si>
  <si>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</si>
  <si>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</si>
  <si>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</si>
  <si>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</si>
  <si>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</si>
  <si>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</si>
  <si>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</si>
  <si>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</si>
  <si>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</si>
  <si>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</si>
  <si>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</si>
  <si>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</si>
  <si>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</si>
  <si>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</si>
  <si>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</si>
  <si>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</si>
  <si>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</si>
  <si>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</si>
  <si>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</si>
  <si>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</si>
  <si>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</si>
  <si>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</si>
  <si>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</si>
  <si>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</si>
  <si>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</si>
  <si>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</si>
  <si>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</si>
  <si>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</si>
  <si>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</si>
  <si>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</si>
  <si>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</si>
  <si>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</si>
  <si>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</si>
  <si>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</si>
  <si>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</si>
  <si>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</si>
  <si>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</si>
  <si>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</si>
  <si>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</si>
  <si>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</si>
  <si>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</si>
  <si>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</si>
  <si>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</si>
  <si>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</si>
  <si>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</si>
  <si>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</si>
  <si>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</si>
  <si>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</si>
  <si>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</si>
  <si>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</si>
  <si>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</si>
  <si>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</si>
  <si>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</si>
  <si>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</si>
  <si>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</si>
  <si>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</si>
  <si>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</si>
  <si>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</si>
  <si>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</si>
  <si>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</si>
  <si>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</si>
  <si>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</si>
  <si>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</si>
  <si>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</si>
  <si>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</si>
  <si>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</si>
  <si>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</si>
  <si>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</si>
  <si>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</si>
  <si>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</si>
  <si>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</si>
  <si>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</si>
  <si>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</si>
  <si>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</si>
  <si>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</si>
  <si>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</si>
  <si>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</si>
  <si>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</si>
  <si>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</si>
  <si>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</si>
  <si>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</si>
  <si>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</si>
  <si>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</si>
  <si>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</si>
  <si>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</si>
  <si>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</si>
  <si>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</si>
  <si>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</si>
  <si>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</si>
  <si>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</si>
  <si>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</si>
  <si>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</si>
  <si>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</si>
  <si>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</si>
  <si>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</si>
  <si>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</si>
  <si>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</si>
  <si>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</si>
  <si>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</si>
  <si>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</si>
  <si>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</si>
  <si>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</si>
  <si>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</si>
  <si>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</si>
  <si>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</si>
  <si>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</si>
  <si>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</si>
  <si>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</si>
  <si>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</si>
  <si>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</si>
  <si>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</si>
  <si>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</si>
  <si>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</si>
  <si>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</si>
  <si>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</si>
  <si>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</si>
  <si>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</si>
  <si>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</si>
  <si>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</si>
  <si>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</si>
  <si>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</si>
  <si>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</si>
  <si>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</si>
  <si>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</si>
  <si>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</si>
  <si>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</si>
  <si>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</si>
  <si>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</si>
  <si>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</si>
  <si>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</si>
  <si>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</si>
  <si>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</si>
  <si>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</si>
  <si>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</si>
  <si>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</si>
  <si>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</si>
  <si>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</si>
  <si>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</si>
  <si>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</si>
  <si>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</si>
  <si>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</si>
  <si>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</si>
  <si>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</si>
  <si>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</si>
  <si>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</si>
  <si>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</si>
  <si>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</si>
  <si>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</si>
  <si>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</si>
  <si>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</si>
  <si>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</si>
  <si>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</si>
  <si>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</si>
  <si>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</si>
  <si>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</si>
  <si>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</si>
  <si>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</si>
  <si>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</si>
  <si>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</si>
  <si>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</si>
  <si>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</si>
  <si>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</si>
  <si>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</si>
  <si>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</si>
  <si>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</si>
  <si>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</si>
  <si>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</si>
  <si>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</si>
  <si>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</si>
  <si>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</si>
  <si>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</si>
  <si>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</si>
  <si>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</si>
  <si>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</si>
  <si>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</si>
  <si>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</si>
  <si>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</si>
  <si>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</si>
  <si>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</si>
  <si>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</si>
  <si>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</si>
  <si>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</si>
  <si>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</si>
  <si>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</si>
  <si>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</si>
  <si>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</si>
  <si>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</si>
  <si>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</si>
  <si>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</si>
  <si>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</si>
  <si>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</si>
  <si>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</si>
  <si>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</si>
  <si>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</si>
  <si>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</si>
  <si>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</si>
  <si>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</si>
  <si>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</si>
  <si>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</si>
  <si>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</si>
  <si>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</si>
  <si>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</si>
  <si>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</si>
  <si>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</si>
  <si>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</si>
  <si>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</si>
  <si>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</si>
  <si>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</si>
  <si>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</si>
  <si>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</si>
  <si>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</si>
  <si>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</si>
  <si>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</si>
  <si>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</si>
  <si>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</si>
  <si>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</si>
  <si>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</si>
  <si>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</si>
  <si>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</si>
  <si>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</si>
  <si>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</si>
  <si>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</si>
  <si>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</si>
  <si>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</si>
  <si>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</si>
  <si>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</si>
  <si>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</si>
  <si>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</si>
  <si>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</si>
  <si>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</si>
  <si>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</si>
  <si>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</si>
  <si>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</si>
  <si>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</si>
  <si>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</si>
  <si>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</si>
  <si>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</si>
  <si>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</si>
  <si>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</si>
  <si>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</si>
  <si>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</si>
  <si>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</si>
  <si>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</si>
  <si>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</si>
  <si>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</si>
  <si>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</si>
  <si>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</si>
  <si>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</si>
  <si>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</si>
  <si>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</si>
  <si>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</si>
  <si>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</si>
  <si>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</si>
  <si>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</si>
  <si>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</si>
  <si>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</si>
  <si>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</si>
  <si>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</si>
  <si>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</si>
  <si>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</si>
  <si>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</si>
  <si>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</si>
  <si>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</si>
  <si>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</si>
  <si>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</si>
  <si>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</si>
  <si>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</si>
  <si>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</si>
  <si>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</si>
  <si>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</si>
  <si>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</si>
  <si>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</si>
  <si>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</si>
  <si>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</si>
  <si>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</si>
  <si>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</si>
  <si>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</si>
  <si>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</si>
  <si>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</si>
  <si>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</si>
  <si>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</si>
  <si>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</si>
  <si>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</si>
  <si>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</si>
  <si>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</si>
  <si>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</si>
  <si>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</si>
  <si>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</si>
  <si>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</si>
  <si>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</si>
  <si>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</si>
  <si>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</si>
  <si>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</si>
  <si>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</si>
  <si>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</si>
  <si>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</si>
  <si>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</si>
  <si>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</si>
  <si>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</si>
  <si>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</si>
  <si>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</si>
  <si>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</si>
  <si>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</si>
  <si>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</si>
  <si>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</si>
  <si>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</si>
  <si>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</si>
  <si>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</si>
  <si>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</si>
  <si>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</si>
  <si>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</si>
  <si>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</si>
  <si>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</si>
  <si>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</si>
  <si>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</si>
  <si>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</si>
  <si>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</si>
  <si>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</si>
  <si>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</si>
  <si>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</si>
  <si>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</si>
  <si>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</si>
  <si>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</si>
  <si>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</si>
  <si>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</si>
  <si>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</si>
  <si>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</si>
  <si>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</si>
  <si>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</si>
  <si>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</si>
  <si>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</si>
  <si>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</si>
  <si>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</si>
  <si>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</si>
  <si>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</si>
  <si>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</si>
  <si>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</si>
  <si>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</si>
  <si>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</si>
  <si>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</si>
  <si>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</si>
  <si>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</si>
  <si>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</si>
  <si>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</si>
  <si>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</si>
  <si>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</si>
  <si>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</si>
  <si>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</si>
  <si>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</si>
  <si>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</si>
  <si>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</si>
  <si>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</si>
  <si>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</si>
  <si>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</si>
  <si>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</si>
  <si>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</si>
  <si>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</si>
  <si>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</si>
  <si>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</si>
  <si>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</si>
  <si>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</si>
  <si>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</si>
  <si>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</si>
  <si>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</si>
  <si>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</si>
  <si>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</si>
  <si>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</si>
  <si>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</si>
  <si>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</si>
  <si>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</si>
  <si>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</si>
  <si>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</si>
  <si>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</si>
  <si>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</si>
  <si>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</si>
  <si>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</si>
  <si>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</si>
  <si>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</si>
  <si>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</si>
  <si>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</si>
  <si>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</si>
  <si>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</si>
  <si>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</si>
  <si>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</si>
  <si>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</si>
  <si>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</si>
  <si>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</si>
  <si>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</si>
  <si>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</si>
  <si>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</si>
  <si>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</si>
  <si>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</si>
  <si>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</si>
  <si>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</si>
  <si>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</si>
  <si>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</si>
  <si>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</si>
  <si>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</si>
  <si>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</si>
  <si>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</si>
  <si>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</si>
  <si>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</si>
  <si>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</si>
  <si>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</si>
  <si>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</si>
  <si>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</si>
  <si>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</si>
  <si>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</si>
  <si>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</si>
  <si>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</si>
  <si>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</si>
  <si>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</si>
  <si>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</si>
  <si>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</si>
  <si>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</si>
  <si>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</si>
  <si>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</si>
  <si>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</si>
  <si>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</si>
  <si>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</si>
  <si>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</si>
  <si>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</si>
  <si>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</si>
  <si>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</si>
  <si>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</si>
  <si>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</si>
  <si>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</si>
  <si>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</si>
  <si>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</si>
  <si>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</si>
  <si>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</si>
  <si>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</si>
  <si>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</si>
  <si>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</si>
  <si>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</si>
  <si>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</si>
  <si>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</si>
  <si>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</si>
  <si>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</si>
  <si>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</si>
  <si>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</si>
  <si>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</si>
  <si>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</si>
  <si>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</si>
  <si>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</si>
  <si>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</si>
  <si>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</si>
  <si>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</si>
  <si>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</si>
  <si>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</si>
  <si>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</si>
  <si>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</si>
  <si>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</si>
  <si>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</si>
  <si>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</si>
  <si>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</si>
  <si>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</si>
  <si>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</si>
  <si>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</si>
  <si>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</si>
  <si>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</si>
  <si>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</si>
  <si>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</si>
  <si>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</si>
  <si>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</si>
  <si>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</si>
  <si>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</si>
  <si>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</si>
  <si>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</si>
  <si>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</si>
  <si>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</si>
  <si>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</si>
  <si>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</si>
  <si>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</si>
  <si>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</si>
  <si>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</si>
  <si>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</si>
  <si>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</si>
  <si>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</si>
  <si>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</si>
  <si>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</si>
  <si>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</si>
  <si>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</si>
  <si>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</si>
  <si>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</si>
  <si>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</si>
  <si>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</si>
  <si>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</si>
  <si>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</si>
  <si>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</si>
  <si>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</si>
  <si>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</si>
  <si>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</si>
  <si>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</si>
  <si>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</si>
  <si>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</si>
  <si>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</si>
  <si>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</si>
  <si>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</si>
  <si>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</si>
  <si>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</si>
  <si>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</si>
  <si>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</si>
  <si>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</si>
  <si>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</si>
  <si>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</si>
  <si>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</si>
  <si>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</si>
  <si>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</si>
  <si>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</si>
  <si>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</si>
  <si>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</si>
  <si>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</si>
  <si>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</si>
  <si>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</si>
  <si>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</si>
  <si>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</si>
  <si>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</si>
  <si>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</si>
  <si>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</si>
  <si>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</si>
  <si>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</si>
  <si>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</si>
  <si>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</si>
  <si>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</si>
  <si>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</si>
  <si>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</si>
  <si>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</si>
  <si>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</si>
  <si>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</si>
  <si>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</si>
  <si>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</si>
  <si>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</si>
  <si>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</si>
  <si>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</si>
  <si>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</si>
  <si>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</si>
  <si>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</si>
  <si>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</si>
  <si>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</si>
  <si>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</si>
  <si>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</si>
  <si>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</si>
  <si>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</si>
  <si>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</si>
  <si>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</si>
  <si>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</si>
  <si>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</si>
  <si>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</si>
  <si>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</si>
  <si>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</si>
  <si>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</si>
  <si>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</si>
  <si>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</si>
  <si>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</si>
  <si>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</si>
  <si>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</si>
  <si>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</si>
  <si>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</si>
  <si>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</si>
  <si>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</si>
  <si>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</si>
  <si>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</si>
  <si>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</si>
  <si>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</si>
  <si>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</si>
  <si>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</si>
  <si>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</si>
  <si>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</si>
  <si>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</si>
  <si>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</si>
  <si>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</si>
  <si>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</si>
  <si>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</si>
  <si>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</si>
  <si>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</si>
  <si>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</si>
  <si>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</si>
  <si>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</si>
  <si>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</si>
  <si>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</si>
  <si>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</si>
  <si>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</si>
  <si>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</si>
  <si>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</si>
  <si>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</si>
  <si>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</si>
  <si>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</si>
  <si>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</si>
  <si>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</si>
  <si>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</si>
  <si>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</si>
  <si>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</si>
  <si>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</si>
  <si>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</si>
  <si>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</si>
  <si>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</si>
  <si>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</si>
  <si>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</si>
  <si>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</si>
  <si>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</si>
  <si>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</si>
  <si>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</si>
  <si>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</si>
  <si>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</si>
  <si>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</si>
  <si>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</si>
  <si>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</si>
  <si>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</si>
  <si>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</si>
  <si>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</si>
  <si>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</si>
  <si>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</si>
  <si>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</si>
  <si>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</si>
  <si>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</si>
  <si>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</si>
  <si>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</si>
  <si>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</si>
  <si>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</si>
  <si>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</si>
  <si>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</si>
  <si>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</si>
  <si>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</si>
  <si>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</si>
  <si>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</si>
  <si>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</si>
  <si>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</si>
  <si>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</si>
  <si>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</si>
  <si>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</si>
  <si>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</si>
  <si>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</si>
  <si>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</si>
  <si>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</si>
  <si>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</si>
  <si>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</si>
  <si>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</si>
  <si>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</si>
  <si>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</si>
  <si>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</si>
  <si>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</si>
  <si>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</si>
  <si>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</si>
  <si>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</si>
  <si>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</si>
  <si>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</si>
  <si>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</si>
  <si>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</si>
  <si>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</si>
  <si>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</si>
  <si>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</si>
  <si>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</si>
  <si>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</si>
  <si>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</si>
  <si>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</si>
  <si>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</si>
  <si>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</si>
  <si>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</si>
  <si>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</si>
  <si>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</si>
  <si>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</si>
  <si>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</si>
  <si>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</si>
  <si>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</si>
  <si>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</si>
  <si>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</si>
  <si>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</si>
  <si>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</si>
  <si>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</si>
  <si>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</si>
  <si>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</si>
  <si>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</si>
  <si>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</si>
  <si>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</si>
  <si>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</si>
  <si>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</si>
  <si>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</si>
  <si>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</si>
  <si>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</si>
  <si>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</si>
  <si>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</si>
  <si>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</si>
  <si>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</si>
  <si>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</si>
  <si>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</si>
  <si>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</si>
  <si>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</si>
  <si>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</si>
  <si>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</si>
  <si>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</si>
  <si>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</si>
  <si>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</si>
  <si>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</si>
  <si>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</si>
  <si>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</si>
  <si>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</si>
  <si>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</si>
  <si>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</si>
  <si>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</si>
  <si>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</si>
  <si>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</si>
  <si>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</si>
  <si>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</si>
  <si>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</si>
  <si>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</si>
  <si>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</si>
  <si>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</si>
  <si>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</si>
  <si>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</si>
  <si>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</si>
  <si>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</si>
  <si>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</si>
  <si>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</si>
  <si>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</si>
  <si>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</si>
  <si>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</si>
  <si>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</si>
  <si>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</si>
  <si>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</si>
  <si>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</si>
  <si>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</si>
  <si>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</si>
  <si>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</si>
  <si>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</si>
  <si>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</si>
  <si>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</si>
  <si>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</si>
  <si>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</si>
  <si>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</si>
  <si>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</si>
  <si>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</si>
  <si>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</si>
  <si>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</si>
  <si>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</si>
  <si>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</si>
  <si>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</si>
  <si>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</si>
  <si>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</si>
  <si>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</si>
  <si>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</si>
  <si>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</si>
  <si>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</si>
  <si>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</si>
  <si>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</si>
  <si>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</si>
  <si>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</si>
  <si>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</si>
  <si>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</si>
  <si>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</si>
  <si>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</si>
  <si>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</si>
  <si>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</si>
  <si>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</si>
  <si>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</si>
  <si>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</si>
  <si>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</si>
  <si>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</si>
  <si>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</si>
  <si>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</si>
  <si>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</si>
  <si>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</si>
  <si>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</si>
  <si>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</si>
  <si>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</si>
  <si>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</si>
  <si>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</si>
  <si>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</si>
  <si>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</si>
  <si>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</si>
  <si>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</si>
  <si>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</si>
  <si>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</si>
  <si>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</si>
  <si>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</si>
  <si>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</si>
  <si>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</si>
  <si>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</si>
  <si>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</si>
  <si>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</si>
  <si>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</si>
  <si>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</si>
  <si>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</si>
  <si>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</si>
  <si>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</si>
  <si>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</si>
  <si>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</si>
  <si>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</si>
  <si>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</si>
  <si>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</si>
  <si>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</si>
  <si>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</si>
  <si>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</si>
  <si>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</si>
  <si>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</si>
  <si>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</si>
  <si>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</si>
  <si>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</si>
  <si>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</si>
  <si>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</si>
  <si>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</si>
  <si>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</si>
  <si>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</si>
  <si>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</si>
  <si>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</si>
  <si>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</si>
  <si>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</si>
  <si>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</si>
  <si>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</si>
  <si>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</si>
  <si>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</si>
  <si>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</si>
  <si>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</si>
  <si>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</si>
  <si>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</si>
  <si>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</si>
  <si>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</si>
  <si>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</si>
  <si>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</si>
  <si>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</si>
  <si>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</si>
  <si>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</si>
  <si>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</si>
  <si>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</si>
  <si>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</si>
  <si>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</si>
  <si>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</si>
  <si>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</si>
  <si>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</si>
  <si>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</si>
  <si>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</si>
  <si>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</si>
  <si>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</si>
  <si>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</si>
  <si>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</si>
  <si>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</si>
  <si>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</si>
  <si>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</si>
  <si>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</si>
  <si>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</si>
  <si>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</si>
  <si>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</si>
  <si>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</si>
  <si>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</si>
  <si>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</si>
  <si>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</si>
  <si>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</si>
  <si>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</si>
  <si>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</si>
  <si>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</si>
  <si>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</si>
  <si>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</si>
  <si>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</si>
  <si>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</si>
  <si>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</si>
  <si>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</si>
  <si>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</si>
  <si>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</si>
  <si>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</si>
  <si>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</si>
  <si>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</si>
  <si>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</si>
  <si>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</si>
  <si>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</si>
  <si>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</si>
  <si>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</si>
  <si>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</si>
  <si>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</si>
  <si>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</si>
  <si>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</si>
  <si>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</si>
  <si>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</si>
  <si>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</si>
  <si>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</si>
  <si>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</si>
  <si>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</si>
  <si>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</si>
  <si>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</si>
  <si>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</si>
  <si>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</si>
  <si>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</si>
  <si>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</si>
  <si>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</si>
  <si>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</si>
  <si>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</si>
  <si>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</si>
  <si>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</si>
  <si>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</si>
  <si>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</si>
  <si>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</si>
  <si>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</si>
  <si>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</si>
  <si>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</si>
  <si>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</si>
  <si>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</si>
  <si>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</si>
  <si>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</si>
  <si>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</si>
  <si>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</si>
  <si>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</si>
  <si>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</si>
  <si>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</si>
  <si>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</si>
  <si>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</si>
  <si>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</si>
  <si>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</si>
  <si>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</si>
  <si>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</si>
  <si>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</si>
  <si>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</si>
  <si>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</si>
  <si>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</si>
  <si>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</si>
  <si>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</si>
  <si>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</si>
  <si>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</si>
  <si>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</si>
  <si>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</si>
  <si>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</si>
  <si>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</si>
  <si>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</si>
  <si>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</si>
  <si>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</si>
  <si>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</si>
  <si>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</si>
  <si>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</si>
  <si>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</si>
  <si>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</si>
  <si>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</si>
  <si>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</si>
  <si>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</si>
  <si>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</si>
  <si>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</si>
  <si>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</si>
  <si>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</si>
  <si>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</si>
  <si>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</si>
  <si>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</si>
  <si>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</si>
  <si>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</si>
  <si>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</si>
  <si>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</si>
  <si>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</si>
  <si>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</si>
  <si>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</si>
  <si>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</si>
  <si>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</si>
  <si>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</si>
  <si>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</si>
  <si>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</si>
  <si>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</si>
  <si>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</si>
  <si>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</si>
  <si>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</si>
  <si>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</si>
  <si>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</si>
  <si>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</si>
  <si>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</si>
  <si>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</si>
  <si>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</si>
  <si>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</si>
  <si>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</si>
  <si>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</si>
  <si>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</si>
  <si>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</si>
  <si>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</si>
  <si>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</si>
  <si>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</si>
  <si>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</si>
  <si>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</si>
  <si>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</si>
  <si>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</si>
  <si>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</si>
  <si>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</si>
  <si>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</si>
  <si>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</si>
  <si>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</si>
  <si>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</si>
  <si>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</si>
  <si>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</si>
  <si>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</si>
  <si>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</si>
  <si>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</si>
  <si>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</si>
  <si>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</si>
  <si>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</si>
  <si>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</si>
  <si>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</si>
  <si>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</si>
  <si>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</si>
  <si>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</si>
  <si>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</si>
  <si>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</si>
  <si>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</si>
  <si>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</si>
  <si>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</si>
  <si>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</si>
  <si>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</si>
  <si>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</si>
  <si>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</si>
  <si>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</si>
  <si>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</si>
  <si>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</si>
  <si>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</si>
  <si>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</si>
  <si>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</si>
  <si>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</si>
  <si>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</si>
  <si>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</si>
  <si>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</si>
  <si>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</si>
  <si>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</si>
  <si>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</si>
  <si>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</si>
  <si>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</si>
  <si>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</si>
  <si>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</si>
  <si>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</si>
  <si>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</si>
  <si>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</si>
  <si>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</si>
  <si>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</si>
  <si>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</si>
  <si>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</si>
  <si>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</si>
  <si>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</si>
  <si>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</si>
  <si>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</si>
  <si>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</si>
  <si>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</si>
  <si>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</si>
  <si>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</si>
  <si>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</si>
  <si>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</si>
  <si>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</si>
  <si>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</si>
  <si>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</si>
  <si>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</si>
  <si>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</si>
  <si>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</si>
  <si>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</si>
  <si>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</si>
  <si>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</si>
  <si>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</si>
  <si>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</si>
  <si>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</si>
  <si>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</si>
  <si>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</si>
  <si>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</si>
  <si>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</si>
  <si>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</si>
  <si>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</si>
  <si>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</si>
  <si>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</si>
  <si>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</si>
  <si>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</si>
  <si>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</si>
  <si>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</si>
  <si>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</si>
  <si>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</si>
  <si>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</si>
  <si>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</si>
  <si>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</si>
  <si>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</si>
  <si>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</si>
  <si>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</si>
  <si>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</si>
  <si>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</si>
  <si>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</si>
  <si>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</si>
  <si>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</si>
  <si>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</si>
  <si>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</si>
  <si>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</si>
  <si>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</si>
  <si>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</si>
  <si>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</si>
  <si>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</si>
  <si>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</si>
  <si>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</si>
  <si>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</si>
  <si>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</si>
  <si>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</si>
  <si>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</si>
  <si>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</si>
  <si>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</si>
  <si>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</si>
  <si>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</si>
  <si>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</si>
  <si>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</si>
  <si>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</si>
  <si>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</si>
  <si>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</si>
  <si>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</si>
  <si>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</si>
  <si>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</si>
  <si>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</si>
  <si>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</si>
  <si>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</si>
  <si>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</si>
  <si>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</si>
  <si>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</si>
  <si>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</si>
  <si>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</si>
  <si>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</si>
  <si>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</si>
  <si>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</si>
  <si>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</si>
  <si>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</si>
  <si>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</si>
  <si>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</si>
  <si>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</si>
  <si>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</si>
  <si>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</si>
  <si>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</si>
  <si>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</si>
  <si>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</si>
  <si>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</si>
  <si>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</si>
  <si>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</si>
  <si>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</si>
  <si>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</si>
  <si>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</si>
  <si>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</si>
  <si>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</si>
  <si>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</si>
  <si>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</si>
  <si>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</si>
  <si>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</si>
  <si>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</si>
  <si>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</si>
  <si>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</si>
  <si>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</si>
  <si>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</si>
  <si>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</si>
  <si>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</si>
  <si>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</si>
  <si>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</si>
  <si>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</si>
  <si>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</si>
  <si>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</si>
  <si>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</si>
  <si>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</si>
  <si>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</si>
  <si>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</si>
  <si>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</si>
  <si>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</si>
  <si>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</si>
  <si>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</si>
  <si>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</si>
  <si>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</si>
  <si>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</si>
  <si>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</si>
  <si>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</si>
  <si>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</si>
  <si>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</si>
  <si>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</si>
  <si>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</si>
  <si>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</si>
  <si>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</si>
  <si>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</si>
  <si>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</si>
  <si>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</si>
  <si>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</si>
  <si>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</si>
  <si>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</si>
  <si>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</si>
  <si>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</si>
  <si>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</si>
  <si>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</si>
  <si>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</si>
  <si>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</si>
  <si>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</si>
  <si>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</si>
  <si>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</si>
  <si>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</si>
  <si>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</si>
  <si>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</si>
  <si>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</si>
  <si>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</si>
  <si>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</si>
  <si>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</si>
  <si>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</si>
  <si>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</si>
  <si>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</si>
  <si>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</si>
  <si>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</si>
  <si>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</si>
  <si>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</si>
  <si>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</si>
  <si>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</si>
  <si>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</si>
  <si>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</si>
  <si>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</si>
  <si>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</si>
  <si>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</si>
  <si>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</si>
  <si>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</si>
  <si>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</si>
  <si>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</si>
  <si>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</si>
  <si>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</si>
  <si>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</si>
  <si>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</si>
  <si>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</si>
  <si>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</si>
  <si>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</si>
  <si>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</si>
  <si>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</si>
  <si>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</si>
  <si>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</si>
  <si>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</si>
  <si>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</si>
  <si>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</si>
  <si>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</si>
  <si>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</si>
  <si>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</si>
  <si>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</si>
  <si>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</si>
  <si>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</si>
  <si>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</si>
  <si>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</si>
  <si>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</si>
  <si>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</si>
  <si>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</si>
  <si>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</si>
  <si>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</si>
  <si>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</si>
  <si>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</si>
  <si>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</si>
  <si>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</si>
  <si>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</si>
  <si>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</si>
  <si>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</si>
  <si>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</si>
  <si>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</si>
  <si>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</si>
  <si>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</si>
  <si>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</si>
  <si>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</si>
  <si>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</si>
  <si>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</si>
  <si>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</si>
  <si>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</si>
  <si>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</si>
  <si>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</si>
  <si>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</si>
  <si>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</si>
  <si>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</si>
  <si>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</si>
  <si>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</si>
  <si>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</si>
  <si>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</si>
  <si>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</si>
  <si>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</si>
  <si>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</si>
  <si>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</si>
  <si>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</si>
  <si>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</si>
  <si>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</si>
  <si>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</si>
  <si>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</si>
  <si>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</si>
  <si>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</si>
  <si>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</si>
  <si>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</si>
  <si>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</si>
  <si>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</si>
  <si>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</si>
  <si>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</si>
  <si>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</si>
  <si>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</si>
  <si>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</si>
  <si>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</si>
  <si>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</si>
  <si>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</si>
  <si>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</si>
  <si>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</si>
  <si>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</si>
  <si>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</si>
  <si>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</si>
  <si>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</si>
  <si>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</si>
  <si>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</si>
  <si>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</si>
  <si>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</si>
  <si>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</si>
  <si>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</si>
  <si>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</si>
  <si>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</si>
  <si>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</si>
  <si>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</si>
  <si>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</si>
  <si>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</si>
  <si>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</si>
  <si>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</si>
  <si>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</si>
  <si>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</si>
  <si>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</si>
  <si>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</si>
  <si>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</si>
  <si>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</si>
  <si>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</si>
  <si>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</si>
  <si>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</si>
  <si>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</si>
  <si>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</si>
  <si>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</si>
  <si>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</si>
  <si>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</si>
  <si>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</si>
  <si>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</si>
  <si>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</si>
  <si>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</si>
  <si>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</si>
  <si>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</si>
  <si>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</si>
  <si>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</si>
  <si>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</si>
  <si>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</si>
  <si>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</si>
  <si>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</si>
  <si>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</si>
  <si>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</si>
  <si>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</si>
  <si>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</si>
  <si>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</si>
  <si>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</si>
  <si>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</si>
  <si>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</si>
  <si>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</si>
  <si>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</si>
  <si>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</si>
  <si>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</si>
  <si>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</si>
  <si>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</si>
  <si>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</si>
  <si>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</si>
  <si>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</si>
  <si>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</si>
  <si>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</si>
  <si>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</si>
  <si>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</si>
  <si>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</si>
  <si>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</si>
  <si>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</si>
  <si>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</si>
  <si>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</si>
  <si>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</si>
  <si>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</si>
  <si>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</si>
  <si>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</si>
  <si>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</si>
  <si>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</si>
  <si>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</si>
  <si>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</si>
  <si>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</si>
  <si>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</si>
  <si>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</si>
  <si>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</si>
  <si>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</si>
  <si>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</si>
  <si>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</si>
  <si>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</si>
  <si>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</si>
  <si>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</si>
  <si>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</si>
  <si>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</si>
  <si>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</si>
  <si>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</si>
  <si>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</si>
  <si>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</si>
  <si>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</si>
  <si>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</si>
  <si>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</si>
  <si>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</si>
  <si>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</si>
  <si>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</si>
  <si>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</si>
  <si>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</si>
  <si>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</si>
  <si>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</si>
  <si>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</si>
  <si>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</si>
  <si>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</si>
  <si>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</si>
  <si>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</si>
  <si>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</si>
  <si>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</si>
  <si>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</si>
  <si>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</si>
  <si>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</si>
  <si>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</si>
  <si>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</si>
  <si>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</si>
  <si>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</si>
  <si>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</si>
  <si>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</si>
  <si>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</si>
  <si>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</si>
  <si>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</si>
  <si>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</si>
  <si>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</si>
  <si>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</si>
  <si>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</si>
  <si>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</si>
  <si>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</si>
  <si>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</si>
  <si>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</si>
  <si>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</si>
  <si>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</si>
  <si>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</si>
  <si>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</si>
  <si>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</si>
  <si>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</si>
  <si>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</si>
  <si>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</si>
  <si>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</si>
  <si>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</si>
  <si>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</si>
  <si>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</si>
  <si>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</si>
  <si>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</si>
  <si>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</si>
  <si>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</si>
  <si>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</si>
  <si>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</si>
  <si>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</si>
  <si>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</si>
  <si>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</si>
  <si>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</si>
  <si>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</si>
  <si>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</si>
  <si>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</si>
  <si>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</si>
  <si>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</si>
  <si>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</si>
  <si>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</si>
  <si>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</si>
  <si>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</si>
  <si>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</si>
  <si>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</si>
  <si>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</si>
  <si>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</si>
  <si>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</si>
  <si>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</si>
  <si>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</si>
  <si>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</si>
  <si>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</si>
  <si>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</si>
  <si>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</si>
  <si>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</si>
  <si>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</si>
  <si>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</si>
  <si>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</si>
  <si>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</si>
  <si>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</si>
  <si>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</si>
  <si>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</si>
  <si>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</si>
  <si>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</si>
  <si>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</si>
  <si>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</si>
  <si>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</si>
  <si>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</si>
  <si>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</si>
  <si>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</si>
  <si>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</si>
  <si>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</si>
  <si>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</si>
  <si>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</si>
  <si>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</si>
  <si>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</si>
  <si>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</si>
  <si>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</si>
  <si>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</si>
  <si>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</si>
  <si>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</si>
  <si>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</si>
  <si>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</si>
  <si>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</si>
  <si>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</si>
  <si>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</si>
  <si>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</si>
  <si>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</si>
  <si>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</si>
  <si>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</si>
  <si>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</si>
  <si>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</si>
  <si>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</si>
  <si>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</si>
  <si>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</si>
  <si>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</si>
  <si>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</si>
  <si>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</si>
  <si>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</si>
  <si>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</si>
  <si>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</si>
  <si>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</si>
  <si>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</si>
  <si>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</si>
  <si>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</si>
  <si>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</si>
  <si>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</si>
  <si>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</si>
  <si>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</si>
  <si>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</si>
  <si>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</si>
  <si>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</si>
  <si>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</si>
  <si>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</si>
  <si>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</si>
  <si>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</si>
  <si>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</si>
  <si>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</si>
  <si>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</si>
  <si>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</si>
  <si>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</si>
  <si>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</si>
  <si>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</si>
  <si>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</si>
  <si>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</si>
  <si>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</si>
  <si>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</si>
  <si>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</si>
  <si>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</si>
  <si>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</si>
  <si>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</si>
  <si>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</si>
  <si>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</si>
  <si>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</si>
  <si>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</si>
  <si>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</si>
  <si>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</si>
  <si>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</si>
  <si>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</si>
  <si>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</si>
  <si>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</si>
  <si>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</si>
  <si>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</si>
  <si>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</si>
  <si>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</si>
  <si>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</si>
  <si>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</si>
  <si>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</si>
  <si>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</si>
  <si>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</si>
  <si>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</si>
  <si>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</si>
  <si>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</si>
  <si>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</si>
  <si>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</si>
  <si>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</si>
  <si>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</si>
  <si>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</si>
  <si>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</si>
  <si>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</si>
  <si>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</si>
  <si>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</si>
  <si>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</si>
  <si>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</si>
  <si>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</si>
  <si>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</si>
  <si>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</si>
  <si>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</si>
  <si>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</si>
  <si>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</si>
  <si>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</si>
  <si>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</si>
  <si>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</si>
  <si>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</si>
  <si>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</si>
  <si>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</si>
  <si>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</si>
  <si>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</si>
  <si>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</si>
  <si>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</si>
  <si>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</si>
  <si>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</si>
  <si>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</si>
  <si>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</si>
  <si>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</si>
  <si>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</si>
  <si>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</si>
  <si>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</si>
  <si>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</si>
  <si>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</si>
  <si>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</si>
  <si>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</si>
  <si>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</si>
  <si>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</si>
  <si>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</si>
  <si>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</si>
  <si>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</si>
  <si>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</si>
  <si>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</si>
  <si>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</si>
  <si>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</si>
  <si>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</si>
  <si>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</si>
  <si>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</si>
  <si>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</si>
  <si>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</si>
  <si>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</si>
  <si>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</si>
  <si>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</si>
  <si>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</si>
  <si>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</si>
  <si>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</si>
  <si>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</si>
  <si>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</si>
  <si>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</si>
  <si>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</si>
  <si>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</si>
  <si>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</si>
  <si>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</si>
  <si>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</si>
  <si>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</si>
  <si>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</si>
  <si>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</si>
  <si>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</si>
  <si>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</si>
  <si>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</si>
  <si>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</si>
  <si>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</si>
  <si>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</si>
  <si>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</si>
  <si>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</si>
  <si>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</si>
  <si>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</si>
  <si>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</si>
  <si>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</si>
  <si>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</si>
  <si>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</si>
  <si>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</si>
  <si>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</si>
  <si>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</si>
  <si>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</si>
  <si>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</si>
  <si>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</si>
  <si>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</si>
  <si>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</si>
  <si>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</si>
  <si>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</si>
  <si>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</si>
  <si>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</si>
  <si>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</si>
  <si>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</si>
  <si>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</si>
  <si>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</si>
  <si>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</si>
  <si>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</si>
  <si>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</si>
  <si>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</si>
  <si>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</si>
  <si>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</si>
  <si>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</si>
  <si>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</si>
  <si>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</si>
  <si>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</si>
  <si>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</si>
  <si>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</si>
  <si>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</si>
  <si>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</si>
  <si>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</si>
  <si>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</si>
  <si>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</si>
  <si>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</si>
  <si>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</si>
  <si>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</si>
  <si>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</si>
  <si>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</si>
  <si>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</si>
  <si>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</si>
  <si>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</si>
  <si>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</si>
  <si>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</si>
  <si>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</si>
  <si>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</si>
  <si>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</si>
  <si>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</si>
  <si>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</si>
  <si>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</si>
  <si>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</si>
  <si>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</si>
  <si>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</si>
  <si>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</si>
  <si>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</si>
  <si>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</si>
  <si>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</si>
  <si>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</si>
  <si>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</si>
  <si>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</si>
  <si>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</si>
  <si>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</si>
  <si>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</si>
  <si>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</si>
  <si>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</si>
  <si>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</si>
  <si>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</si>
  <si>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</si>
  <si>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</si>
  <si>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</si>
  <si>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</si>
  <si>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</si>
  <si>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</si>
  <si>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</si>
  <si>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</si>
  <si>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</si>
  <si>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</si>
  <si>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</si>
  <si>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</si>
  <si>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</si>
  <si>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</si>
  <si>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</si>
  <si>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</si>
  <si>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</si>
  <si>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</si>
  <si>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</si>
  <si>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</si>
  <si>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</si>
  <si>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</si>
  <si>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</si>
  <si>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</si>
  <si>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</si>
  <si>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</si>
  <si>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</si>
  <si>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</si>
  <si>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</si>
  <si>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</si>
  <si>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</si>
  <si>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</si>
  <si>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</si>
  <si>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</si>
  <si>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</si>
  <si>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</si>
  <si>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</si>
  <si>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</si>
  <si>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</si>
  <si>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</si>
  <si>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</si>
  <si>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</si>
  <si>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</si>
  <si>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</si>
  <si>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</si>
  <si>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</si>
  <si>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</si>
  <si>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</si>
  <si>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</si>
  <si>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</si>
  <si>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</si>
  <si>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</si>
  <si>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</si>
  <si>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</si>
  <si>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</si>
  <si>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</si>
  <si>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</si>
  <si>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</si>
  <si>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</si>
  <si>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</si>
  <si>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</si>
  <si>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</si>
  <si>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</si>
  <si>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</si>
  <si>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</si>
  <si>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</si>
  <si>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</si>
  <si>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</si>
  <si>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</si>
  <si>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</si>
  <si>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</si>
  <si>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</si>
  <si>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</si>
  <si>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</si>
  <si>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</si>
  <si>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</si>
  <si>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</si>
  <si>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</si>
  <si>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</si>
  <si>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</si>
  <si>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</si>
  <si>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</si>
  <si>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</si>
  <si>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</si>
  <si>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</si>
  <si>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</si>
  <si>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</si>
  <si>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</si>
  <si>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</si>
  <si>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</si>
  <si>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</si>
  <si>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</si>
  <si>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</si>
  <si>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</si>
  <si>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</si>
  <si>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</si>
  <si>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</si>
  <si>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</si>
  <si>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</si>
  <si>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</si>
  <si>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</si>
  <si>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</si>
  <si>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</si>
  <si>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</si>
  <si>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</si>
  <si>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</si>
  <si>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</si>
  <si>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</si>
  <si>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</si>
  <si>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</si>
  <si>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</si>
  <si>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</si>
  <si>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</si>
  <si>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</si>
  <si>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</si>
  <si>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</si>
  <si>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</si>
  <si>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</si>
  <si>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</si>
  <si>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</si>
  <si>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</si>
  <si>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</si>
  <si>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</si>
  <si>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</si>
  <si>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</si>
  <si>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</si>
  <si>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</si>
  <si>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</si>
  <si>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</si>
  <si>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</si>
  <si>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</si>
  <si>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</si>
  <si>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</si>
  <si>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</si>
  <si>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</si>
  <si>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</si>
  <si>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</si>
  <si>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</si>
  <si>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</si>
  <si>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</si>
  <si>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</si>
  <si>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</si>
  <si>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</si>
  <si>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</si>
  <si>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</si>
  <si>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</si>
  <si>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</si>
  <si>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</si>
  <si>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</si>
  <si>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</si>
  <si>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</si>
  <si>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</si>
  <si>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</si>
  <si>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</si>
  <si>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</si>
  <si>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</si>
  <si>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</si>
  <si>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</si>
  <si>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</si>
  <si>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</si>
  <si>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</si>
  <si>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</si>
  <si>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</si>
  <si>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</si>
  <si>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</si>
  <si>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</si>
  <si>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</si>
  <si>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</si>
  <si>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</si>
  <si>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</si>
  <si>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</si>
  <si>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</si>
  <si>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</si>
  <si>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</si>
  <si>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</si>
  <si>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</si>
  <si>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</si>
  <si>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</si>
  <si>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</si>
  <si>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</si>
  <si>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</si>
  <si>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</si>
  <si>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</si>
  <si>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</si>
  <si>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</si>
  <si>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</si>
  <si>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</si>
  <si>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</si>
  <si>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</si>
  <si>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</si>
  <si>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</si>
  <si>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</si>
  <si>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</si>
  <si>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</si>
  <si>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</si>
  <si>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</si>
  <si>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</si>
  <si>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</si>
  <si>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</si>
  <si>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</si>
  <si>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</si>
  <si>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</si>
  <si>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</si>
  <si>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</si>
  <si>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</si>
  <si>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</si>
  <si>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</si>
  <si>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</si>
  <si>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</si>
  <si>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</si>
  <si>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</si>
  <si>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</si>
  <si>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</si>
  <si>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</si>
  <si>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</si>
  <si>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</si>
  <si>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</si>
  <si>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</si>
  <si>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</si>
  <si>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</si>
  <si>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</si>
  <si>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</si>
  <si>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</si>
  <si>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</si>
  <si>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</si>
  <si>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</si>
  <si>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</si>
  <si>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</si>
  <si>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</si>
  <si>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</si>
  <si>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</si>
  <si>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</si>
  <si>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</si>
  <si>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</si>
  <si>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</si>
  <si>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</si>
  <si>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</si>
  <si>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</si>
  <si>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</si>
  <si>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</si>
  <si>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</si>
  <si>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</si>
  <si>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</si>
  <si>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</si>
  <si>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</si>
  <si>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</si>
  <si>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</si>
  <si>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</si>
  <si>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</si>
  <si>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</si>
  <si>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</si>
  <si>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</si>
  <si>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</si>
  <si>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</si>
  <si>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</si>
  <si>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</si>
  <si>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</si>
  <si>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</si>
  <si>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</si>
  <si>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</si>
  <si>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</si>
  <si>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</si>
  <si>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</si>
  <si>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</si>
  <si>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</si>
  <si>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</si>
  <si>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</si>
  <si>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</si>
  <si>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</si>
  <si>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</si>
  <si>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</si>
  <si>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</si>
  <si>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</si>
  <si>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</si>
  <si>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</si>
  <si>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</si>
  <si>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</si>
  <si>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</si>
  <si>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</si>
  <si>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</si>
  <si>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</si>
  <si>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</si>
  <si>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</si>
  <si>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</si>
  <si>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</si>
  <si>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</si>
  <si>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</si>
  <si>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</si>
  <si>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</si>
  <si>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</si>
  <si>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</si>
  <si>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</si>
  <si>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</si>
  <si>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</si>
  <si>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</si>
  <si>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</si>
  <si>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</si>
  <si>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</si>
  <si>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</si>
  <si>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</si>
  <si>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</si>
  <si>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</si>
  <si>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</si>
  <si>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</si>
  <si>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</si>
  <si>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</si>
  <si>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</si>
  <si>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</si>
  <si>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</si>
  <si>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</si>
  <si>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</si>
  <si>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</si>
  <si>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</si>
  <si>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</si>
  <si>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</si>
  <si>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</si>
  <si>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</si>
  <si>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</si>
  <si>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</si>
  <si>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</si>
  <si>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</si>
  <si>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</si>
  <si>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</si>
  <si>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</si>
  <si>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</si>
  <si>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</si>
  <si>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</si>
  <si>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</si>
  <si>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</si>
  <si>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</si>
  <si>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</si>
  <si>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</si>
  <si>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</si>
  <si>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</si>
  <si>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</si>
  <si>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</si>
  <si>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</si>
  <si>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</si>
  <si>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</si>
  <si>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</si>
  <si>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</si>
  <si>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</si>
  <si>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</si>
  <si>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</si>
  <si>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</si>
  <si>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</si>
  <si>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</si>
  <si>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</si>
  <si>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</si>
  <si>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</si>
  <si>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</si>
  <si>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</si>
  <si>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</si>
  <si>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</si>
  <si>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</si>
  <si>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</si>
  <si>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</si>
  <si>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</si>
  <si>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</si>
  <si>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</si>
  <si>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</si>
  <si>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</si>
  <si>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</si>
  <si>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</si>
  <si>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</si>
  <si>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</si>
  <si>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</si>
  <si>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</si>
  <si>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</si>
  <si>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</si>
  <si>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</si>
  <si>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</si>
  <si>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</si>
  <si>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</si>
  <si>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</si>
  <si>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</si>
  <si>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</si>
  <si>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</si>
  <si>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</si>
  <si>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</si>
  <si>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</si>
  <si>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</si>
  <si>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</si>
  <si>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</si>
  <si>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</si>
  <si>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</si>
  <si>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</si>
  <si>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</si>
  <si>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</si>
  <si>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</si>
  <si>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</si>
  <si>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</si>
  <si>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</si>
  <si>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</si>
  <si>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</si>
  <si>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</si>
  <si>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</si>
  <si>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</si>
  <si>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</si>
  <si>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</si>
  <si>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</si>
  <si>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</si>
  <si>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</si>
  <si>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</si>
  <si>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</si>
  <si>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</si>
  <si>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</si>
  <si>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</si>
  <si>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</si>
  <si>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</si>
  <si>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</si>
  <si>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</si>
  <si>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</si>
  <si>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</si>
  <si>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</si>
  <si>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</si>
  <si>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</si>
  <si>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</si>
  <si>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</si>
  <si>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</si>
  <si>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</si>
  <si>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</si>
  <si>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</si>
  <si>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</si>
  <si>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</si>
  <si>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</si>
  <si>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</si>
  <si>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</si>
  <si>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</si>
  <si>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</si>
  <si>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</si>
  <si>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</si>
  <si>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</si>
  <si>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</si>
  <si>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</si>
  <si>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</si>
  <si>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</si>
  <si>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</si>
  <si>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</si>
  <si>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</si>
  <si>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</si>
  <si>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</si>
  <si>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</si>
  <si>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</si>
  <si>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</si>
  <si>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</si>
  <si>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</si>
  <si>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</si>
  <si>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</si>
  <si>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</si>
  <si>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</si>
  <si>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</si>
  <si>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</si>
  <si>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</si>
  <si>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</si>
  <si>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</si>
  <si>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</si>
  <si>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</si>
  <si>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</si>
  <si>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</si>
  <si>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</si>
  <si>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</si>
  <si>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</si>
  <si>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</si>
  <si>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</si>
  <si>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</si>
  <si>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</si>
  <si>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</si>
  <si>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</si>
  <si>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</si>
  <si>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</si>
  <si>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</si>
  <si>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</si>
  <si>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</si>
  <si>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</si>
  <si>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</si>
  <si>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</si>
  <si>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</si>
  <si>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</si>
  <si>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</si>
  <si>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</si>
  <si>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</si>
  <si>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</si>
  <si>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</si>
  <si>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</si>
  <si>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</si>
  <si>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</si>
  <si>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</si>
  <si>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</si>
  <si>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</si>
  <si>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</si>
  <si>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</si>
  <si>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</si>
  <si>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</si>
  <si>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</si>
  <si>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</si>
  <si>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</si>
  <si>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</si>
  <si>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</si>
  <si>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</si>
  <si>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</si>
  <si>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</si>
  <si>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</si>
  <si>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</si>
  <si>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</si>
  <si>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</si>
  <si>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</si>
  <si>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</si>
  <si>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</si>
  <si>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</si>
  <si>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</si>
  <si>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</si>
  <si>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</si>
  <si>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</si>
  <si>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</si>
  <si>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</si>
  <si>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</si>
  <si>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</si>
  <si>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</si>
  <si>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</si>
  <si>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</si>
  <si>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</si>
  <si>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</si>
  <si>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</si>
  <si>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</si>
  <si>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</si>
  <si>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</si>
  <si>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</si>
  <si>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</si>
  <si>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</si>
  <si>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</si>
  <si>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</si>
  <si>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</si>
  <si>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</si>
  <si>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</si>
  <si>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</si>
  <si>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</si>
  <si>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</si>
  <si>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</si>
  <si>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</si>
  <si>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</si>
  <si>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</si>
  <si>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</si>
  <si>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</si>
  <si>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</si>
  <si>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</si>
  <si>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</si>
  <si>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</si>
  <si>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</si>
  <si>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</si>
  <si>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</si>
  <si>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</si>
  <si>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</si>
  <si>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</si>
  <si>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</si>
  <si>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</si>
  <si>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</si>
  <si>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</si>
  <si>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</si>
  <si>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</si>
  <si>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</si>
  <si>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</si>
  <si>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</si>
  <si>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</si>
  <si>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</si>
  <si>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</si>
  <si>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</si>
  <si>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</si>
  <si>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</si>
  <si>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</si>
  <si>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</si>
  <si>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</si>
  <si>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</si>
  <si>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</si>
  <si>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</si>
  <si>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</si>
  <si>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</si>
  <si>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</si>
  <si>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</si>
  <si>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</si>
  <si>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</si>
  <si>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</si>
  <si>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</si>
  <si>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</si>
  <si>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</si>
  <si>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</si>
  <si>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</si>
  <si>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</si>
  <si>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</si>
  <si>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</si>
  <si>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</si>
  <si>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</si>
  <si>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</si>
  <si>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</si>
  <si>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</si>
  <si>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</si>
  <si>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</si>
  <si>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</si>
  <si>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</si>
  <si>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</si>
  <si>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</si>
  <si>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</si>
  <si>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</si>
  <si>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</si>
  <si>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</si>
  <si>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</si>
  <si>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</si>
  <si>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</si>
  <si>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</si>
  <si>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</si>
  <si>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</si>
  <si>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</si>
  <si>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</si>
  <si>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</si>
  <si>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</si>
  <si>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</si>
  <si>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</si>
  <si>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</si>
  <si>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</si>
  <si>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</si>
  <si>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</si>
  <si>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</si>
  <si>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</si>
  <si>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</si>
  <si>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</si>
  <si>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</si>
  <si>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</si>
  <si>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</si>
  <si>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</si>
  <si>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</si>
  <si>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</si>
  <si>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</si>
  <si>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</si>
  <si>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</si>
  <si>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</si>
  <si>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</si>
  <si>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</si>
  <si>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</si>
  <si>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</si>
  <si>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</si>
  <si>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</si>
  <si>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</si>
  <si>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</si>
  <si>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</si>
  <si>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</si>
  <si>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</si>
  <si>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</si>
  <si>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</si>
  <si>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</si>
  <si>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</si>
  <si>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</si>
  <si>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</si>
  <si>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</si>
  <si>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</si>
  <si>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</si>
  <si>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</si>
  <si>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</si>
  <si>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</si>
  <si>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</si>
  <si>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</si>
  <si>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</si>
  <si>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</si>
  <si>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</si>
  <si>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</si>
  <si>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</si>
  <si>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</si>
  <si>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</si>
  <si>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</si>
  <si>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</si>
  <si>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</si>
  <si>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</si>
  <si>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镇江城建产业集团有限公司（财富广场）</t>
    <phoneticPr fontId="3" type="noConversion"/>
  </si>
  <si>
    <t>序号</t>
  </si>
  <si>
    <t>户室号</t>
  </si>
  <si>
    <t>所在层</t>
  </si>
  <si>
    <t>建筑面积（㎡）</t>
  </si>
  <si>
    <t>分摊面积（㎡）</t>
  </si>
  <si>
    <t>-1层</t>
  </si>
  <si>
    <t>103</t>
  </si>
  <si>
    <t>1层</t>
  </si>
  <si>
    <t>105</t>
  </si>
  <si>
    <t>106</t>
  </si>
  <si>
    <t>107</t>
  </si>
  <si>
    <t>108</t>
  </si>
  <si>
    <t>109</t>
  </si>
  <si>
    <t>110</t>
  </si>
  <si>
    <t>111</t>
  </si>
  <si>
    <t>112</t>
  </si>
  <si>
    <t>113</t>
  </si>
  <si>
    <t>114</t>
  </si>
  <si>
    <t>115</t>
  </si>
  <si>
    <t>117</t>
  </si>
  <si>
    <t>118</t>
  </si>
  <si>
    <t>119</t>
  </si>
  <si>
    <t>120</t>
  </si>
  <si>
    <t>121</t>
  </si>
  <si>
    <t>122</t>
  </si>
  <si>
    <t>203</t>
  </si>
  <si>
    <t>2层</t>
    <phoneticPr fontId="3" type="noConversion"/>
  </si>
  <si>
    <t>204</t>
  </si>
  <si>
    <t>205</t>
  </si>
  <si>
    <t>206</t>
  </si>
  <si>
    <t>207</t>
  </si>
  <si>
    <t>208</t>
  </si>
  <si>
    <t>209</t>
  </si>
  <si>
    <t>210</t>
  </si>
  <si>
    <t>211</t>
  </si>
  <si>
    <t>212</t>
  </si>
  <si>
    <t>213</t>
  </si>
  <si>
    <t>215</t>
  </si>
  <si>
    <t>216</t>
  </si>
  <si>
    <t>217</t>
  </si>
  <si>
    <t>218</t>
  </si>
  <si>
    <t>219</t>
  </si>
  <si>
    <t>220</t>
  </si>
  <si>
    <t>303</t>
  </si>
  <si>
    <t>3层</t>
    <phoneticPr fontId="3" type="noConversion"/>
  </si>
  <si>
    <t>304</t>
  </si>
  <si>
    <t>305</t>
  </si>
  <si>
    <t>306</t>
  </si>
  <si>
    <t>307</t>
  </si>
  <si>
    <t>308</t>
  </si>
  <si>
    <t>309</t>
  </si>
  <si>
    <t>311</t>
  </si>
  <si>
    <t>312</t>
  </si>
  <si>
    <t>313</t>
  </si>
  <si>
    <t>314</t>
  </si>
  <si>
    <t>315</t>
  </si>
  <si>
    <t>403</t>
  </si>
  <si>
    <t>4层</t>
    <phoneticPr fontId="3" type="noConversion"/>
  </si>
  <si>
    <t>404</t>
  </si>
  <si>
    <t>405</t>
  </si>
  <si>
    <t>406</t>
  </si>
  <si>
    <t>407</t>
  </si>
  <si>
    <t>408</t>
  </si>
  <si>
    <t>409</t>
  </si>
  <si>
    <t>410</t>
  </si>
  <si>
    <t>411</t>
  </si>
  <si>
    <t>412</t>
  </si>
  <si>
    <t>413</t>
  </si>
  <si>
    <t>414</t>
  </si>
  <si>
    <t>503</t>
  </si>
  <si>
    <t>5层</t>
    <phoneticPr fontId="3" type="noConversion"/>
  </si>
  <si>
    <t>504</t>
  </si>
  <si>
    <t>505</t>
  </si>
  <si>
    <t>506</t>
  </si>
  <si>
    <t>507</t>
  </si>
  <si>
    <t>508</t>
  </si>
  <si>
    <t>509</t>
  </si>
  <si>
    <t>510</t>
  </si>
  <si>
    <t>1-6层</t>
  </si>
  <si>
    <t>511</t>
  </si>
  <si>
    <t>5层</t>
  </si>
  <si>
    <t>603</t>
  </si>
  <si>
    <t>6层</t>
    <phoneticPr fontId="3" type="noConversion"/>
  </si>
  <si>
    <t>604</t>
  </si>
  <si>
    <t>606</t>
  </si>
  <si>
    <t>607</t>
  </si>
  <si>
    <t>608</t>
  </si>
  <si>
    <t>609</t>
  </si>
  <si>
    <t>610</t>
  </si>
  <si>
    <t>612</t>
  </si>
  <si>
    <t>701</t>
  </si>
  <si>
    <t>7层</t>
  </si>
  <si>
    <t>702</t>
  </si>
  <si>
    <t>1-7层</t>
  </si>
  <si>
    <t>是</t>
  </si>
  <si>
    <t>地上</t>
  </si>
  <si>
    <t>成新度</t>
  </si>
  <si>
    <t>售价</t>
  </si>
  <si>
    <t>商业</t>
    <phoneticPr fontId="31" type="noConversion"/>
  </si>
  <si>
    <t>正常</t>
  </si>
  <si>
    <t>按租金收入计税</t>
  </si>
  <si>
    <t>钢混</t>
  </si>
  <si>
    <t>非生产用房</t>
  </si>
  <si>
    <t>否</t>
  </si>
  <si>
    <t>出让</t>
  </si>
  <si>
    <t>企业</t>
  </si>
  <si>
    <t>其他：</t>
  </si>
  <si>
    <t>房地产抵押价值</t>
  </si>
  <si>
    <t>抵押</t>
  </si>
  <si>
    <t>郑燚</t>
  </si>
  <si>
    <t>王鹏</t>
  </si>
  <si>
    <t>现房</t>
  </si>
  <si>
    <t>比较法-商业</t>
  </si>
  <si>
    <t>收益法</t>
  </si>
  <si>
    <t>收益比率</t>
  </si>
  <si>
    <t>项目局部</t>
  </si>
  <si>
    <r>
      <t>1</t>
    </r>
    <r>
      <rPr>
        <sz val="10"/>
        <color indexed="8"/>
        <rFont val="宋体"/>
        <family val="3"/>
        <charset val="134"/>
      </rPr>
      <t>至</t>
    </r>
    <r>
      <rPr>
        <sz val="10"/>
        <color indexed="8"/>
        <rFont val="Arial"/>
        <family val="2"/>
      </rPr>
      <t>6</t>
    </r>
    <phoneticPr fontId="25" type="noConversion"/>
  </si>
  <si>
    <t>1至6</t>
  </si>
  <si>
    <r>
      <t>1</t>
    </r>
    <r>
      <rPr>
        <sz val="10"/>
        <color indexed="8"/>
        <rFont val="宋体"/>
        <family val="3"/>
        <charset val="134"/>
      </rPr>
      <t>至</t>
    </r>
    <r>
      <rPr>
        <sz val="10"/>
        <color indexed="8"/>
        <rFont val="Arial"/>
        <family val="2"/>
      </rPr>
      <t>7</t>
    </r>
    <phoneticPr fontId="25" type="noConversion"/>
  </si>
  <si>
    <t>1至7</t>
  </si>
  <si>
    <t>建筑物价值</t>
  </si>
  <si>
    <t>分摊土地面积</t>
  </si>
  <si>
    <t>建筑面积</t>
  </si>
  <si>
    <t>镇江城市建设产业集团有限公司</t>
    <phoneticPr fontId="6" type="noConversion"/>
  </si>
  <si>
    <r>
      <rPr>
        <sz val="12"/>
        <color theme="9" tint="-0.249977111117893"/>
        <rFont val="宋体"/>
        <family val="3"/>
        <charset val="134"/>
      </rPr>
      <t>解放路</t>
    </r>
    <r>
      <rPr>
        <sz val="12"/>
        <color theme="9" tint="-0.249977111117893"/>
        <rFont val="Arial"/>
        <family val="2"/>
      </rPr>
      <t>27</t>
    </r>
    <r>
      <rPr>
        <sz val="12"/>
        <color theme="9" tint="-0.249977111117893"/>
        <rFont val="宋体"/>
        <family val="3"/>
        <charset val="134"/>
      </rPr>
      <t>号镇江财富广场</t>
    </r>
    <r>
      <rPr>
        <sz val="12"/>
        <color theme="9" tint="-0.249977111117893"/>
        <rFont val="Arial"/>
        <family val="2"/>
      </rPr>
      <t>8</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室等共</t>
    </r>
    <r>
      <rPr>
        <sz val="12"/>
        <color theme="9" tint="-0.249977111117893"/>
        <rFont val="Arial"/>
        <family val="2"/>
      </rPr>
      <t>79</t>
    </r>
    <r>
      <rPr>
        <sz val="12"/>
        <color theme="9" tint="-0.249977111117893"/>
        <rFont val="宋体"/>
        <family val="3"/>
        <charset val="134"/>
      </rPr>
      <t>套商业用房</t>
    </r>
    <phoneticPr fontId="6" type="noConversion"/>
  </si>
  <si>
    <t>中信信托有限责任公司</t>
    <phoneticPr fontId="6" type="noConversion"/>
  </si>
  <si>
    <r>
      <rPr>
        <sz val="12"/>
        <color theme="9" tint="-0.249977111117893"/>
        <rFont val="宋体"/>
        <family val="3"/>
        <charset val="134"/>
      </rPr>
      <t>商业</t>
    </r>
    <r>
      <rPr>
        <sz val="12"/>
        <color theme="9" tint="-0.249977111117893"/>
        <rFont val="Arial"/>
        <family val="2"/>
      </rPr>
      <t>31.38</t>
    </r>
    <r>
      <rPr>
        <sz val="12"/>
        <color theme="9" tint="-0.249977111117893"/>
        <rFont val="宋体"/>
        <family val="3"/>
        <charset val="134"/>
      </rPr>
      <t>年</t>
    </r>
    <phoneticPr fontId="6" type="noConversion"/>
  </si>
  <si>
    <t>商业</t>
    <phoneticPr fontId="6" type="noConversion"/>
  </si>
  <si>
    <t>通路</t>
  </si>
  <si>
    <t>通电</t>
  </si>
  <si>
    <t>通讯</t>
  </si>
  <si>
    <t>通上水</t>
  </si>
  <si>
    <t>通下水</t>
  </si>
  <si>
    <t>请录依据文件名称：http://wjj.wuxi.gov.cn/doc/2014/10/20/333448.shtml 江苏省物价局、财政厅关于镇江市 
城市市政公用基础设施配套费问题的批复 苏价服[2003]115号</t>
    <phoneticPr fontId="3" type="noConversion"/>
  </si>
  <si>
    <t>江苏省镇江市京口区</t>
    <phoneticPr fontId="6" type="noConversion"/>
  </si>
  <si>
    <t>30-40（含）</t>
  </si>
  <si>
    <r>
      <rPr>
        <sz val="12"/>
        <color theme="9" tint="-0.249977111117893"/>
        <rFont val="宋体"/>
        <family val="3"/>
        <charset val="134"/>
      </rPr>
      <t>《抵押物清单》、《不动产首次登记证明书》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）镇江市不动产权第</t>
    </r>
    <r>
      <rPr>
        <sz val="12"/>
        <color theme="9" tint="-0.249977111117893"/>
        <rFont val="Arial"/>
        <family val="2"/>
      </rPr>
      <t>0014289</t>
    </r>
    <r>
      <rPr>
        <sz val="12"/>
        <color theme="9" tint="-0.249977111117893"/>
        <rFont val="宋体"/>
        <family val="3"/>
        <charset val="134"/>
      </rPr>
      <t>号等</t>
    </r>
    <r>
      <rPr>
        <sz val="12"/>
        <color theme="9" tint="-0.249977111117893"/>
        <rFont val="Arial"/>
        <family val="2"/>
      </rPr>
      <t>79</t>
    </r>
    <r>
      <rPr>
        <sz val="12"/>
        <color theme="9" tint="-0.249977111117893"/>
        <rFont val="宋体"/>
        <family val="3"/>
        <charset val="134"/>
      </rPr>
      <t>本</t>
    </r>
    <r>
      <rPr>
        <sz val="12"/>
        <color theme="9" tint="-0.249977111117893"/>
        <rFont val="Arial"/>
        <family val="2"/>
      </rPr>
      <t>]</t>
    </r>
    <phoneticPr fontId="6" type="noConversion"/>
  </si>
  <si>
    <t>独立商业</t>
  </si>
  <si>
    <t>押二</t>
  </si>
  <si>
    <t>钢混</t>
    <phoneticPr fontId="31" type="noConversion"/>
  </si>
  <si>
    <t>比较法-住宅</t>
  </si>
  <si>
    <t>103</t>
    <phoneticPr fontId="25" type="noConversion"/>
  </si>
  <si>
    <t>好</t>
  </si>
  <si>
    <t>六通</t>
  </si>
  <si>
    <t>较好</t>
  </si>
  <si>
    <t>一般</t>
  </si>
  <si>
    <t>多面临街</t>
  </si>
  <si>
    <t>多面临街</t>
    <phoneticPr fontId="31" type="noConversion"/>
  </si>
  <si>
    <t>较好</t>
    <phoneticPr fontId="31" type="noConversion"/>
  </si>
  <si>
    <t>一般</t>
    <phoneticPr fontId="31" type="noConversion"/>
  </si>
  <si>
    <t>较大</t>
  </si>
  <si>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</si>
  <si>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</si>
  <si>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</si>
  <si>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精装修</t>
  </si>
  <si>
    <t>精装修</t>
    <phoneticPr fontId="31" type="noConversion"/>
  </si>
  <si>
    <t>六通</t>
    <phoneticPr fontId="31" type="noConversion"/>
  </si>
  <si>
    <t>毛坯</t>
  </si>
  <si>
    <t>毛坯</t>
    <phoneticPr fontId="31" type="noConversion"/>
  </si>
  <si>
    <t>较好</t>
    <phoneticPr fontId="31" type="noConversion"/>
  </si>
  <si>
    <t>可餐饮</t>
    <phoneticPr fontId="31" type="noConversion"/>
  </si>
  <si>
    <t>不可餐饮</t>
  </si>
  <si>
    <t>不可餐饮</t>
    <phoneticPr fontId="31" type="noConversion"/>
  </si>
  <si>
    <t>标准层高</t>
  </si>
  <si>
    <t>标准层高</t>
    <phoneticPr fontId="31" type="noConversion"/>
  </si>
  <si>
    <t>超高层高</t>
    <phoneticPr fontId="31" type="noConversion"/>
  </si>
  <si>
    <t>大</t>
    <phoneticPr fontId="31" type="noConversion"/>
  </si>
  <si>
    <t>江滨路与北固湾路交汇处</t>
    <phoneticPr fontId="3" type="noConversion"/>
  </si>
  <si>
    <t>商业街</t>
    <phoneticPr fontId="31" type="noConversion"/>
  </si>
  <si>
    <t>6
4</t>
    <phoneticPr fontId="3" type="noConversion"/>
  </si>
  <si>
    <t>备选</t>
    <phoneticPr fontId="3" type="noConversion"/>
  </si>
  <si>
    <t>目标</t>
    <phoneticPr fontId="25" type="noConversion"/>
  </si>
  <si>
    <t>单价</t>
    <phoneticPr fontId="25" type="noConversion"/>
  </si>
  <si>
    <r>
      <t>-1</t>
    </r>
    <r>
      <rPr>
        <sz val="10"/>
        <color indexed="8"/>
        <rFont val="宋体"/>
        <family val="3"/>
        <charset val="134"/>
      </rPr>
      <t>至</t>
    </r>
    <r>
      <rPr>
        <sz val="10"/>
        <color indexed="8"/>
        <rFont val="Arial"/>
        <family val="2"/>
      </rPr>
      <t>7</t>
    </r>
    <phoneticPr fontId="25" type="noConversion"/>
  </si>
  <si>
    <t>合一层</t>
    <phoneticPr fontId="25" type="noConversion"/>
  </si>
  <si>
    <r>
      <t>-1</t>
    </r>
    <r>
      <rPr>
        <sz val="10"/>
        <color indexed="8"/>
        <rFont val="宋体"/>
        <family val="3"/>
        <charset val="134"/>
      </rPr>
      <t>至</t>
    </r>
    <r>
      <rPr>
        <sz val="10"/>
        <color indexed="8"/>
        <rFont val="Arial"/>
        <family val="2"/>
      </rPr>
      <t>7</t>
    </r>
    <phoneticPr fontId="25" type="noConversion"/>
  </si>
  <si>
    <t>-1</t>
    <phoneticPr fontId="143" type="noConversion"/>
  </si>
  <si>
    <t>1</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</si>
  <si>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</si>
  <si>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</si>
  <si>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</si>
  <si>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</si>
  <si>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</si>
  <si>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7</t>
    <phoneticPr fontId="143" type="noConversion"/>
  </si>
  <si>
    <t>黄山西路19号</t>
    <phoneticPr fontId="3" type="noConversion"/>
  </si>
  <si>
    <t>万达广场</t>
    <phoneticPr fontId="3" type="noConversion"/>
  </si>
  <si>
    <t>招商香槟道</t>
    <phoneticPr fontId="3" type="noConversion"/>
  </si>
  <si>
    <t>协信太古城</t>
    <phoneticPr fontId="3" type="noConversion"/>
  </si>
  <si>
    <t>镇江市润州区中山西路88号</t>
    <phoneticPr fontId="3" type="noConversion"/>
  </si>
  <si>
    <t>较小</t>
    <phoneticPr fontId="31" type="noConversion"/>
  </si>
  <si>
    <t>106</t>
    <phoneticPr fontId="3" type="noConversion"/>
  </si>
  <si>
    <t>105</t>
    <phoneticPr fontId="25" type="noConversion"/>
  </si>
  <si>
    <t>序号</t>
    <phoneticPr fontId="143" type="noConversion"/>
  </si>
  <si>
    <t>《不动产首次登记证明书》证号</t>
    <phoneticPr fontId="143" type="noConversion"/>
  </si>
  <si>
    <t>不动产权利人</t>
    <phoneticPr fontId="143" type="noConversion"/>
  </si>
  <si>
    <t>坐落</t>
    <phoneticPr fontId="143" type="noConversion"/>
  </si>
  <si>
    <t>不动产单元号</t>
    <phoneticPr fontId="143" type="noConversion"/>
  </si>
  <si>
    <t>用途</t>
    <phoneticPr fontId="143" type="noConversion"/>
  </si>
  <si>
    <t>建筑面积</t>
    <phoneticPr fontId="143" type="noConversion"/>
  </si>
  <si>
    <t>土地面积</t>
    <phoneticPr fontId="143" type="noConversion"/>
  </si>
  <si>
    <t>苏（2018）镇江市不动产权第0014289号</t>
    <phoneticPr fontId="143" type="noConversion"/>
  </si>
  <si>
    <t>镇江城市建设产业集团有限公司</t>
    <phoneticPr fontId="143" type="noConversion"/>
  </si>
  <si>
    <t>解放路27号镇江财富广场8幢-101室</t>
    <phoneticPr fontId="143" type="noConversion"/>
  </si>
  <si>
    <t>321102013001GB01465F00080001</t>
    <phoneticPr fontId="143" type="noConversion"/>
  </si>
  <si>
    <t>商业</t>
    <phoneticPr fontId="143" type="noConversion"/>
  </si>
  <si>
    <t>苏（2018）镇江市不动产权第0014290号</t>
    <phoneticPr fontId="143" type="noConversion"/>
  </si>
  <si>
    <t>解放路27号镇江财富广场8幢103室</t>
    <phoneticPr fontId="143" type="noConversion"/>
  </si>
  <si>
    <t>321102013001GB01465F00080003</t>
    <phoneticPr fontId="143" type="noConversion"/>
  </si>
  <si>
    <t>苏（2018）镇江市不动产权第0014291号</t>
  </si>
  <si>
    <t>解放路27号镇江财富广场8幢105室</t>
    <phoneticPr fontId="143" type="noConversion"/>
  </si>
  <si>
    <t>321102013001GB01465F00080004</t>
  </si>
  <si>
    <t>苏（2018）镇江市不动产权第0014293号</t>
    <phoneticPr fontId="143" type="noConversion"/>
  </si>
  <si>
    <t>解放路27号镇江财富广场8幢106室</t>
  </si>
  <si>
    <t>321102013001GB01465F00080005</t>
  </si>
  <si>
    <t>苏（2018）镇江市不动产权第0014294号</t>
  </si>
  <si>
    <t>解放路27号镇江财富广场8幢107室</t>
  </si>
  <si>
    <t>321102013001GB01465F00080006</t>
  </si>
  <si>
    <t>苏（2018）镇江市不动产权第0014295号</t>
  </si>
  <si>
    <t>解放路27号镇江财富广场8幢108室</t>
  </si>
  <si>
    <t>321102013001GB01465F00080007</t>
  </si>
  <si>
    <t>苏（2018）镇江市不动产权第0014296号</t>
  </si>
  <si>
    <t>解放路27号镇江财富广场8幢109室</t>
  </si>
  <si>
    <t>321102013001GB01465F00080008</t>
  </si>
  <si>
    <t>苏（2018）镇江市不动产权第0014297号</t>
  </si>
  <si>
    <t>解放路27号镇江财富广场8幢110室</t>
  </si>
  <si>
    <t>321102013001GB01465F00080009</t>
  </si>
  <si>
    <t>苏（2018）镇江市不动产权第0014298号</t>
  </si>
  <si>
    <t>解放路27号镇江财富广场8幢111室</t>
  </si>
  <si>
    <t>321102013001GB01465F00080010</t>
  </si>
  <si>
    <t>苏（2018）镇江市不动产权第0014299号</t>
  </si>
  <si>
    <t>解放路27号镇江财富广场8幢112室</t>
  </si>
  <si>
    <t>321102013001GB01465F00080011</t>
  </si>
  <si>
    <t>苏（2018）镇江市不动产权第0014300号</t>
  </si>
  <si>
    <t>解放路27号镇江财富广场8幢113室</t>
  </si>
  <si>
    <t>321102013001GB01465F00080012</t>
  </si>
  <si>
    <t>苏（2018）镇江市不动产权第0014301号</t>
  </si>
  <si>
    <t>解放路27号镇江财富广场8幢114室</t>
  </si>
  <si>
    <t>321102013001GB01465F00080013</t>
  </si>
  <si>
    <t>苏（2018）镇江市不动产权第0014302号</t>
  </si>
  <si>
    <t>解放路27号镇江财富广场8幢115室</t>
  </si>
  <si>
    <t>321102013001GB01465F00080014</t>
  </si>
  <si>
    <t>苏（2018）镇江市不动产权第0014304号</t>
    <phoneticPr fontId="143" type="noConversion"/>
  </si>
  <si>
    <t>解放路27号镇江财富广场8幢117室</t>
    <phoneticPr fontId="143" type="noConversion"/>
  </si>
  <si>
    <t>321102013001GB01465F00080016</t>
    <phoneticPr fontId="143" type="noConversion"/>
  </si>
  <si>
    <t>苏（2018）镇江市不动产权第0014305号</t>
  </si>
  <si>
    <t>解放路27号镇江财富广场8幢118室</t>
  </si>
  <si>
    <t>321102013001GB01465F00080017</t>
  </si>
  <si>
    <t>苏（2018）镇江市不动产权第0014306号</t>
  </si>
  <si>
    <t>解放路27号镇江财富广场8幢119室</t>
  </si>
  <si>
    <t>321102013001GB01465F00080018</t>
  </si>
  <si>
    <t>苏（2018）镇江市不动产权第0014307号</t>
  </si>
  <si>
    <t>解放路27号镇江财富广场8幢120室</t>
  </si>
  <si>
    <t>321102013001GB01465F00080019</t>
  </si>
  <si>
    <t>苏（2018）镇江市不动产权第0014308号</t>
  </si>
  <si>
    <t>解放路27号镇江财富广场8幢121室</t>
  </si>
  <si>
    <t>321102013001GB01465F00080020</t>
  </si>
  <si>
    <t>苏（2018）镇江市不动产权第0014309号</t>
  </si>
  <si>
    <t>解放路27号镇江财富广场8幢122室</t>
  </si>
  <si>
    <t>321102013001GB01465F00080021</t>
  </si>
  <si>
    <t>苏（2018）镇江市不动产权第0014310号</t>
  </si>
  <si>
    <t>解放路27号镇江财富广场8幢203室</t>
    <phoneticPr fontId="143" type="noConversion"/>
  </si>
  <si>
    <t>321102013001GB01465F00080022</t>
  </si>
  <si>
    <t>苏（2018）镇江市不动产权第0014311号</t>
  </si>
  <si>
    <t>解放路27号镇江财富广场8幢204室</t>
  </si>
  <si>
    <t>321102013001GB01465F00080023</t>
  </si>
  <si>
    <t>苏（2018）镇江市不动产权第0014312号</t>
  </si>
  <si>
    <t>解放路27号镇江财富广场8幢205室</t>
  </si>
  <si>
    <t>321102013001GB01465F00080024</t>
  </si>
  <si>
    <t>苏（2018）镇江市不动产权第0014313号</t>
  </si>
  <si>
    <t>解放路27号镇江财富广场8幢206室</t>
  </si>
  <si>
    <t>321102013001GB01465F00080025</t>
  </si>
  <si>
    <t>苏（2018）镇江市不动产权第0014314号</t>
  </si>
  <si>
    <t>解放路27号镇江财富广场8幢207室</t>
  </si>
  <si>
    <t>321102013001GB01465F00080026</t>
  </si>
  <si>
    <t>苏（2018）镇江市不动产权第0014315号</t>
  </si>
  <si>
    <t>解放路27号镇江财富广场8幢208室</t>
  </si>
  <si>
    <t>321102013001GB01465F00080027</t>
  </si>
  <si>
    <t>苏（2018）镇江市不动产权第0014316号</t>
  </si>
  <si>
    <t>镇江城市建设产业集团有限公司</t>
    <phoneticPr fontId="143" type="noConversion"/>
  </si>
  <si>
    <t>解放路27号镇江财富广场8幢209室</t>
  </si>
  <si>
    <t>321102013001GB01465F00080028</t>
  </si>
  <si>
    <t>商业</t>
    <phoneticPr fontId="143" type="noConversion"/>
  </si>
  <si>
    <t>苏（2018）镇江市不动产权第0014317号</t>
  </si>
  <si>
    <t>镇江城市建设产业集团有限公司</t>
    <phoneticPr fontId="143" type="noConversion"/>
  </si>
  <si>
    <t>解放路27号镇江财富广场8幢210室</t>
  </si>
  <si>
    <t>321102013001GB01465F00080029</t>
  </si>
  <si>
    <t>商业</t>
    <phoneticPr fontId="143" type="noConversion"/>
  </si>
  <si>
    <t>苏（2018）镇江市不动产权第0014318号</t>
  </si>
  <si>
    <t>解放路27号镇江财富广场8幢211室</t>
  </si>
  <si>
    <t>321102013001GB01465F00080030</t>
  </si>
  <si>
    <t>苏（2018）镇江市不动产权第0014319号</t>
  </si>
  <si>
    <t>解放路27号镇江财富广场8幢212室</t>
  </si>
  <si>
    <t>321102013001GB01465F00080031</t>
  </si>
  <si>
    <t>苏（2018）镇江市不动产权第0014320号</t>
  </si>
  <si>
    <t>解放路27号镇江财富广场8幢213室</t>
  </si>
  <si>
    <t>321102013001GB01465F00080032</t>
    <phoneticPr fontId="143" type="noConversion"/>
  </si>
  <si>
    <t>苏（2018）镇江市不动产权第0014238号</t>
    <phoneticPr fontId="143" type="noConversion"/>
  </si>
  <si>
    <t>解放路27号镇江财富广场8幢215室</t>
    <phoneticPr fontId="143" type="noConversion"/>
  </si>
  <si>
    <t>321102013001GB01465F00080034</t>
    <phoneticPr fontId="143" type="noConversion"/>
  </si>
  <si>
    <t>苏（2018）镇江市不动产权第0014239号</t>
  </si>
  <si>
    <t>解放路27号镇江财富广场8幢216室</t>
  </si>
  <si>
    <t>321102013001GB01465F00080035</t>
  </si>
  <si>
    <t>苏（2018）镇江市不动产权第0014240号</t>
  </si>
  <si>
    <t>解放路27号镇江财富广场8幢217室</t>
  </si>
  <si>
    <t>321102013001GB01465F00080036</t>
  </si>
  <si>
    <t>苏（2018）镇江市不动产权第0014241号</t>
  </si>
  <si>
    <t>解放路27号镇江财富广场8幢218室</t>
  </si>
  <si>
    <t>321102013001GB01465F00080037</t>
  </si>
  <si>
    <t>苏（2018）镇江市不动产权第0014242号</t>
  </si>
  <si>
    <t>解放路27号镇江财富广场8幢219室</t>
  </si>
  <si>
    <t>321102013001GB01465F00080038</t>
  </si>
  <si>
    <t>苏（2018）镇江市不动产权第0014243号</t>
  </si>
  <si>
    <t>解放路27号镇江财富广场8幢220室</t>
  </si>
  <si>
    <t>321102013001GB01465F00080039</t>
  </si>
  <si>
    <t>苏（2018）镇江市不动产权第0014244号</t>
  </si>
  <si>
    <t>解放路27号镇江财富广场8幢303室</t>
    <phoneticPr fontId="143" type="noConversion"/>
  </si>
  <si>
    <t>321102013001GB01465F00080040</t>
  </si>
  <si>
    <t>苏（2018）镇江市不动产权第0014245号</t>
  </si>
  <si>
    <t>解放路27号镇江财富广场8幢304室</t>
  </si>
  <si>
    <t>321102013001GB01465F00080041</t>
  </si>
  <si>
    <t>苏（2018）镇江市不动产权第0014246号</t>
  </si>
  <si>
    <t>解放路27号镇江财富广场8幢305室</t>
  </si>
  <si>
    <t>321102013001GB01465F00080042</t>
  </si>
  <si>
    <t>苏（2018）镇江市不动产权第0014247号</t>
  </si>
  <si>
    <t>解放路27号镇江财富广场8幢306室</t>
  </si>
  <si>
    <t>321102013001GB01465F00080043</t>
  </si>
  <si>
    <t>苏（2018）镇江市不动产权第0014248号</t>
  </si>
  <si>
    <t>解放路27号镇江财富广场8幢307室</t>
  </si>
  <si>
    <t>321102013001GB01465F00080044</t>
  </si>
  <si>
    <t>苏（2018）镇江市不动产权第0014249号</t>
  </si>
  <si>
    <t>解放路27号镇江财富广场8幢308室</t>
  </si>
  <si>
    <t>321102013001GB01465F00080045</t>
  </si>
  <si>
    <t>苏（2018）镇江市不动产权第0014250号</t>
  </si>
  <si>
    <t>解放路27号镇江财富广场8幢309室</t>
  </si>
  <si>
    <t>321102013001GB01465F00080046</t>
    <phoneticPr fontId="143" type="noConversion"/>
  </si>
  <si>
    <t>苏（2018）镇江市不动产权第0014252号</t>
    <phoneticPr fontId="143" type="noConversion"/>
  </si>
  <si>
    <t>解放路27号镇江财富广场8幢311室</t>
    <phoneticPr fontId="143" type="noConversion"/>
  </si>
  <si>
    <t>321102013001GB01465F00080048</t>
    <phoneticPr fontId="143" type="noConversion"/>
  </si>
  <si>
    <t>苏（2018）镇江市不动产权第0014253号</t>
  </si>
  <si>
    <t>解放路27号镇江财富广场8幢312室</t>
  </si>
  <si>
    <t>321102013001GB01465F00080049</t>
  </si>
  <si>
    <t>苏（2018）镇江市不动产权第0014254号</t>
  </si>
  <si>
    <t>解放路27号镇江财富广场8幢313室</t>
  </si>
  <si>
    <t>321102013001GB01465F00080050</t>
  </si>
  <si>
    <t>苏（2018）镇江市不动产权第0014255号</t>
  </si>
  <si>
    <t>解放路27号镇江财富广场8幢314室</t>
  </si>
  <si>
    <t>321102013001GB01465F00080051</t>
  </si>
  <si>
    <t>苏（2018）镇江市不动产权第0014256号</t>
  </si>
  <si>
    <t>解放路27号镇江财富广场8幢315室</t>
  </si>
  <si>
    <t>321102013001GB01465F00080052</t>
  </si>
  <si>
    <t>苏（2018）镇江市不动产权第0014257号</t>
  </si>
  <si>
    <t>解放路27号镇江财富广场8幢403室</t>
    <phoneticPr fontId="143" type="noConversion"/>
  </si>
  <si>
    <t>321102013001GB01465F00080053</t>
  </si>
  <si>
    <t>苏（2018）镇江市不动产权第0014258号</t>
  </si>
  <si>
    <t>解放路27号镇江财富广场8幢404室</t>
  </si>
  <si>
    <t>321102013001GB01465F00080054</t>
  </si>
  <si>
    <t>苏（2018）镇江市不动产权第0014259号</t>
  </si>
  <si>
    <t>解放路27号镇江财富广场8幢405室</t>
  </si>
  <si>
    <t>321102013001GB01465F00080055</t>
  </si>
  <si>
    <t>苏（2018）镇江市不动产权第0014260号</t>
  </si>
  <si>
    <t>解放路27号镇江财富广场8幢406室</t>
  </si>
  <si>
    <t>321102013001GB01465F00080056</t>
  </si>
  <si>
    <t>苏（2018）镇江市不动产权第0014261号</t>
  </si>
  <si>
    <t>解放路27号镇江财富广场8幢407室</t>
  </si>
  <si>
    <t>321102013001GB01465F00080057</t>
  </si>
  <si>
    <t>苏（2018）镇江市不动产权第0014262号</t>
  </si>
  <si>
    <t>解放路27号镇江财富广场8幢408室</t>
  </si>
  <si>
    <t>321102013001GB01465F00080058</t>
  </si>
  <si>
    <t>苏（2018）镇江市不动产权第0014263号</t>
  </si>
  <si>
    <t>解放路27号镇江财富广场8幢409室</t>
  </si>
  <si>
    <t>321102013001GB01465F00080059</t>
  </si>
  <si>
    <t>苏（2018）镇江市不动产权第0014264号</t>
  </si>
  <si>
    <t>解放路27号镇江财富广场8幢410室</t>
  </si>
  <si>
    <t>321102013001GB01465F00080060</t>
  </si>
  <si>
    <t>苏（2018）镇江市不动产权第0014265号</t>
  </si>
  <si>
    <t>解放路27号镇江财富广场8幢411室</t>
  </si>
  <si>
    <t>321102013001GB01465F00080061</t>
  </si>
  <si>
    <t>苏（2018）镇江市不动产权第0014266号</t>
  </si>
  <si>
    <t>解放路27号镇江财富广场8幢412室</t>
  </si>
  <si>
    <t>321102013001GB01465F00080062</t>
  </si>
  <si>
    <t>苏（2018）镇江市不动产权第0014267号</t>
  </si>
  <si>
    <t>解放路27号镇江财富广场8幢413室</t>
  </si>
  <si>
    <t>321102013001GB01465F00080063</t>
  </si>
  <si>
    <t>苏（2018）镇江市不动产权第0014268号</t>
  </si>
  <si>
    <t>解放路27号镇江财富广场8幢414室</t>
  </si>
  <si>
    <t>321102013001GB01465F00080064</t>
    <phoneticPr fontId="143" type="noConversion"/>
  </si>
  <si>
    <t>苏（2018）镇江市不动产权第0014270号</t>
    <phoneticPr fontId="143" type="noConversion"/>
  </si>
  <si>
    <t>解放路27号镇江财富广场8幢503室</t>
    <phoneticPr fontId="143" type="noConversion"/>
  </si>
  <si>
    <t>321102013001GB01465F00080066</t>
    <phoneticPr fontId="143" type="noConversion"/>
  </si>
  <si>
    <t>苏（2018）镇江市不动产权第0014271号</t>
  </si>
  <si>
    <t>解放路27号镇江财富广场8幢504室</t>
  </si>
  <si>
    <t>321102013001GB01465F00080067</t>
  </si>
  <si>
    <t>苏（2018）镇江市不动产权第0014272号</t>
  </si>
  <si>
    <t>解放路27号镇江财富广场8幢505室</t>
  </si>
  <si>
    <t>321102013001GB01465F00080068</t>
  </si>
  <si>
    <t>苏（2018）镇江市不动产权第0014273号</t>
  </si>
  <si>
    <t>解放路27号镇江财富广场8幢506室</t>
  </si>
  <si>
    <t>321102013001GB01465F00080069</t>
  </si>
  <si>
    <t>苏（2018）镇江市不动产权第0014274号</t>
  </si>
  <si>
    <t>解放路27号镇江财富广场8幢507室</t>
  </si>
  <si>
    <t>321102013001GB01465F00080070</t>
  </si>
  <si>
    <t>苏（2018）镇江市不动产权第0014275号</t>
  </si>
  <si>
    <t>解放路27号镇江财富广场8幢508室</t>
  </si>
  <si>
    <t>321102013001GB01465F00080071</t>
  </si>
  <si>
    <t>苏（2018）镇江市不动产权第0014276号</t>
  </si>
  <si>
    <t>解放路27号镇江财富广场8幢509室</t>
  </si>
  <si>
    <t>321102013001GB01465F00080072</t>
  </si>
  <si>
    <t>苏（2018）镇江市不动产权第0014277号</t>
  </si>
  <si>
    <t>解放路27号镇江财富广场8幢510室</t>
  </si>
  <si>
    <t>321102013001GB01465F00080073</t>
  </si>
  <si>
    <t>1-6层</t>
    <phoneticPr fontId="143" type="noConversion"/>
  </si>
  <si>
    <t>苏（2018）镇江市不动产权第0014278号</t>
  </si>
  <si>
    <t>解放路27号镇江财富广场8幢511室</t>
  </si>
  <si>
    <t>321102013001GB01465F00080074</t>
  </si>
  <si>
    <t>5层</t>
    <phoneticPr fontId="143" type="noConversion"/>
  </si>
  <si>
    <t>苏（2018）镇江市不动产权第0014279号</t>
  </si>
  <si>
    <t>解放路27号镇江财富广场8幢603室</t>
    <phoneticPr fontId="143" type="noConversion"/>
  </si>
  <si>
    <t>321102013001GB01465F00080075</t>
  </si>
  <si>
    <t>苏（2018）镇江市不动产权第0014281号</t>
    <phoneticPr fontId="143" type="noConversion"/>
  </si>
  <si>
    <t>解放路27号镇江财富广场8幢604室</t>
  </si>
  <si>
    <t>321102013001GB01465F00080076</t>
  </si>
  <si>
    <t>苏（2018）镇江市不动产权第0014280号</t>
    <phoneticPr fontId="143" type="noConversion"/>
  </si>
  <si>
    <t>解放路27号镇江财富广场8幢606室</t>
    <phoneticPr fontId="143" type="noConversion"/>
  </si>
  <si>
    <t>321102013001GB01465F00080077</t>
  </si>
  <si>
    <t>苏（2018）镇江市不动产权第0014282号</t>
    <phoneticPr fontId="143" type="noConversion"/>
  </si>
  <si>
    <t>解放路27号镇江财富广场8幢607室</t>
  </si>
  <si>
    <t>321102013001GB01465F00080078</t>
  </si>
  <si>
    <t>苏（2018）镇江市不动产权第0014283号</t>
  </si>
  <si>
    <t>解放路27号镇江财富广场8幢608室</t>
  </si>
  <si>
    <t>321102013001GB01465F00080079</t>
  </si>
  <si>
    <t>苏（2018）镇江市不动产权第0014284号</t>
  </si>
  <si>
    <t>解放路27号镇江财富广场8幢609室</t>
  </si>
  <si>
    <t>321102013001GB01465F00080080</t>
  </si>
  <si>
    <t>苏（2018）镇江市不动产权第0014285号</t>
  </si>
  <si>
    <t>解放路27号镇江财富广场8幢610室</t>
  </si>
  <si>
    <t>321102013001GB01465F00080081</t>
  </si>
  <si>
    <t>苏（2018）镇江市不动产权第0014286号</t>
  </si>
  <si>
    <t>解放路27号镇江财富广场8幢612室</t>
    <phoneticPr fontId="143" type="noConversion"/>
  </si>
  <si>
    <t>321102013001GB01465F00080082</t>
  </si>
  <si>
    <t>苏（2018）镇江市不动产权第0014287号</t>
  </si>
  <si>
    <t>解放路27号镇江财富广场8幢701室</t>
    <phoneticPr fontId="143" type="noConversion"/>
  </si>
  <si>
    <t>321102013001GB01465F00080083</t>
  </si>
  <si>
    <t>7层</t>
    <phoneticPr fontId="143" type="noConversion"/>
  </si>
  <si>
    <t>苏（2018）镇江市不动产权第0014288号</t>
  </si>
  <si>
    <t>解放路27号镇江财富广场8幢702室</t>
    <phoneticPr fontId="143" type="noConversion"/>
  </si>
  <si>
    <t>321102013001GB01465F00080084</t>
  </si>
  <si>
    <t>1-7层</t>
    <phoneticPr fontId="143" type="noConversion"/>
  </si>
  <si>
    <t>总价</t>
    <phoneticPr fontId="143" type="noConversion"/>
  </si>
  <si>
    <t>单价</t>
    <phoneticPr fontId="143" type="noConversion"/>
  </si>
  <si>
    <t>独立商业</t>
    <phoneticPr fontId="31" type="noConversion"/>
  </si>
  <si>
    <t>收益法 (元)</t>
  </si>
  <si>
    <t>自定义</t>
  </si>
  <si>
    <t>大</t>
  </si>
  <si>
    <r>
      <t>1</t>
    </r>
    <r>
      <rPr>
        <sz val="10"/>
        <color indexed="8"/>
        <rFont val="宋体"/>
        <family val="3"/>
        <charset val="134"/>
      </rPr>
      <t>楼总价</t>
    </r>
    <phoneticPr fontId="25" type="noConversion"/>
  </si>
  <si>
    <r>
      <t>1</t>
    </r>
    <r>
      <rPr>
        <sz val="10"/>
        <color rgb="FFFF0000"/>
        <rFont val="宋体"/>
        <family val="3"/>
        <charset val="134"/>
      </rPr>
      <t>楼单价</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</si>
</sst>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2"/>
      <color theme="1"/>
      <name val="宋体"/>
      <family val="3"/>
      <charset val="134"/>
      <scheme val="minor"/>
    </font>
    <font>
      <sz val="14"/>
      <color rgb="FFFF0000"/>
      <name val="宋体"/>
      <family val="3"/>
      <charset val="134"/>
      <scheme val="minor"/>
    </font>
    <font>
      <sz val="12"/>
      <color rgb="FFFF0000"/>
      <name val="宋体"/>
      <family val="3"/>
      <charset val="134"/>
      <scheme val="minor"/>
    </font>
    <font>
      <sz val="11"/>
      <color theme="1"/>
      <name val="宋体"/>
      <family val="3"/>
      <charset val="134"/>
      <scheme val="minor"/>
    </font>
    <font>
      <sz val="12"/>
      <name val="宋体"/>
      <family val="3"/>
      <charset val="134"/>
      <scheme val="minor"/>
    </font>
    <font>
      <sz val="11"/>
      <name val="宋体"/>
      <family val="3"/>
      <charset val="134"/>
      <scheme val="minor"/>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uble">
        <color rgb="FF404040"/>
      </bottom>
      <diagonal/>
    </border>
    <border>
      <left/>
      <right style="dotted">
        <color indexed="64"/>
      </right>
      <top style="double">
        <color rgb="FF404040"/>
      </top>
      <bottom style="double">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7" fillId="0" borderId="0" applyFont="0" applyFill="0" applyBorder="0" applyAlignment="0" applyProtection="0">
      <alignment vertical="center"/>
    </xf>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9" fontId="254" fillId="0" borderId="0" xfId="10" applyNumberFormat="1" applyFont="1" applyAlignment="1">
      <alignment horizontal="center" vertical="center"/>
    </xf>
    <xf numFmtId="179" fontId="99" fillId="0" borderId="0" xfId="10" applyNumberFormat="1" applyAlignment="1">
      <alignment horizontal="center" vertical="center"/>
    </xf>
    <xf numFmtId="0" fontId="156" fillId="0" borderId="1" xfId="10" applyNumberFormat="1" applyFont="1" applyBorder="1" applyAlignment="1">
      <alignment horizontal="center" vertical="center"/>
    </xf>
    <xf numFmtId="49" fontId="156" fillId="0" borderId="1" xfId="10" applyNumberFormat="1" applyFont="1" applyBorder="1" applyAlignment="1">
      <alignment horizontal="center" vertical="center"/>
    </xf>
    <xf numFmtId="179" fontId="156" fillId="0" borderId="1" xfId="10" applyNumberFormat="1" applyFont="1" applyBorder="1" applyAlignment="1">
      <alignment horizontal="center" vertical="center"/>
    </xf>
    <xf numFmtId="179" fontId="211" fillId="0" borderId="0" xfId="10" applyNumberFormat="1" applyFont="1" applyAlignment="1">
      <alignment horizontal="center" vertical="center"/>
    </xf>
    <xf numFmtId="179" fontId="156" fillId="0" borderId="0" xfId="10" applyNumberFormat="1" applyFont="1" applyAlignment="1">
      <alignment horizontal="center" vertical="center"/>
    </xf>
    <xf numFmtId="49" fontId="99" fillId="0" borderId="0" xfId="10" applyNumberFormat="1" applyAlignment="1">
      <alignment horizontal="center" vertical="center"/>
    </xf>
    <xf numFmtId="179" fontId="255" fillId="0" borderId="0" xfId="10" applyNumberFormat="1" applyFont="1" applyAlignment="1">
      <alignment horizontal="center" vertical="center"/>
    </xf>
    <xf numFmtId="0" fontId="99" fillId="0" borderId="0" xfId="10" applyNumberFormat="1" applyAlignment="1">
      <alignment horizontal="center" vertical="center"/>
    </xf>
    <xf numFmtId="49" fontId="50" fillId="0" borderId="1" xfId="0" applyNumberFormat="1"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58" fontId="50" fillId="10" borderId="9" xfId="0" applyNumberFormat="1" applyFont="1" applyFill="1" applyBorder="1" applyAlignment="1" applyProtection="1">
      <alignment horizontal="center" vertical="center" wrapText="1"/>
      <protection locked="0"/>
    </xf>
    <xf numFmtId="14" fontId="64" fillId="8" borderId="13"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10" fontId="47" fillId="0" borderId="53" xfId="0" applyNumberFormat="1" applyFont="1" applyFill="1" applyBorder="1" applyAlignment="1" applyProtection="1">
      <alignment horizontal="center"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22" fillId="6" borderId="0" xfId="0" applyFont="1" applyFill="1" applyAlignment="1" applyProtection="1">
      <alignment horizontal="left" vertical="center"/>
      <protection locked="0"/>
    </xf>
    <xf numFmtId="0" fontId="156" fillId="0" borderId="1" xfId="10" applyNumberFormat="1" applyFont="1" applyFill="1" applyBorder="1" applyAlignment="1">
      <alignment horizontal="center" vertical="center"/>
    </xf>
    <xf numFmtId="49" fontId="156" fillId="0" borderId="1" xfId="10" applyNumberFormat="1" applyFont="1" applyFill="1" applyBorder="1" applyAlignment="1">
      <alignment horizontal="center" vertical="center"/>
    </xf>
    <xf numFmtId="179" fontId="99" fillId="0" borderId="0" xfId="10" applyNumberFormat="1" applyFill="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47" fillId="0" borderId="37"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54" fillId="9" borderId="5" xfId="0" applyNumberFormat="1" applyFont="1" applyFill="1" applyBorder="1" applyAlignment="1" applyProtection="1">
      <alignment horizontal="center" vertical="center" wrapText="1"/>
    </xf>
    <xf numFmtId="181" fontId="47" fillId="9" borderId="1" xfId="0" applyNumberFormat="1" applyFont="1" applyFill="1" applyBorder="1" applyAlignment="1" applyProtection="1">
      <alignment vertical="center"/>
      <protection locked="0"/>
    </xf>
    <xf numFmtId="0" fontId="50" fillId="9" borderId="1" xfId="0" applyFont="1" applyFill="1" applyBorder="1" applyAlignment="1" applyProtection="1">
      <alignment horizontal="center" vertical="center"/>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58" fontId="50" fillId="0" borderId="9" xfId="0" applyNumberFormat="1" applyFont="1" applyFill="1" applyBorder="1" applyAlignment="1" applyProtection="1">
      <alignment horizontal="center" vertical="center" wrapText="1"/>
      <protection locked="0"/>
    </xf>
    <xf numFmtId="0" fontId="50" fillId="0" borderId="29" xfId="0" applyFont="1" applyFill="1" applyBorder="1" applyAlignment="1" applyProtection="1">
      <alignment horizontal="center" vertical="center"/>
      <protection locked="0"/>
    </xf>
    <xf numFmtId="0" fontId="50" fillId="0" borderId="17" xfId="0" applyNumberFormat="1" applyFont="1" applyFill="1" applyBorder="1" applyAlignment="1" applyProtection="1">
      <alignment horizontal="center" vertical="center" wrapText="1"/>
      <protection locked="0"/>
    </xf>
    <xf numFmtId="0" fontId="50" fillId="0" borderId="17" xfId="0" applyFont="1" applyFill="1" applyBorder="1" applyAlignment="1" applyProtection="1">
      <alignment horizontal="center" vertical="center" wrapText="1"/>
      <protection locked="0"/>
    </xf>
    <xf numFmtId="9" fontId="50" fillId="0" borderId="17" xfId="0" applyNumberFormat="1" applyFont="1" applyFill="1" applyBorder="1" applyAlignment="1" applyProtection="1">
      <alignment horizontal="center" vertical="center" wrapText="1"/>
      <protection locked="0"/>
    </xf>
    <xf numFmtId="0" fontId="50" fillId="0" borderId="31" xfId="0" applyFont="1" applyFill="1" applyBorder="1" applyAlignment="1" applyProtection="1">
      <alignment horizontal="center" vertical="center"/>
      <protection locked="0"/>
    </xf>
    <xf numFmtId="0" fontId="47" fillId="0" borderId="24" xfId="0" applyFont="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49" fontId="50" fillId="0" borderId="9" xfId="0" applyNumberFormat="1" applyFont="1" applyFill="1" applyBorder="1" applyAlignment="1" applyProtection="1">
      <alignment horizontal="center" vertical="center" wrapText="1"/>
      <protection locked="0"/>
    </xf>
    <xf numFmtId="49" fontId="50" fillId="10" borderId="28" xfId="0" applyNumberFormat="1" applyFont="1" applyFill="1" applyBorder="1" applyAlignment="1" applyProtection="1">
      <alignment horizontal="center" vertical="center" wrapText="1"/>
      <protection locked="0"/>
    </xf>
    <xf numFmtId="0" fontId="80" fillId="10" borderId="17" xfId="0" applyFont="1" applyFill="1" applyBorder="1" applyAlignment="1" applyProtection="1">
      <alignment horizontal="center" vertical="center"/>
      <protection locked="0"/>
    </xf>
    <xf numFmtId="0" fontId="120" fillId="5" borderId="118" xfId="0" applyFont="1" applyFill="1" applyBorder="1" applyAlignment="1" applyProtection="1">
      <alignment horizontal="center" vertical="center" wrapText="1"/>
      <protection locked="0"/>
    </xf>
    <xf numFmtId="9" fontId="120" fillId="5" borderId="118" xfId="0" applyNumberFormat="1" applyFont="1" applyFill="1" applyBorder="1" applyAlignment="1" applyProtection="1">
      <alignment horizontal="center" vertical="center" wrapText="1"/>
      <protection locked="0"/>
    </xf>
    <xf numFmtId="0" fontId="138" fillId="5" borderId="118" xfId="0" applyFont="1" applyFill="1" applyBorder="1" applyAlignment="1" applyProtection="1">
      <alignment horizontal="center" vertical="center"/>
      <protection locked="0"/>
    </xf>
    <xf numFmtId="0" fontId="120" fillId="5" borderId="114" xfId="0" applyFont="1" applyFill="1" applyBorder="1" applyAlignment="1" applyProtection="1">
      <alignment horizontal="center" vertical="center"/>
      <protection locked="0"/>
    </xf>
    <xf numFmtId="0" fontId="138" fillId="5" borderId="99" xfId="0" applyNumberFormat="1" applyFont="1" applyFill="1" applyBorder="1" applyAlignment="1" applyProtection="1">
      <alignment horizontal="center" vertical="center" wrapText="1"/>
      <protection locked="0"/>
    </xf>
    <xf numFmtId="0" fontId="120" fillId="5" borderId="99" xfId="0" applyNumberFormat="1" applyFont="1" applyFill="1" applyBorder="1" applyAlignment="1" applyProtection="1">
      <alignment horizontal="center" vertical="center" wrapText="1"/>
      <protection locked="0"/>
    </xf>
    <xf numFmtId="0" fontId="120" fillId="5" borderId="116" xfId="0" applyNumberFormat="1" applyFont="1" applyFill="1" applyBorder="1" applyAlignment="1" applyProtection="1">
      <alignment horizontal="center" vertical="center" wrapText="1"/>
      <protection locked="0"/>
    </xf>
    <xf numFmtId="0" fontId="138" fillId="5" borderId="0" xfId="0" applyFont="1" applyFill="1" applyAlignment="1" applyProtection="1">
      <alignment horizontal="right" vertical="center"/>
      <protection locked="0"/>
    </xf>
    <xf numFmtId="0" fontId="120" fillId="5" borderId="0" xfId="0" applyNumberFormat="1" applyFont="1" applyFill="1" applyAlignment="1" applyProtection="1">
      <alignment horizontal="center" vertical="center"/>
      <protection locked="0"/>
    </xf>
    <xf numFmtId="0" fontId="12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49" fontId="156" fillId="0" borderId="0" xfId="10" applyNumberFormat="1" applyFont="1" applyAlignment="1">
      <alignment horizontal="center" vertical="center"/>
    </xf>
    <xf numFmtId="49" fontId="156" fillId="0" borderId="0" xfId="10" applyNumberFormat="1" applyFont="1" applyFill="1" applyAlignment="1">
      <alignment horizontal="center" vertical="center"/>
    </xf>
    <xf numFmtId="9" fontId="99" fillId="0" borderId="0" xfId="13" applyFont="1" applyAlignment="1">
      <alignment horizontal="center" vertical="center"/>
    </xf>
    <xf numFmtId="0" fontId="156" fillId="5" borderId="1" xfId="10" applyNumberFormat="1" applyFont="1" applyFill="1" applyBorder="1" applyAlignment="1">
      <alignment horizontal="center" vertical="center"/>
    </xf>
    <xf numFmtId="49" fontId="156" fillId="5" borderId="1" xfId="10" applyNumberFormat="1" applyFont="1" applyFill="1" applyBorder="1" applyAlignment="1">
      <alignment horizontal="center" vertical="center"/>
    </xf>
    <xf numFmtId="49" fontId="156" fillId="5" borderId="0" xfId="10" applyNumberFormat="1" applyFont="1" applyFill="1" applyAlignment="1">
      <alignment horizontal="center" vertical="center"/>
    </xf>
    <xf numFmtId="179" fontId="99" fillId="5" borderId="0" xfId="10" applyNumberFormat="1" applyFill="1" applyAlignment="1">
      <alignment horizontal="center" vertical="center"/>
    </xf>
    <xf numFmtId="9" fontId="99" fillId="5" borderId="0" xfId="13" applyFont="1" applyFill="1" applyAlignment="1">
      <alignment horizontal="center" vertical="center"/>
    </xf>
    <xf numFmtId="0" fontId="256" fillId="0" borderId="1" xfId="10" applyNumberFormat="1" applyFont="1" applyFill="1" applyBorder="1" applyAlignment="1">
      <alignment horizontal="center" vertical="center"/>
    </xf>
    <xf numFmtId="0" fontId="258" fillId="0" borderId="1" xfId="10" applyNumberFormat="1" applyFont="1" applyFill="1" applyBorder="1" applyAlignment="1">
      <alignment horizontal="center" vertical="center"/>
    </xf>
    <xf numFmtId="49" fontId="258" fillId="0" borderId="1" xfId="10" applyNumberFormat="1" applyFont="1" applyFill="1" applyBorder="1" applyAlignment="1">
      <alignment horizontal="center" vertical="center"/>
    </xf>
    <xf numFmtId="49" fontId="258" fillId="0" borderId="0" xfId="10" applyNumberFormat="1" applyFont="1" applyFill="1" applyAlignment="1">
      <alignment horizontal="center" vertical="center"/>
    </xf>
    <xf numFmtId="179" fontId="259" fillId="0" borderId="0" xfId="10" applyNumberFormat="1" applyFont="1" applyFill="1" applyAlignment="1">
      <alignment horizontal="center" vertical="center"/>
    </xf>
    <xf numFmtId="9" fontId="259" fillId="0" borderId="0" xfId="13" applyFont="1" applyFill="1" applyAlignment="1">
      <alignment horizontal="center" vertical="center"/>
    </xf>
    <xf numFmtId="0" fontId="260" fillId="0" borderId="156" xfId="0" applyFont="1" applyBorder="1" applyAlignment="1">
      <alignment horizontal="justify" vertical="center" wrapText="1"/>
    </xf>
    <xf numFmtId="0" fontId="260" fillId="0" borderId="157" xfId="0" applyFont="1" applyBorder="1" applyAlignment="1">
      <alignment horizontal="justify" vertical="center" wrapText="1"/>
    </xf>
    <xf numFmtId="0" fontId="0" fillId="0" borderId="1" xfId="0" applyBorder="1" applyAlignment="1"/>
    <xf numFmtId="0" fontId="0" fillId="0" borderId="1" xfId="0" applyFill="1" applyBorder="1" applyAlignment="1"/>
    <xf numFmtId="0" fontId="99" fillId="0" borderId="1" xfId="0" applyFont="1" applyBorder="1" applyAlignment="1"/>
    <xf numFmtId="0" fontId="101" fillId="0" borderId="1" xfId="0" applyFont="1" applyBorder="1" applyAlignment="1"/>
    <xf numFmtId="0" fontId="101" fillId="0" borderId="1" xfId="0" applyFont="1" applyFill="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79" fontId="156" fillId="0" borderId="15" xfId="10" applyNumberFormat="1" applyFont="1" applyBorder="1" applyAlignment="1">
      <alignment horizontal="center" vertical="center"/>
    </xf>
    <xf numFmtId="179" fontId="156" fillId="0" borderId="2" xfId="10" applyNumberFormat="1" applyFont="1" applyBorder="1" applyAlignment="1">
      <alignment horizontal="center" vertical="center"/>
    </xf>
    <xf numFmtId="0" fontId="127" fillId="0" borderId="1" xfId="10" applyNumberFormat="1" applyFont="1" applyBorder="1" applyAlignment="1">
      <alignment horizontal="center" vertical="center"/>
    </xf>
    <xf numFmtId="49" fontId="127" fillId="0" borderId="1" xfId="10" applyNumberFormat="1" applyFont="1" applyBorder="1" applyAlignment="1">
      <alignment horizontal="center" vertical="center"/>
    </xf>
    <xf numFmtId="179" fontId="127" fillId="0" borderId="1" xfId="10"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964;&#20976;&#21488;&#19968;&#23457;&#35843;&#304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1"/>
      <sheetName val="面积表-2"/>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sheetName val="比较法-办公"/>
      <sheetName val="比较法-车位"/>
      <sheetName val="收益法（汇总）"/>
      <sheetName val="收益法"/>
      <sheetName val="收益法 (元)"/>
      <sheetName val="酒店收入计算"/>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链接报告"/>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7918.4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33122</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江苏省镇江市京口区解放路27号镇江财富广场8幢101室等共79套商业用房房地产抵押价值预评估</v>
      </c>
    </row>
    <row r="3" spans="1:2" s="1589" customFormat="1">
      <c r="A3" s="1587" t="s">
        <v>1221</v>
      </c>
      <c r="B3" s="1588" t="str">
        <f>'预评函-封皮'!B40</f>
        <v>中信信托有限责任公司</v>
      </c>
    </row>
    <row r="4" spans="1:2" s="1589" customFormat="1">
      <c r="A4" s="1587" t="s">
        <v>1222</v>
      </c>
      <c r="B4" s="1588" t="str">
        <f ca="1">'预评函-封皮'!B46</f>
        <v>郑燚（注册号：1120070131)、王鹏（注册号：1120050019)</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受贵公司委托，我公司对江苏省镇江市京口区解放路27号镇江财富广场8幢101室等共79套商业用房房地产抵押价值进行了预评估。</v>
      </c>
    </row>
    <row r="7" spans="1:2" s="1589" customFormat="1">
      <c r="A7" s="1587" t="s">
        <v>1264</v>
      </c>
      <c r="B7" s="1588" t="str">
        <f>'预评函-1'!A7</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2018年9月3日（评估专业人员实地查勘之日）</v>
      </c>
    </row>
    <row r="13" spans="1:2" s="1589" customFormat="1">
      <c r="A13" s="1587" t="s">
        <v>1227</v>
      </c>
      <c r="B13" s="1588" t="str">
        <f>'预评函-1'!A18</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4" spans="1:2" s="1589" customFormat="1">
      <c r="A14" s="1587" t="s">
        <v>1228</v>
      </c>
      <c r="B14" s="1588" t="str">
        <f>'预评函-1'!A19</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692</v>
      </c>
    </row>
    <row r="21" spans="1:2" s="1589" customFormat="1">
      <c r="A21" s="1587" t="s">
        <v>1235</v>
      </c>
      <c r="B21" s="1588">
        <f ca="1">'预评函-2'!D7</f>
        <v>51909</v>
      </c>
    </row>
    <row r="22" spans="1:2" s="1589" customFormat="1">
      <c r="A22" s="1587" t="s">
        <v>1236</v>
      </c>
      <c r="B22" s="1588" t="str">
        <f ca="1">'预评函-2'!D6</f>
        <v>陆佰玖拾贰万元整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692</v>
      </c>
    </row>
    <row r="31" spans="1:2" s="1589" customFormat="1">
      <c r="A31" s="1587" t="s">
        <v>1274</v>
      </c>
      <c r="B31" s="1588">
        <f ca="1">'预评函-2'!D15</f>
        <v>51909</v>
      </c>
    </row>
    <row r="32" spans="1:2" s="1589" customFormat="1">
      <c r="A32" s="1587" t="s">
        <v>1241</v>
      </c>
      <c r="B32" s="1588" t="str">
        <f ca="1">'预评函-2'!D14</f>
        <v>陆佰玖拾贰万元整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江苏省镇江市京口区解放路27号镇江财富广场8幢101室等共79套商业用房房地产</v>
      </c>
    </row>
    <row r="42" spans="1:2" s="1589" customFormat="1">
      <c r="A42" s="1587" t="s">
        <v>1288</v>
      </c>
      <c r="B42" s="1588" t="str">
        <f>'预评函-3'!B2</f>
        <v>建筑面积</v>
      </c>
    </row>
    <row r="43" spans="1:2" s="1589" customFormat="1">
      <c r="A43" s="1587" t="s">
        <v>1289</v>
      </c>
      <c r="B43" s="1588">
        <f>'预评函-3'!B4</f>
        <v>133.31</v>
      </c>
    </row>
    <row r="44" spans="1:2" s="1589" customFormat="1">
      <c r="A44" s="1587" t="s">
        <v>1273</v>
      </c>
      <c r="B44" s="1588" t="str">
        <f>'预评函-3'!C2</f>
        <v>(分摊)土地面积</v>
      </c>
    </row>
    <row r="45" spans="1:2" s="1589" customFormat="1">
      <c r="A45" s="1587" t="s">
        <v>1245</v>
      </c>
      <c r="B45" s="1588">
        <f>'预评函-3'!C4</f>
        <v>9.2200000000000006</v>
      </c>
    </row>
    <row r="46" spans="1:2" s="1589" customFormat="1">
      <c r="A46" s="1587" t="s">
        <v>1271</v>
      </c>
      <c r="B46" s="1588" t="str">
        <f>'预评函-3'!D2</f>
        <v>出让国有建设用地使用权价值</v>
      </c>
    </row>
    <row r="47" spans="1:2" s="1589" customFormat="1">
      <c r="A47" s="1587" t="s">
        <v>1246</v>
      </c>
      <c r="B47" s="1588">
        <f ca="1">'预评函-3'!D4</f>
        <v>503</v>
      </c>
    </row>
    <row r="48" spans="1:2" s="1589" customFormat="1">
      <c r="A48" s="1587" t="s">
        <v>1247</v>
      </c>
      <c r="B48" s="1588">
        <f ca="1">'预评函-3'!E4</f>
        <v>37732</v>
      </c>
    </row>
    <row r="49" spans="1:2" s="1589" customFormat="1">
      <c r="A49" s="1587" t="s">
        <v>1248</v>
      </c>
      <c r="B49" s="1588" t="str">
        <f ca="1">'预评函-3'!D5</f>
        <v>伍佰零叁万元整</v>
      </c>
    </row>
    <row r="50" spans="1:2" s="1589" customFormat="1">
      <c r="A50" s="1587" t="s">
        <v>1272</v>
      </c>
      <c r="B50" s="1588" t="str">
        <f>'预评函-3'!F2</f>
        <v>建筑物价值</v>
      </c>
    </row>
    <row r="51" spans="1:2" s="1589" customFormat="1">
      <c r="A51" s="1587" t="s">
        <v>1249</v>
      </c>
      <c r="B51" s="1588">
        <f ca="1">'预评函-3'!F4</f>
        <v>189</v>
      </c>
    </row>
    <row r="52" spans="1:2" s="1589" customFormat="1">
      <c r="A52" s="1587" t="s">
        <v>1250</v>
      </c>
      <c r="B52" s="1588">
        <f ca="1">'预评函-3'!G4</f>
        <v>14177</v>
      </c>
    </row>
    <row r="53" spans="1:2" s="1589" customFormat="1">
      <c r="A53" s="1587" t="s">
        <v>1278</v>
      </c>
      <c r="B53" s="1588" t="str">
        <f ca="1">'预评函-3'!F5</f>
        <v>壹佰捌拾玖万元整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王鹏</v>
      </c>
    </row>
    <row r="73" spans="1:2" s="1583" customFormat="1" ht="15" thickBot="1">
      <c r="A73" s="1590" t="s">
        <v>1263</v>
      </c>
      <c r="B73" s="1591">
        <f ca="1">'预评函-4'!B5</f>
        <v>1120050019</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08" t="s">
        <v>1732</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08" t="s">
        <v>1747</v>
      </c>
      <c r="C8" s="2009" t="s">
        <v>764</v>
      </c>
      <c r="F8" s="2010" t="s">
        <v>1748</v>
      </c>
      <c r="H8" s="2010"/>
      <c r="I8" s="2010" t="s">
        <v>1749</v>
      </c>
    </row>
    <row r="9" spans="1:23">
      <c r="A9" s="2008" t="s">
        <v>1750</v>
      </c>
      <c r="B9" s="2008" t="s">
        <v>1751</v>
      </c>
      <c r="C9" s="2009" t="s">
        <v>765</v>
      </c>
      <c r="F9" s="2010" t="s">
        <v>1752</v>
      </c>
      <c r="H9" s="2010"/>
    </row>
    <row r="10" spans="1:23">
      <c r="A10" s="2008" t="s">
        <v>1753</v>
      </c>
      <c r="B10" s="2008" t="s">
        <v>1754</v>
      </c>
      <c r="C10" s="2009" t="s">
        <v>766</v>
      </c>
      <c r="F10" s="2010" t="s">
        <v>16</v>
      </c>
    </row>
    <row r="11" spans="1:23">
      <c r="A11" s="2008" t="s">
        <v>1755</v>
      </c>
      <c r="B11" s="2008" t="s">
        <v>1756</v>
      </c>
      <c r="C11" s="2009" t="s">
        <v>767</v>
      </c>
    </row>
    <row r="12" spans="1:23">
      <c r="A12" s="2008" t="s">
        <v>1757</v>
      </c>
      <c r="B12" s="2008" t="s">
        <v>1758</v>
      </c>
      <c r="C12" s="2009" t="s">
        <v>768</v>
      </c>
    </row>
    <row r="13" spans="1:23">
      <c r="A13" s="2008" t="s">
        <v>1759</v>
      </c>
      <c r="B13" s="2008" t="s">
        <v>1760</v>
      </c>
      <c r="C13" s="2009" t="s">
        <v>769</v>
      </c>
    </row>
    <row r="14" spans="1:23">
      <c r="A14" s="2008" t="s">
        <v>1761</v>
      </c>
      <c r="B14" s="2008" t="s">
        <v>1762</v>
      </c>
      <c r="C14" s="2010" t="s">
        <v>16</v>
      </c>
    </row>
    <row r="15" spans="1:23">
      <c r="A15" s="2008" t="s">
        <v>1763</v>
      </c>
      <c r="B15" s="2008" t="s">
        <v>1764</v>
      </c>
      <c r="C15" s="2009"/>
    </row>
    <row r="16" spans="1:23">
      <c r="A16" s="2008" t="s">
        <v>1765</v>
      </c>
      <c r="B16" s="2008" t="s">
        <v>756</v>
      </c>
      <c r="C16" s="2009"/>
    </row>
    <row r="17" spans="1:3">
      <c r="A17" s="2008" t="s">
        <v>1766</v>
      </c>
      <c r="B17" s="2008" t="s">
        <v>757</v>
      </c>
      <c r="C17" s="2009"/>
    </row>
    <row r="18" spans="1:3">
      <c r="A18" s="2008" t="s">
        <v>1767</v>
      </c>
      <c r="B18" s="2008" t="s">
        <v>757</v>
      </c>
      <c r="C18" s="2009"/>
    </row>
    <row r="19" spans="1:3">
      <c r="A19" s="2008" t="s">
        <v>1768</v>
      </c>
      <c r="B19" s="2008" t="s">
        <v>757</v>
      </c>
      <c r="C19" s="2009"/>
    </row>
    <row r="20" spans="1:3">
      <c r="A20" s="2008" t="s">
        <v>1769</v>
      </c>
      <c r="B20" s="2008" t="s">
        <v>757</v>
      </c>
      <c r="C20" s="2009"/>
    </row>
    <row r="21" spans="1:3">
      <c r="A21" s="2008" t="s">
        <v>1770</v>
      </c>
      <c r="B21" s="2008" t="s">
        <v>757</v>
      </c>
      <c r="C21" s="2009"/>
    </row>
    <row r="22" spans="1:3">
      <c r="A22" s="2008" t="s">
        <v>1771</v>
      </c>
      <c r="B22" s="2008" t="s">
        <v>757</v>
      </c>
      <c r="C22" s="2009"/>
    </row>
    <row r="23" spans="1:3">
      <c r="A23" s="2008" t="s">
        <v>1772</v>
      </c>
      <c r="B23" s="2008" t="s">
        <v>757</v>
      </c>
      <c r="C23" s="2009"/>
    </row>
    <row r="24" spans="1:3">
      <c r="A24" s="2008" t="s">
        <v>1773</v>
      </c>
      <c r="B24" s="2008" t="s">
        <v>757</v>
      </c>
      <c r="C24" s="2009"/>
    </row>
    <row r="25" spans="1:3">
      <c r="A25" s="2008" t="s">
        <v>1774</v>
      </c>
      <c r="B25" s="2008" t="s">
        <v>757</v>
      </c>
      <c r="C25" s="2009"/>
    </row>
    <row r="26" spans="1:3">
      <c r="A26" s="2008" t="s">
        <v>1775</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062"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2"/>
      <c r="B54" s="2016" t="s">
        <v>864</v>
      </c>
      <c r="C54" s="2013" t="s">
        <v>1281</v>
      </c>
    </row>
    <row r="55" spans="1:4">
      <c r="A55" s="3062"/>
      <c r="B55" s="2016" t="s">
        <v>865</v>
      </c>
      <c r="C55" s="2013" t="s">
        <v>1282</v>
      </c>
    </row>
    <row r="56" spans="1:4">
      <c r="A56" s="3062"/>
      <c r="B56" s="2016" t="s">
        <v>866</v>
      </c>
      <c r="C56" s="2013" t="s">
        <v>1286</v>
      </c>
    </row>
    <row r="57" spans="1:4">
      <c r="A57" s="3062"/>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5" sqref="E15"/>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1776</v>
      </c>
      <c r="B1" s="3063" t="str">
        <f>IF(B10="北京市","北京市",C10)&amp;F10&amp;IF(结果表!G1="在建","出让国有建设用地使用权及在建建筑物",IF(结果表!G1="土地","出让国有建设用地使用权",))&amp;B9&amp;"预评估"</f>
        <v>江苏省镇江市京口区解放路27号镇江财富广场8幢101室等共79套商业用房房地产抵押价值预评估</v>
      </c>
      <c r="C1" s="3064"/>
      <c r="D1" s="3064"/>
      <c r="E1" s="3064"/>
      <c r="F1" s="3064"/>
      <c r="G1" s="3064"/>
      <c r="H1" s="3064"/>
      <c r="I1" s="3065"/>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江苏省镇江市京口区解放路27号镇江财富广场8幢101室等共79套商业用房房地产抵押价值</v>
      </c>
    </row>
    <row r="2" spans="1:19" ht="18" customHeight="1">
      <c r="A2" s="2020" t="s">
        <v>1777</v>
      </c>
      <c r="B2" s="1039"/>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江苏省镇江市京口区解放路27号镇江财富广场8幢101室等共79套商业用房房地产</v>
      </c>
    </row>
    <row r="3" spans="1:19" ht="18" customHeight="1">
      <c r="A3" s="2029" t="s">
        <v>1778</v>
      </c>
      <c r="B3" s="2951">
        <v>43346</v>
      </c>
      <c r="C3" s="2031" t="s">
        <v>1779</v>
      </c>
      <c r="D3" s="2030">
        <v>43346</v>
      </c>
      <c r="E3" s="2020"/>
      <c r="F3" s="2020"/>
      <c r="G3" s="2020"/>
      <c r="H3" s="2020"/>
      <c r="I3" s="2020"/>
      <c r="J3" s="2020"/>
      <c r="K3" s="2021"/>
      <c r="L3" s="2022"/>
      <c r="M3" s="2022"/>
      <c r="N3" s="2023"/>
      <c r="O3" s="2024"/>
      <c r="P3" s="2023"/>
      <c r="Q3" s="2023"/>
      <c r="R3" s="2023"/>
      <c r="S3" s="2025"/>
    </row>
    <row r="4" spans="1:19" ht="18" customHeight="1" thickBot="1">
      <c r="A4" s="2032" t="s">
        <v>1780</v>
      </c>
      <c r="B4" s="2033" t="s">
        <v>3153</v>
      </c>
      <c r="C4" s="1037">
        <f ca="1">SUMIF(注册房地产估价师,B4,估价师及机构信息!B3:B24)</f>
        <v>1120070131</v>
      </c>
      <c r="D4" s="2033" t="s">
        <v>3154</v>
      </c>
      <c r="E4" s="1038">
        <f ca="1">SUMIF(注册房地产估价师,D4,估价师及机构信息!B3:B24)</f>
        <v>1120050019</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郑燚（注册号：1120070131)、王鹏（注册号：1120050019)</v>
      </c>
      <c r="L4" s="2022"/>
      <c r="M4" s="2022"/>
      <c r="N4" s="2023"/>
      <c r="O4" s="2024"/>
      <c r="P4" s="2023"/>
      <c r="Q4" s="2023"/>
      <c r="R4" s="2023"/>
      <c r="S4" s="2025"/>
    </row>
    <row r="5" spans="1:19" ht="18" customHeight="1" thickTop="1">
      <c r="A5" s="2038" t="s">
        <v>1781</v>
      </c>
      <c r="B5" s="2039" t="str">
        <f>B6</f>
        <v>中信信托有限责任公司</v>
      </c>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1782</v>
      </c>
      <c r="B6" s="2955" t="s">
        <v>3169</v>
      </c>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2" t="s">
        <v>1783</v>
      </c>
      <c r="B7" s="2046" t="str">
        <f>C11</f>
        <v>镇江城市建设产业集团有限公司</v>
      </c>
      <c r="C7" s="2043"/>
      <c r="D7" s="2044"/>
      <c r="E7" s="2028"/>
      <c r="F7" s="2036"/>
      <c r="G7" s="2036"/>
      <c r="H7" s="2036"/>
      <c r="I7" s="2036"/>
      <c r="J7" s="2036"/>
      <c r="K7" s="2047"/>
      <c r="L7" s="2022"/>
      <c r="M7" s="2022"/>
      <c r="N7" s="2023"/>
      <c r="O7" s="2024"/>
      <c r="P7" s="2023"/>
      <c r="Q7" s="2023"/>
      <c r="R7" s="2023"/>
    </row>
    <row r="8" spans="1:19" ht="18" customHeight="1">
      <c r="A8" s="2042" t="s">
        <v>1784</v>
      </c>
      <c r="B8" s="2048" t="s">
        <v>3152</v>
      </c>
      <c r="C8" s="2049"/>
      <c r="D8" s="3066" t="s">
        <v>1785</v>
      </c>
      <c r="E8" s="2050" t="s">
        <v>3151</v>
      </c>
      <c r="F8" s="2051"/>
      <c r="G8" s="2020"/>
      <c r="H8" s="2020"/>
      <c r="I8" s="2020"/>
      <c r="J8" s="2036"/>
      <c r="K8" s="2037"/>
      <c r="L8" s="2022"/>
      <c r="M8" s="2022"/>
      <c r="N8" s="2023"/>
      <c r="O8" s="2024"/>
      <c r="P8" s="2023"/>
      <c r="Q8" s="2023"/>
      <c r="R8" s="2023"/>
    </row>
    <row r="9" spans="1:19" ht="18" customHeight="1" thickBot="1">
      <c r="A9" s="2034" t="s">
        <v>1786</v>
      </c>
      <c r="B9" s="2052" t="s">
        <v>3151</v>
      </c>
      <c r="C9" s="2053"/>
      <c r="D9" s="3067"/>
      <c r="E9" s="2052"/>
      <c r="F9" s="2054"/>
      <c r="G9" s="2055"/>
      <c r="H9" s="2055"/>
      <c r="I9" s="2055"/>
      <c r="J9" s="2036"/>
      <c r="K9" s="2047"/>
      <c r="L9" s="2022"/>
      <c r="M9" s="2022"/>
      <c r="N9" s="2023"/>
      <c r="O9" s="2024"/>
      <c r="P9" s="2023"/>
      <c r="Q9" s="2023"/>
      <c r="R9" s="2023"/>
    </row>
    <row r="10" spans="1:19" ht="18" customHeight="1" thickTop="1">
      <c r="A10" s="2056" t="s">
        <v>1787</v>
      </c>
      <c r="B10" s="2057" t="s">
        <v>3150</v>
      </c>
      <c r="C10" s="2954" t="s">
        <v>3178</v>
      </c>
      <c r="D10" s="2041"/>
      <c r="E10" s="2058" t="s">
        <v>1788</v>
      </c>
      <c r="F10" s="2059" t="s">
        <v>3168</v>
      </c>
      <c r="G10" s="2060"/>
      <c r="H10" s="2061"/>
      <c r="I10" s="2041"/>
      <c r="J10" s="2036"/>
      <c r="K10" s="2047"/>
      <c r="L10" s="2022"/>
      <c r="M10" s="2022"/>
      <c r="N10" s="2023"/>
      <c r="O10" s="2024"/>
      <c r="P10" s="2023"/>
      <c r="Q10" s="2023"/>
      <c r="R10" s="2023"/>
    </row>
    <row r="11" spans="1:19" ht="18" customHeight="1">
      <c r="A11" s="2062" t="s">
        <v>1789</v>
      </c>
      <c r="B11" s="2063" t="s">
        <v>3149</v>
      </c>
      <c r="C11" s="2952" t="s">
        <v>3167</v>
      </c>
      <c r="D11" s="2064"/>
      <c r="E11" s="2036"/>
      <c r="F11" s="2036"/>
      <c r="G11" s="2036"/>
      <c r="H11" s="2036"/>
      <c r="I11" s="2036"/>
      <c r="J11" s="2036"/>
      <c r="K11" s="2047"/>
      <c r="L11" s="2022"/>
      <c r="M11" s="2022"/>
      <c r="N11" s="2023"/>
      <c r="O11" s="2024"/>
      <c r="P11" s="2023"/>
      <c r="Q11" s="2023"/>
      <c r="R11" s="2023"/>
    </row>
    <row r="12" spans="1:19" ht="18" customHeight="1">
      <c r="A12" s="2065" t="s">
        <v>1790</v>
      </c>
      <c r="B12" s="2063" t="s">
        <v>3148</v>
      </c>
      <c r="C12" s="2066" t="s">
        <v>1791</v>
      </c>
      <c r="D12" s="2067" t="s">
        <v>1792</v>
      </c>
      <c r="E12" s="2067" t="s">
        <v>1793</v>
      </c>
      <c r="F12" s="2067" t="s">
        <v>1794</v>
      </c>
      <c r="G12" s="2067" t="s">
        <v>1795</v>
      </c>
      <c r="H12" s="2067" t="s">
        <v>1796</v>
      </c>
      <c r="I12" s="2067" t="s">
        <v>1797</v>
      </c>
      <c r="J12" s="2036"/>
      <c r="K12" s="2047"/>
      <c r="L12" s="2022"/>
      <c r="M12" s="2022"/>
      <c r="N12" s="2023"/>
      <c r="O12" s="2024"/>
      <c r="P12" s="2023"/>
      <c r="Q12" s="2023"/>
      <c r="R12" s="2023"/>
    </row>
    <row r="13" spans="1:19" ht="18" customHeight="1">
      <c r="A13" s="2068"/>
      <c r="B13" s="2069"/>
      <c r="C13" s="2070" t="s">
        <v>1798</v>
      </c>
      <c r="D13" s="2071"/>
      <c r="E13" s="2071">
        <v>54802</v>
      </c>
      <c r="F13" s="2071"/>
      <c r="G13" s="2071"/>
      <c r="H13" s="2071"/>
      <c r="I13" s="1047"/>
      <c r="J13" s="2036"/>
      <c r="K13" s="2047"/>
      <c r="L13" s="2022"/>
      <c r="M13" s="2022"/>
      <c r="N13" s="2023"/>
      <c r="O13" s="2024"/>
      <c r="P13" s="2023"/>
      <c r="Q13" s="2023"/>
      <c r="R13" s="2023"/>
    </row>
    <row r="14" spans="1:19" ht="18" customHeight="1">
      <c r="A14" s="2068"/>
      <c r="B14" s="2069"/>
      <c r="C14" s="2070" t="s">
        <v>1799</v>
      </c>
      <c r="D14" s="1050"/>
      <c r="E14" s="1050">
        <v>40</v>
      </c>
      <c r="F14" s="1050"/>
      <c r="G14" s="1050"/>
      <c r="H14" s="1050"/>
      <c r="I14" s="1050"/>
      <c r="J14" s="2036"/>
      <c r="K14" s="2072"/>
      <c r="L14" s="2022"/>
      <c r="M14" s="2022"/>
      <c r="N14" s="2023"/>
      <c r="O14" s="2024"/>
      <c r="P14" s="2023"/>
      <c r="Q14" s="2023"/>
      <c r="R14" s="2023"/>
    </row>
    <row r="15" spans="1:19" ht="18" customHeight="1">
      <c r="A15" s="2056"/>
      <c r="B15" s="2073"/>
      <c r="C15" s="2070" t="s">
        <v>1800</v>
      </c>
      <c r="D15" s="1049" t="str">
        <f>IF(B12="出让",IF(D13="","",ROUNDDOWN(MIN((D13-$D$3)/365,D14),2)),D14)</f>
        <v/>
      </c>
      <c r="E15" s="1049">
        <f>IF(B12="出让",IF(E13="","",ROUNDDOWN(MIN((E13-$D$3)/365,E14),2)),E14)</f>
        <v>31.38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6"/>
      <c r="K15" s="2074"/>
      <c r="L15" s="2075"/>
      <c r="M15" s="2075"/>
      <c r="N15" s="2076"/>
      <c r="O15" s="2075"/>
      <c r="P15" s="2076"/>
      <c r="Q15" s="2023"/>
      <c r="R15" s="2023"/>
    </row>
    <row r="16" spans="1:19" ht="30.75" customHeight="1">
      <c r="A16" s="2058" t="s">
        <v>1801</v>
      </c>
      <c r="B16" s="3073" t="s">
        <v>3171</v>
      </c>
      <c r="C16" s="3074"/>
      <c r="D16" s="3075"/>
      <c r="E16" s="2077" t="s">
        <v>1802</v>
      </c>
      <c r="F16" s="3076" t="s">
        <v>3170</v>
      </c>
      <c r="G16" s="3077"/>
      <c r="H16" s="3077"/>
      <c r="I16" s="3078"/>
      <c r="J16" s="2023"/>
      <c r="K16" s="2074"/>
      <c r="L16" s="2075"/>
      <c r="M16" s="2075"/>
      <c r="N16" s="2076"/>
      <c r="O16" s="2075"/>
      <c r="P16" s="2076"/>
      <c r="Q16" s="2023"/>
      <c r="R16" s="2023"/>
    </row>
    <row r="17" spans="1:22" ht="18" customHeight="1">
      <c r="A17" s="2078" t="s">
        <v>1803</v>
      </c>
      <c r="B17" s="2029" t="s">
        <v>1804</v>
      </c>
      <c r="C17" s="1054">
        <f>'数据-汇总表'!E3</f>
        <v>133.31</v>
      </c>
      <c r="D17" s="2079" t="s">
        <v>1805</v>
      </c>
      <c r="E17" s="3079"/>
      <c r="F17" s="3080"/>
      <c r="G17" s="3080"/>
      <c r="H17" s="3080"/>
      <c r="I17" s="3081"/>
      <c r="J17" s="2023"/>
      <c r="K17" s="2080"/>
      <c r="L17" s="2075"/>
      <c r="M17" s="2075"/>
      <c r="N17" s="2076"/>
      <c r="O17" s="2075"/>
      <c r="P17" s="2076"/>
      <c r="Q17" s="2023"/>
      <c r="R17" s="2023"/>
      <c r="S17" s="2023"/>
      <c r="T17" s="2023"/>
      <c r="U17" s="2023"/>
      <c r="V17" s="2023"/>
    </row>
    <row r="18" spans="1:22" ht="36" customHeight="1" thickBot="1">
      <c r="A18" s="2081" t="s">
        <v>1806</v>
      </c>
      <c r="B18" s="2032" t="s">
        <v>1807</v>
      </c>
      <c r="C18" s="1440">
        <f>'数据-汇总表'!D3</f>
        <v>9.2200000000000006</v>
      </c>
      <c r="D18" s="2082" t="s">
        <v>1805</v>
      </c>
      <c r="E18" s="3082" t="s">
        <v>3180</v>
      </c>
      <c r="F18" s="3083"/>
      <c r="G18" s="3083"/>
      <c r="H18" s="3083"/>
      <c r="I18" s="3084"/>
      <c r="J18" s="2023"/>
      <c r="K18" s="2080"/>
      <c r="L18" s="2075"/>
      <c r="M18" s="2075"/>
      <c r="N18" s="2076"/>
      <c r="O18" s="2075"/>
      <c r="P18" s="2076"/>
      <c r="Q18" s="2023"/>
      <c r="R18" s="2023"/>
      <c r="S18" s="2023"/>
      <c r="T18" s="2023"/>
      <c r="U18" s="2023"/>
      <c r="V18" s="2023"/>
    </row>
    <row r="19" spans="1:22" ht="37.5" customHeight="1" thickTop="1" thickBot="1">
      <c r="A19" s="372" t="s">
        <v>1808</v>
      </c>
      <c r="B19" s="351" t="s">
        <v>1809</v>
      </c>
      <c r="C19" s="2083" t="s">
        <v>3147</v>
      </c>
      <c r="D19" s="2084" t="s">
        <v>1810</v>
      </c>
      <c r="E19" s="2085"/>
      <c r="F19" s="2086" t="str">
        <f>IF(AND(C19="是",E19="否"),"是否提供他项权证或相关说明","")</f>
        <v/>
      </c>
      <c r="G19" s="2087"/>
      <c r="H19" s="2036"/>
      <c r="I19" s="2036"/>
      <c r="J19" s="2036"/>
      <c r="K19" s="2047"/>
      <c r="L19" s="2022"/>
      <c r="M19" s="2022"/>
      <c r="N19" s="2076"/>
      <c r="O19" s="2075"/>
      <c r="P19" s="2076"/>
      <c r="Q19" s="2023"/>
      <c r="R19" s="2023"/>
      <c r="S19" s="2023"/>
      <c r="T19" s="2023"/>
      <c r="U19" s="2023"/>
      <c r="V19" s="2023"/>
    </row>
    <row r="20" spans="1:22" ht="18" customHeight="1">
      <c r="A20" s="2088" t="s">
        <v>1811</v>
      </c>
      <c r="B20" s="3069" t="s">
        <v>1812</v>
      </c>
      <c r="C20" s="3070"/>
      <c r="D20" s="3071" t="s">
        <v>1813</v>
      </c>
      <c r="E20" s="3072"/>
      <c r="F20" s="2089" t="s">
        <v>1814</v>
      </c>
      <c r="G20" s="2036"/>
      <c r="H20" s="2036"/>
      <c r="I20" s="2036"/>
      <c r="J20" s="2036"/>
      <c r="K20" s="3068" t="s">
        <v>1815</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6"/>
      <c r="O20" s="2075"/>
      <c r="P20" s="2076"/>
      <c r="Q20" s="2023"/>
      <c r="R20" s="2023"/>
      <c r="S20" s="2023"/>
      <c r="T20" s="2023"/>
      <c r="U20" s="2023"/>
      <c r="V20" s="2023"/>
    </row>
    <row r="21" spans="1:22" ht="24.75" customHeight="1">
      <c r="A21" s="2088"/>
      <c r="B21" s="2090" t="s">
        <v>1816</v>
      </c>
      <c r="C21" s="2091" t="s">
        <v>1817</v>
      </c>
      <c r="D21" s="2092" t="s">
        <v>1818</v>
      </c>
      <c r="E21" s="2093" t="s">
        <v>1817</v>
      </c>
      <c r="F21" s="2094"/>
      <c r="G21" s="2036"/>
      <c r="H21" s="2036"/>
      <c r="I21" s="2036"/>
      <c r="J21" s="2036"/>
      <c r="K21" s="306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6"/>
      <c r="O21" s="2075"/>
      <c r="P21" s="2076"/>
      <c r="Q21" s="2023"/>
      <c r="R21" s="2023"/>
      <c r="S21" s="2023"/>
      <c r="T21" s="2023"/>
      <c r="U21" s="2023"/>
      <c r="V21" s="2023"/>
    </row>
    <row r="22" spans="1:22" ht="24.75" customHeight="1" thickBot="1">
      <c r="A22" s="2088"/>
      <c r="B22" s="2095" t="s">
        <v>1819</v>
      </c>
      <c r="C22" s="2091" t="s">
        <v>1820</v>
      </c>
      <c r="D22" s="2020"/>
      <c r="E22" s="2020"/>
      <c r="F22" s="2096"/>
      <c r="G22" s="2036"/>
      <c r="H22" s="2036"/>
      <c r="I22" s="2036"/>
      <c r="J22" s="2036"/>
      <c r="K22" s="306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1821</v>
      </c>
      <c r="B23" s="182" t="s">
        <v>1822</v>
      </c>
      <c r="C23" s="2098"/>
      <c r="D23" s="2099" t="s">
        <v>1822</v>
      </c>
      <c r="E23" s="2100"/>
      <c r="F23" s="2096"/>
      <c r="G23" s="2036"/>
      <c r="H23" s="2036"/>
      <c r="I23" s="2036"/>
      <c r="J23" s="2036"/>
      <c r="K23" s="2101"/>
      <c r="L23" s="745"/>
      <c r="M23" s="2022"/>
      <c r="N23" s="2076"/>
      <c r="O23" s="2075"/>
      <c r="P23" s="2076"/>
      <c r="Q23" s="2023"/>
      <c r="R23" s="2023"/>
      <c r="S23" s="2023"/>
      <c r="T23" s="2023"/>
      <c r="U23" s="2023"/>
      <c r="V23" s="2023"/>
    </row>
    <row r="24" spans="1:22" ht="18" customHeight="1">
      <c r="A24" s="2102"/>
      <c r="B24" s="182" t="s">
        <v>1823</v>
      </c>
      <c r="C24" s="2103"/>
      <c r="D24" s="2097" t="s">
        <v>1823</v>
      </c>
      <c r="E24" s="2104"/>
      <c r="F24" s="2096"/>
      <c r="G24" s="2036"/>
      <c r="H24" s="2036"/>
      <c r="I24" s="2036"/>
      <c r="J24" s="2036"/>
      <c r="K24" s="2101"/>
      <c r="L24" s="745"/>
      <c r="M24" s="2022"/>
      <c r="N24" s="2076"/>
      <c r="O24" s="2075"/>
      <c r="P24" s="2076"/>
      <c r="Q24" s="2023"/>
      <c r="R24" s="2023"/>
      <c r="S24" s="2023"/>
      <c r="T24" s="2023"/>
      <c r="U24" s="2023"/>
      <c r="V24" s="2023"/>
    </row>
    <row r="25" spans="1:22" ht="18" customHeight="1">
      <c r="A25" s="2102"/>
      <c r="B25" s="182" t="s">
        <v>1824</v>
      </c>
      <c r="C25" s="2103"/>
      <c r="D25" s="2097" t="s">
        <v>1824</v>
      </c>
      <c r="E25" s="2104"/>
      <c r="F25" s="2096"/>
      <c r="G25" s="2036"/>
      <c r="H25" s="2036"/>
      <c r="I25" s="2036"/>
      <c r="J25" s="2036"/>
      <c r="K25" s="2047"/>
      <c r="L25" s="2022"/>
      <c r="M25" s="2022"/>
      <c r="N25" s="2076"/>
      <c r="O25" s="2075"/>
      <c r="P25" s="2076"/>
      <c r="Q25" s="2023"/>
      <c r="R25" s="2023"/>
      <c r="S25" s="2023"/>
      <c r="T25" s="2023"/>
      <c r="U25" s="2023"/>
      <c r="V25" s="2023"/>
    </row>
    <row r="26" spans="1:22" ht="18" customHeight="1" thickBot="1">
      <c r="A26" s="2105"/>
      <c r="B26" s="2106" t="s">
        <v>1825</v>
      </c>
      <c r="C26" s="2107"/>
      <c r="D26" s="2108" t="s">
        <v>1826</v>
      </c>
      <c r="E26" s="2109"/>
      <c r="F26" s="2110"/>
      <c r="G26" s="2055"/>
      <c r="H26" s="2055"/>
      <c r="I26" s="2055"/>
      <c r="J26" s="2036"/>
      <c r="K26" s="2047"/>
      <c r="L26" s="2022"/>
      <c r="M26" s="2022"/>
      <c r="N26" s="2076"/>
      <c r="O26" s="2075"/>
      <c r="P26" s="2076"/>
      <c r="Q26" s="2023"/>
      <c r="R26" s="2023"/>
      <c r="S26" s="2023"/>
      <c r="T26" s="2023"/>
      <c r="U26" s="2023"/>
      <c r="V26" s="2023"/>
    </row>
    <row r="27" spans="1:22" ht="18" customHeight="1" thickTop="1">
      <c r="A27" s="3086" t="s">
        <v>1827</v>
      </c>
      <c r="B27" s="2056" t="s">
        <v>1828</v>
      </c>
      <c r="C27" s="2111"/>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086"/>
      <c r="B28" s="2029" t="s">
        <v>1829</v>
      </c>
      <c r="C28" s="2113"/>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086"/>
      <c r="B29" s="2029" t="s">
        <v>1830</v>
      </c>
      <c r="C29" s="2116"/>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087"/>
      <c r="B30" s="2029" t="s">
        <v>1831</v>
      </c>
      <c r="C30" s="3088"/>
      <c r="D30" s="3089"/>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090" t="s">
        <v>1832</v>
      </c>
      <c r="B31" s="2118" t="s">
        <v>3155</v>
      </c>
      <c r="C31" s="2119" t="str">
        <f>IF(B31="现房","成新及维护状况正常否",IF(B31="在建","工程状态是否正常",IF(B31="土地","是否闲置","-")))</f>
        <v>成新及维护状况正常否</v>
      </c>
      <c r="D31" s="2120"/>
      <c r="E31" s="2121"/>
      <c r="F31" s="2036"/>
      <c r="G31" s="2036"/>
      <c r="H31" s="2036"/>
      <c r="I31" s="2036"/>
      <c r="J31" s="2036"/>
      <c r="K31" s="2045"/>
      <c r="L31" s="2022"/>
      <c r="M31" s="2022"/>
      <c r="N31" s="2023"/>
      <c r="O31" s="2024"/>
      <c r="P31" s="2023"/>
      <c r="Q31" s="2023"/>
      <c r="R31" s="2023"/>
      <c r="S31" s="2023"/>
      <c r="T31" s="2023"/>
      <c r="U31" s="2023"/>
      <c r="V31" s="2023"/>
    </row>
    <row r="32" spans="1:22" ht="18" customHeight="1">
      <c r="A32" s="3091"/>
      <c r="B32" s="2118"/>
      <c r="C32" s="2119" t="str">
        <f>IF(B32="现房","成新及维护状况是否正常",IF(B32="在建","工程状态是否正常",IF(B32="土地","是否闲置","-")))</f>
        <v>-</v>
      </c>
      <c r="D32" s="2120"/>
      <c r="E32" s="2121"/>
      <c r="F32" s="2036"/>
      <c r="G32" s="2036"/>
      <c r="H32" s="2036"/>
      <c r="I32" s="2036"/>
      <c r="J32" s="2036"/>
      <c r="K32" s="2047"/>
      <c r="L32" s="2022"/>
      <c r="M32" s="2022"/>
      <c r="N32" s="2023"/>
      <c r="O32" s="2024"/>
      <c r="P32" s="2023"/>
      <c r="Q32" s="2023"/>
      <c r="R32" s="2023"/>
      <c r="S32" s="2023"/>
      <c r="T32" s="2023"/>
      <c r="U32" s="2023"/>
      <c r="V32" s="2023"/>
    </row>
    <row r="33" spans="1:22" ht="18" customHeight="1">
      <c r="A33" s="3091"/>
      <c r="B33" s="2122"/>
      <c r="C33" s="2062" t="str">
        <f>IF(B33="现房","成新及维护状况是否正常",IF(B33="在建","工程状态是否正常",IF(B33="土地","是否闲置","-")))</f>
        <v>-</v>
      </c>
      <c r="D33" s="2123"/>
      <c r="E33" s="2124"/>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1833</v>
      </c>
      <c r="B34" s="2125" t="s">
        <v>3172</v>
      </c>
      <c r="C34" s="2125" t="s">
        <v>3173</v>
      </c>
      <c r="D34" s="2125" t="s">
        <v>3174</v>
      </c>
      <c r="E34" s="2125" t="s">
        <v>3175</v>
      </c>
      <c r="F34" s="2125" t="s">
        <v>3176</v>
      </c>
      <c r="G34" s="2125"/>
      <c r="H34" s="2125"/>
      <c r="I34" s="2036"/>
      <c r="J34" s="2036"/>
      <c r="K34" s="1790">
        <f>COUNTIF(B34:H34,"——")</f>
        <v>0</v>
      </c>
      <c r="L34" s="2066" t="s">
        <v>1834</v>
      </c>
      <c r="M34" s="2066" t="s">
        <v>1835</v>
      </c>
      <c r="N34" s="2066" t="s">
        <v>1836</v>
      </c>
      <c r="O34" s="2066" t="s">
        <v>1837</v>
      </c>
      <c r="P34" s="2066" t="s">
        <v>1838</v>
      </c>
      <c r="Q34" s="2066" t="s">
        <v>1839</v>
      </c>
      <c r="R34" s="2066" t="s">
        <v>1840</v>
      </c>
      <c r="S34" s="3085" t="s">
        <v>1841</v>
      </c>
      <c r="T34" s="2126" t="str">
        <f>NUMBERSTRING(7-K34,1)&amp;"通"</f>
        <v>七通</v>
      </c>
      <c r="U34" s="2023"/>
      <c r="V34" s="2023"/>
    </row>
    <row r="35" spans="1:22" ht="18" customHeight="1">
      <c r="A35" s="2127"/>
      <c r="B35" s="3092" t="s">
        <v>1842</v>
      </c>
      <c r="C35" s="3092"/>
      <c r="D35" s="3092"/>
      <c r="E35" s="3092"/>
      <c r="F35" s="2128" t="str">
        <f>C10</f>
        <v>江苏省镇江市京口区</v>
      </c>
      <c r="G35" s="2036"/>
      <c r="H35" s="2036"/>
      <c r="I35" s="2036"/>
      <c r="J35" s="2036"/>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5"/>
      <c r="T35" s="48" t="str">
        <f>IF(T34="一通",L35,IF(T34="二通",M35,IF(T34="三通",N35,IF(T34="四通",O35,IF(T34="五通",P35,IF(T34="六通",Q35,R35))))))</f>
        <v>通路、通电、通讯、通上水、通下水、、</v>
      </c>
      <c r="U35" s="2023"/>
      <c r="V35" s="2023"/>
    </row>
    <row r="36" spans="1:22" ht="18" customHeight="1">
      <c r="A36" s="2129"/>
      <c r="B36" s="2128" t="s">
        <v>1843</v>
      </c>
      <c r="C36" s="2128" t="s">
        <v>1844</v>
      </c>
      <c r="D36" s="2128" t="s">
        <v>1845</v>
      </c>
      <c r="E36" s="2128" t="s">
        <v>1846</v>
      </c>
      <c r="F36" s="2130"/>
      <c r="G36" s="2036"/>
      <c r="H36" s="2036"/>
      <c r="I36" s="2036"/>
      <c r="J36" s="2036"/>
      <c r="K36" s="2047"/>
      <c r="L36" s="2022"/>
      <c r="M36" s="2022"/>
      <c r="N36" s="2023"/>
      <c r="O36" s="2024"/>
      <c r="P36" s="2023"/>
      <c r="Q36" s="2023"/>
      <c r="R36" s="2023"/>
      <c r="S36" s="2023"/>
      <c r="T36" s="2023"/>
      <c r="U36" s="2023"/>
      <c r="V36" s="2023"/>
    </row>
    <row r="37" spans="1:22" ht="18" customHeight="1">
      <c r="A37" s="2131" t="s">
        <v>1847</v>
      </c>
      <c r="B37" s="2132"/>
      <c r="C37" s="2132"/>
      <c r="D37" s="2132"/>
      <c r="E37" s="2132"/>
      <c r="F37" s="2130"/>
      <c r="G37" s="2036"/>
      <c r="H37" s="2036"/>
      <c r="I37" s="2036"/>
      <c r="J37" s="2036"/>
      <c r="K37" s="2047"/>
      <c r="L37" s="2022"/>
      <c r="M37" s="2022"/>
      <c r="N37" s="2023"/>
      <c r="O37" s="2024"/>
      <c r="P37" s="2023"/>
      <c r="Q37" s="2023"/>
      <c r="R37" s="2023"/>
      <c r="S37" s="2023"/>
      <c r="T37" s="2023"/>
      <c r="U37" s="2023"/>
      <c r="V37" s="2023"/>
    </row>
    <row r="38" spans="1:22" ht="18" customHeight="1" thickBot="1">
      <c r="A38" s="2133" t="s">
        <v>1848</v>
      </c>
      <c r="B38" s="2134"/>
      <c r="C38" s="2134"/>
      <c r="D38" s="2134"/>
      <c r="E38" s="2134"/>
      <c r="F38" s="2135"/>
      <c r="G38" s="2055"/>
      <c r="H38" s="2055"/>
      <c r="I38" s="2055"/>
      <c r="J38" s="2036"/>
      <c r="K38" s="2047"/>
      <c r="L38" s="2022"/>
      <c r="M38" s="2022"/>
      <c r="N38" s="2023"/>
      <c r="O38" s="2024"/>
      <c r="P38" s="2023"/>
      <c r="Q38" s="2023"/>
      <c r="R38" s="2023"/>
      <c r="S38" s="2023"/>
      <c r="T38" s="2023"/>
      <c r="U38" s="2023"/>
      <c r="V38" s="2023"/>
    </row>
    <row r="39" spans="1:22" s="2140" customFormat="1" ht="18" customHeight="1" thickTop="1" thickBot="1">
      <c r="A39" s="2136" t="s">
        <v>1849</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3"/>
      <c r="L40" s="2075"/>
      <c r="M40" s="2075"/>
      <c r="N40" s="2076"/>
      <c r="O40" s="2075"/>
      <c r="P40" s="2023"/>
      <c r="Q40" s="2023"/>
      <c r="R40" s="2023"/>
      <c r="S40" s="2023"/>
      <c r="T40" s="2023"/>
      <c r="U40" s="2023"/>
      <c r="V40" s="2023"/>
    </row>
    <row r="41" spans="1:22" ht="18" customHeight="1">
      <c r="A41" s="8" t="s">
        <v>1850</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1851</v>
      </c>
      <c r="B42" s="1790" t="s">
        <v>1852</v>
      </c>
      <c r="C42" s="1790" t="s">
        <v>1853</v>
      </c>
      <c r="D42" s="1790" t="s">
        <v>1854</v>
      </c>
      <c r="E42" s="1790" t="s">
        <v>1855</v>
      </c>
      <c r="F42" s="1790" t="s">
        <v>1856</v>
      </c>
      <c r="G42" s="1790" t="s">
        <v>1857</v>
      </c>
      <c r="H42" s="1790" t="s">
        <v>1858</v>
      </c>
      <c r="I42" s="1790" t="s">
        <v>1859</v>
      </c>
      <c r="J42" s="2144" t="s">
        <v>1860</v>
      </c>
      <c r="K42" s="2067" t="s">
        <v>1861</v>
      </c>
      <c r="L42" s="2067" t="s">
        <v>1862</v>
      </c>
      <c r="M42" s="2067" t="s">
        <v>1863</v>
      </c>
      <c r="N42" s="1790" t="s">
        <v>1864</v>
      </c>
      <c r="O42" s="1790" t="s">
        <v>1865</v>
      </c>
      <c r="P42" s="1790" t="s">
        <v>1866</v>
      </c>
      <c r="Q42" s="2066" t="s">
        <v>1867</v>
      </c>
      <c r="R42" s="2066" t="s">
        <v>1868</v>
      </c>
      <c r="S42" s="2023"/>
      <c r="T42" s="2023"/>
      <c r="U42" s="2023"/>
      <c r="V42" s="2023"/>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1870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1871</v>
      </c>
      <c r="B2" s="11" t="s">
        <v>1872</v>
      </c>
      <c r="C2" s="11" t="s">
        <v>1873</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1874</v>
      </c>
      <c r="AZ2" s="1266" t="s">
        <v>1875</v>
      </c>
      <c r="BA2" s="11" t="s">
        <v>1876</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9.2200000000000006</v>
      </c>
      <c r="B3" s="14">
        <f>IF(C3="否",G5-AT5,G5)</f>
        <v>133.31</v>
      </c>
      <c r="C3" s="2160" t="s">
        <v>1877</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1878</v>
      </c>
      <c r="B5" s="1798"/>
      <c r="C5" s="1798"/>
      <c r="D5" s="1801"/>
      <c r="E5" s="16" t="s">
        <v>1</v>
      </c>
      <c r="F5" s="16">
        <f>SUM(F13:F587)</f>
        <v>0</v>
      </c>
      <c r="G5" s="16">
        <f>SUM(G13:G587)</f>
        <v>133.31</v>
      </c>
      <c r="H5" s="16">
        <f t="shared" ref="H5:AT5" si="0">SUM(H13:H656)</f>
        <v>133.31</v>
      </c>
      <c r="I5" s="16">
        <f t="shared" si="0"/>
        <v>133.31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133.31</v>
      </c>
      <c r="BA5" s="18">
        <f t="shared" si="1"/>
        <v>133.31</v>
      </c>
      <c r="BB5" s="18">
        <f t="shared" si="1"/>
        <v>133.31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1879</v>
      </c>
      <c r="B6" s="2166"/>
      <c r="C6" s="2166"/>
      <c r="D6" s="2167"/>
      <c r="E6" s="16">
        <f>H6+AC6+AT6</f>
        <v>9.2200000000000006</v>
      </c>
      <c r="F6" s="16" t="s">
        <v>1</v>
      </c>
      <c r="G6" s="16" t="s">
        <v>2</v>
      </c>
      <c r="H6" s="20">
        <f>SUMIF(I$12:AB$12,"总值",I6:AB6)</f>
        <v>9.2200000000000006</v>
      </c>
      <c r="I6" s="16">
        <f t="shared" ref="I6:AB6" si="2">ROUND($A$3*I5/$B$3,2)</f>
        <v>9.2200000000000006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1879</v>
      </c>
      <c r="AW6" s="2166"/>
      <c r="AX6" s="2166"/>
      <c r="AY6" s="21">
        <f>IF(AY3&gt;0,AY3,ROUND($A$3*AZ5/$B$3,2))</f>
        <v>9.2200000000000006</v>
      </c>
      <c r="AZ6" s="16" t="s">
        <v>3</v>
      </c>
      <c r="BA6" s="16">
        <f>ROUND($AY$6*BA5/$AZ$5,2)</f>
        <v>9.2200000000000006</v>
      </c>
      <c r="BB6" s="16">
        <f>ROUND($AY$6*BB5/$AZ$5,2)</f>
        <v>9.2200000000000006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1880</v>
      </c>
      <c r="B7" s="2101" t="s">
        <v>1881</v>
      </c>
      <c r="C7" s="2101" t="s">
        <v>1882</v>
      </c>
      <c r="D7" s="2101" t="s">
        <v>1883</v>
      </c>
      <c r="E7" s="2101" t="s">
        <v>1884</v>
      </c>
      <c r="F7" s="2101" t="s">
        <v>1885</v>
      </c>
      <c r="G7" s="2170" t="s">
        <v>1886</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1887</v>
      </c>
      <c r="AV7" s="23" t="s">
        <v>1888</v>
      </c>
      <c r="AW7" s="2158" t="s">
        <v>1889</v>
      </c>
      <c r="AX7" s="23" t="s">
        <v>1882</v>
      </c>
      <c r="AY7" s="1798" t="s">
        <v>1890</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1891</v>
      </c>
      <c r="H8" s="2176" t="s">
        <v>1892</v>
      </c>
      <c r="I8" s="2177"/>
      <c r="J8" s="1813"/>
      <c r="K8" s="1813"/>
      <c r="L8" s="1813"/>
      <c r="M8" s="1813"/>
      <c r="N8" s="1813"/>
      <c r="O8" s="1813"/>
      <c r="P8" s="1813"/>
      <c r="Q8" s="1813"/>
      <c r="R8" s="1813"/>
      <c r="S8" s="1813"/>
      <c r="T8" s="1813"/>
      <c r="U8" s="1813"/>
      <c r="V8" s="2178"/>
      <c r="W8" s="1813"/>
      <c r="X8" s="1813"/>
      <c r="Y8" s="1813"/>
      <c r="Z8" s="1813"/>
      <c r="AA8" s="2178"/>
      <c r="AB8" s="2179"/>
      <c r="AC8" s="981" t="s">
        <v>1893</v>
      </c>
      <c r="AD8" s="2180"/>
      <c r="AE8" s="2172"/>
      <c r="AF8" s="1813"/>
      <c r="AG8" s="1813"/>
      <c r="AH8" s="1813"/>
      <c r="AI8" s="1813"/>
      <c r="AJ8" s="1813"/>
      <c r="AK8" s="1813"/>
      <c r="AL8" s="1813"/>
      <c r="AM8" s="1813"/>
      <c r="AN8" s="1813"/>
      <c r="AO8" s="1813"/>
      <c r="AP8" s="1813"/>
      <c r="AQ8" s="1813"/>
      <c r="AR8" s="1813"/>
      <c r="AS8" s="1813"/>
      <c r="AT8" s="1288" t="s">
        <v>1894</v>
      </c>
      <c r="AU8" s="2174" t="s">
        <v>1895</v>
      </c>
      <c r="AV8" s="1288"/>
      <c r="AW8" s="2157"/>
      <c r="AX8" s="1288"/>
      <c r="AY8" s="2158"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8"/>
      <c r="H9" s="2182" t="s">
        <v>1898</v>
      </c>
      <c r="I9" s="2183" t="s">
        <v>3139</v>
      </c>
      <c r="J9" s="981"/>
      <c r="K9" s="2183"/>
      <c r="L9" s="981"/>
      <c r="M9" s="2183"/>
      <c r="N9" s="981"/>
      <c r="O9" s="2183"/>
      <c r="P9" s="981"/>
      <c r="Q9" s="2183"/>
      <c r="R9" s="981"/>
      <c r="S9" s="2183"/>
      <c r="T9" s="981"/>
      <c r="U9" s="2183"/>
      <c r="V9" s="981"/>
      <c r="W9" s="2183"/>
      <c r="X9" s="2184"/>
      <c r="Y9" s="2183"/>
      <c r="Z9" s="981"/>
      <c r="AA9" s="2183"/>
      <c r="AB9" s="981"/>
      <c r="AC9" s="2175"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85"/>
      <c r="AT9" s="2174"/>
      <c r="AU9" s="2174" t="s">
        <v>1901</v>
      </c>
      <c r="AV9" s="1288"/>
      <c r="AW9" s="2157"/>
      <c r="AX9" s="1288"/>
      <c r="AY9" s="28"/>
      <c r="AZ9" s="28" t="s">
        <v>1891</v>
      </c>
      <c r="BA9" s="2186" t="s">
        <v>1902</v>
      </c>
      <c r="BB9" s="2187"/>
      <c r="BC9" s="1334"/>
      <c r="BD9" s="1334"/>
      <c r="BE9" s="1334"/>
      <c r="BF9" s="1334"/>
      <c r="BG9" s="1334"/>
      <c r="BH9" s="1334"/>
      <c r="BI9" s="1334"/>
      <c r="BJ9" s="1334"/>
      <c r="BK9" s="2188"/>
      <c r="BL9" s="15" t="s">
        <v>1903</v>
      </c>
      <c r="BM9" s="1813"/>
      <c r="BN9" s="2177"/>
      <c r="BO9" s="1813"/>
      <c r="BP9" s="1813"/>
      <c r="BQ9" s="1813"/>
      <c r="BR9" s="1813"/>
      <c r="BS9" s="1813"/>
      <c r="BT9" s="26"/>
    </row>
    <row r="10" spans="1:72" s="2181" customFormat="1" ht="12.75">
      <c r="A10" s="2174"/>
      <c r="B10" s="2174"/>
      <c r="C10" s="2174"/>
      <c r="D10" s="2174"/>
      <c r="E10" s="2174"/>
      <c r="F10" s="2174"/>
      <c r="G10" s="1288"/>
      <c r="H10" s="28"/>
      <c r="I10" s="2183" t="s">
        <v>1377</v>
      </c>
      <c r="J10" s="981"/>
      <c r="K10" s="2189"/>
      <c r="L10" s="981"/>
      <c r="M10" s="2189"/>
      <c r="N10" s="981"/>
      <c r="O10" s="2189"/>
      <c r="P10" s="981"/>
      <c r="Q10" s="2189"/>
      <c r="R10" s="981"/>
      <c r="S10" s="2189"/>
      <c r="T10" s="981"/>
      <c r="U10" s="2189"/>
      <c r="V10" s="981"/>
      <c r="W10" s="2189"/>
      <c r="X10" s="981"/>
      <c r="Y10" s="2189"/>
      <c r="Z10" s="981"/>
      <c r="AA10" s="2189"/>
      <c r="AB10" s="981"/>
      <c r="AC10" s="1288"/>
      <c r="AD10" s="15" t="s">
        <v>1904</v>
      </c>
      <c r="AE10" s="2190"/>
      <c r="AF10" s="15" t="s">
        <v>1904</v>
      </c>
      <c r="AG10" s="2190"/>
      <c r="AH10" s="15" t="s">
        <v>1905</v>
      </c>
      <c r="AI10" s="2190"/>
      <c r="AJ10" s="15" t="s">
        <v>1905</v>
      </c>
      <c r="AK10" s="2190"/>
      <c r="AL10" s="15" t="s">
        <v>1906</v>
      </c>
      <c r="AM10" s="1294"/>
      <c r="AN10" s="15" t="s">
        <v>1906</v>
      </c>
      <c r="AO10" s="1294"/>
      <c r="AP10" s="15" t="s">
        <v>1907</v>
      </c>
      <c r="AQ10" s="1294"/>
      <c r="AR10" s="15" t="s">
        <v>1907</v>
      </c>
      <c r="AS10" s="1294"/>
      <c r="AT10" s="2174"/>
      <c r="AU10" s="2174"/>
      <c r="AV10" s="1288"/>
      <c r="AW10" s="2157"/>
      <c r="AX10" s="1288"/>
      <c r="AY10" s="28"/>
      <c r="AZ10" s="28"/>
      <c r="BA10" s="2191" t="s">
        <v>1898</v>
      </c>
      <c r="BB10" s="2192" t="str">
        <f>I9</f>
        <v>地上</v>
      </c>
      <c r="BC10" s="29">
        <f>K9</f>
        <v>0</v>
      </c>
      <c r="BD10" s="29">
        <f>M9</f>
        <v>0</v>
      </c>
      <c r="BE10" s="29">
        <f>O9</f>
        <v>0</v>
      </c>
      <c r="BF10" s="29">
        <f>Q9</f>
        <v>0</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8"/>
      <c r="H11" s="2191"/>
      <c r="I11" s="2194" t="s">
        <v>3181</v>
      </c>
      <c r="J11" s="2195"/>
      <c r="K11" s="2194"/>
      <c r="L11" s="2195"/>
      <c r="M11" s="2194"/>
      <c r="N11" s="2195"/>
      <c r="O11" s="2194"/>
      <c r="P11" s="2195"/>
      <c r="Q11" s="2194"/>
      <c r="R11" s="2195"/>
      <c r="S11" s="2194"/>
      <c r="T11" s="2195"/>
      <c r="U11" s="2194"/>
      <c r="V11" s="2195"/>
      <c r="W11" s="2194"/>
      <c r="X11" s="2195"/>
      <c r="Y11" s="2194"/>
      <c r="Z11" s="2195"/>
      <c r="AA11" s="2194"/>
      <c r="AB11" s="2195"/>
      <c r="AC11" s="1288"/>
      <c r="AD11" s="2196" t="s">
        <v>1908</v>
      </c>
      <c r="AE11" s="1814"/>
      <c r="AF11" s="2196" t="s">
        <v>1908</v>
      </c>
      <c r="AG11" s="1814"/>
      <c r="AH11" s="2196" t="s">
        <v>1909</v>
      </c>
      <c r="AI11" s="2197"/>
      <c r="AJ11" s="2196" t="s">
        <v>1909</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1"/>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9" t="s">
        <v>1911</v>
      </c>
      <c r="AT12" s="2202"/>
      <c r="AU12" s="2199"/>
      <c r="AV12" s="31"/>
      <c r="AW12" s="2158"/>
      <c r="AX12" s="31"/>
      <c r="AY12" s="2203"/>
      <c r="AZ12" s="28"/>
      <c r="BA12" s="2191"/>
      <c r="BB12" s="24" t="str">
        <f>I11</f>
        <v>独立商业</v>
      </c>
      <c r="BC12" s="2204">
        <f>K11</f>
        <v>0</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2946" t="s">
        <v>3234</v>
      </c>
      <c r="D13" s="2205" t="s">
        <v>3138</v>
      </c>
      <c r="E13" s="16">
        <f>IF($C$3="是",ROUND($A$3*G13/$B$3,2),ROUND($A$3*(G13-AT13)/$B$3,2))</f>
        <v>9.2200000000000006</v>
      </c>
      <c r="F13" s="32"/>
      <c r="G13" s="33">
        <f>H13+AC13+AT13</f>
        <v>133.31</v>
      </c>
      <c r="H13" s="20">
        <f>SUMIF(I$12:AB$12,"总值",I13:AB13)</f>
        <v>133.31</v>
      </c>
      <c r="I13" s="2206">
        <f>抵押物清单!D6</f>
        <v>133.31</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106</v>
      </c>
      <c r="AY13" s="1801">
        <f>ROUND($AY$6*AZ13/$AZ$5,2)</f>
        <v>9.2200000000000006</v>
      </c>
      <c r="AZ13" s="16">
        <f>BA13+BL13</f>
        <v>133.31</v>
      </c>
      <c r="BA13" s="16">
        <f>SUM(BB13:BK13)</f>
        <v>133.31</v>
      </c>
      <c r="BB13" s="16">
        <f>IF($D13="是",I13-J13,0)</f>
        <v>133.31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1268"/>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topLeftCell="A67" zoomScaleSheetLayoutView="100" workbookViewId="0">
      <selection activeCell="G5" sqref="G5"/>
    </sheetView>
  </sheetViews>
  <sheetFormatPr defaultRowHeight="13.5"/>
  <cols>
    <col min="1" max="1" width="5.75" style="2945" customWidth="1"/>
    <col min="2" max="2" width="10.625" style="2943" customWidth="1"/>
    <col min="3" max="3" width="11.75" style="2937" customWidth="1"/>
    <col min="4" max="4" width="19.5" style="2937" customWidth="1"/>
    <col min="5" max="5" width="23.375" style="2937" customWidth="1"/>
    <col min="6" max="6" width="9" style="2937"/>
    <col min="7" max="7" width="10.5" style="2937" bestFit="1" customWidth="1"/>
    <col min="8" max="8" width="11.625" style="2937" bestFit="1" customWidth="1"/>
    <col min="9" max="256" width="9" style="2937"/>
    <col min="257" max="257" width="5.75" style="2937" customWidth="1"/>
    <col min="258" max="258" width="10.625" style="2937" customWidth="1"/>
    <col min="259" max="259" width="11.75" style="2937" customWidth="1"/>
    <col min="260" max="260" width="19.5" style="2937" customWidth="1"/>
    <col min="261" max="261" width="23.375" style="2937" customWidth="1"/>
    <col min="262" max="512" width="9" style="2937"/>
    <col min="513" max="513" width="5.75" style="2937" customWidth="1"/>
    <col min="514" max="514" width="10.625" style="2937" customWidth="1"/>
    <col min="515" max="515" width="11.75" style="2937" customWidth="1"/>
    <col min="516" max="516" width="19.5" style="2937" customWidth="1"/>
    <col min="517" max="517" width="23.375" style="2937" customWidth="1"/>
    <col min="518" max="768" width="9" style="2937"/>
    <col min="769" max="769" width="5.75" style="2937" customWidth="1"/>
    <col min="770" max="770" width="10.625" style="2937" customWidth="1"/>
    <col min="771" max="771" width="11.75" style="2937" customWidth="1"/>
    <col min="772" max="772" width="19.5" style="2937" customWidth="1"/>
    <col min="773" max="773" width="23.375" style="2937" customWidth="1"/>
    <col min="774" max="1024" width="9" style="2937"/>
    <col min="1025" max="1025" width="5.75" style="2937" customWidth="1"/>
    <col min="1026" max="1026" width="10.625" style="2937" customWidth="1"/>
    <col min="1027" max="1027" width="11.75" style="2937" customWidth="1"/>
    <col min="1028" max="1028" width="19.5" style="2937" customWidth="1"/>
    <col min="1029" max="1029" width="23.375" style="2937" customWidth="1"/>
    <col min="1030" max="1280" width="9" style="2937"/>
    <col min="1281" max="1281" width="5.75" style="2937" customWidth="1"/>
    <col min="1282" max="1282" width="10.625" style="2937" customWidth="1"/>
    <col min="1283" max="1283" width="11.75" style="2937" customWidth="1"/>
    <col min="1284" max="1284" width="19.5" style="2937" customWidth="1"/>
    <col min="1285" max="1285" width="23.375" style="2937" customWidth="1"/>
    <col min="1286" max="1536" width="9" style="2937"/>
    <col min="1537" max="1537" width="5.75" style="2937" customWidth="1"/>
    <col min="1538" max="1538" width="10.625" style="2937" customWidth="1"/>
    <col min="1539" max="1539" width="11.75" style="2937" customWidth="1"/>
    <col min="1540" max="1540" width="19.5" style="2937" customWidth="1"/>
    <col min="1541" max="1541" width="23.375" style="2937" customWidth="1"/>
    <col min="1542" max="1792" width="9" style="2937"/>
    <col min="1793" max="1793" width="5.75" style="2937" customWidth="1"/>
    <col min="1794" max="1794" width="10.625" style="2937" customWidth="1"/>
    <col min="1795" max="1795" width="11.75" style="2937" customWidth="1"/>
    <col min="1796" max="1796" width="19.5" style="2937" customWidth="1"/>
    <col min="1797" max="1797" width="23.375" style="2937" customWidth="1"/>
    <col min="1798" max="2048" width="9" style="2937"/>
    <col min="2049" max="2049" width="5.75" style="2937" customWidth="1"/>
    <col min="2050" max="2050" width="10.625" style="2937" customWidth="1"/>
    <col min="2051" max="2051" width="11.75" style="2937" customWidth="1"/>
    <col min="2052" max="2052" width="19.5" style="2937" customWidth="1"/>
    <col min="2053" max="2053" width="23.375" style="2937" customWidth="1"/>
    <col min="2054" max="2304" width="9" style="2937"/>
    <col min="2305" max="2305" width="5.75" style="2937" customWidth="1"/>
    <col min="2306" max="2306" width="10.625" style="2937" customWidth="1"/>
    <col min="2307" max="2307" width="11.75" style="2937" customWidth="1"/>
    <col min="2308" max="2308" width="19.5" style="2937" customWidth="1"/>
    <col min="2309" max="2309" width="23.375" style="2937" customWidth="1"/>
    <col min="2310" max="2560" width="9" style="2937"/>
    <col min="2561" max="2561" width="5.75" style="2937" customWidth="1"/>
    <col min="2562" max="2562" width="10.625" style="2937" customWidth="1"/>
    <col min="2563" max="2563" width="11.75" style="2937" customWidth="1"/>
    <col min="2564" max="2564" width="19.5" style="2937" customWidth="1"/>
    <col min="2565" max="2565" width="23.375" style="2937" customWidth="1"/>
    <col min="2566" max="2816" width="9" style="2937"/>
    <col min="2817" max="2817" width="5.75" style="2937" customWidth="1"/>
    <col min="2818" max="2818" width="10.625" style="2937" customWidth="1"/>
    <col min="2819" max="2819" width="11.75" style="2937" customWidth="1"/>
    <col min="2820" max="2820" width="19.5" style="2937" customWidth="1"/>
    <col min="2821" max="2821" width="23.375" style="2937" customWidth="1"/>
    <col min="2822" max="3072" width="9" style="2937"/>
    <col min="3073" max="3073" width="5.75" style="2937" customWidth="1"/>
    <col min="3074" max="3074" width="10.625" style="2937" customWidth="1"/>
    <col min="3075" max="3075" width="11.75" style="2937" customWidth="1"/>
    <col min="3076" max="3076" width="19.5" style="2937" customWidth="1"/>
    <col min="3077" max="3077" width="23.375" style="2937" customWidth="1"/>
    <col min="3078" max="3328" width="9" style="2937"/>
    <col min="3329" max="3329" width="5.75" style="2937" customWidth="1"/>
    <col min="3330" max="3330" width="10.625" style="2937" customWidth="1"/>
    <col min="3331" max="3331" width="11.75" style="2937" customWidth="1"/>
    <col min="3332" max="3332" width="19.5" style="2937" customWidth="1"/>
    <col min="3333" max="3333" width="23.375" style="2937" customWidth="1"/>
    <col min="3334" max="3584" width="9" style="2937"/>
    <col min="3585" max="3585" width="5.75" style="2937" customWidth="1"/>
    <col min="3586" max="3586" width="10.625" style="2937" customWidth="1"/>
    <col min="3587" max="3587" width="11.75" style="2937" customWidth="1"/>
    <col min="3588" max="3588" width="19.5" style="2937" customWidth="1"/>
    <col min="3589" max="3589" width="23.375" style="2937" customWidth="1"/>
    <col min="3590" max="3840" width="9" style="2937"/>
    <col min="3841" max="3841" width="5.75" style="2937" customWidth="1"/>
    <col min="3842" max="3842" width="10.625" style="2937" customWidth="1"/>
    <col min="3843" max="3843" width="11.75" style="2937" customWidth="1"/>
    <col min="3844" max="3844" width="19.5" style="2937" customWidth="1"/>
    <col min="3845" max="3845" width="23.375" style="2937" customWidth="1"/>
    <col min="3846" max="4096" width="9" style="2937"/>
    <col min="4097" max="4097" width="5.75" style="2937" customWidth="1"/>
    <col min="4098" max="4098" width="10.625" style="2937" customWidth="1"/>
    <col min="4099" max="4099" width="11.75" style="2937" customWidth="1"/>
    <col min="4100" max="4100" width="19.5" style="2937" customWidth="1"/>
    <col min="4101" max="4101" width="23.375" style="2937" customWidth="1"/>
    <col min="4102" max="4352" width="9" style="2937"/>
    <col min="4353" max="4353" width="5.75" style="2937" customWidth="1"/>
    <col min="4354" max="4354" width="10.625" style="2937" customWidth="1"/>
    <col min="4355" max="4355" width="11.75" style="2937" customWidth="1"/>
    <col min="4356" max="4356" width="19.5" style="2937" customWidth="1"/>
    <col min="4357" max="4357" width="23.375" style="2937" customWidth="1"/>
    <col min="4358" max="4608" width="9" style="2937"/>
    <col min="4609" max="4609" width="5.75" style="2937" customWidth="1"/>
    <col min="4610" max="4610" width="10.625" style="2937" customWidth="1"/>
    <col min="4611" max="4611" width="11.75" style="2937" customWidth="1"/>
    <col min="4612" max="4612" width="19.5" style="2937" customWidth="1"/>
    <col min="4613" max="4613" width="23.375" style="2937" customWidth="1"/>
    <col min="4614" max="4864" width="9" style="2937"/>
    <col min="4865" max="4865" width="5.75" style="2937" customWidth="1"/>
    <col min="4866" max="4866" width="10.625" style="2937" customWidth="1"/>
    <col min="4867" max="4867" width="11.75" style="2937" customWidth="1"/>
    <col min="4868" max="4868" width="19.5" style="2937" customWidth="1"/>
    <col min="4869" max="4869" width="23.375" style="2937" customWidth="1"/>
    <col min="4870" max="5120" width="9" style="2937"/>
    <col min="5121" max="5121" width="5.75" style="2937" customWidth="1"/>
    <col min="5122" max="5122" width="10.625" style="2937" customWidth="1"/>
    <col min="5123" max="5123" width="11.75" style="2937" customWidth="1"/>
    <col min="5124" max="5124" width="19.5" style="2937" customWidth="1"/>
    <col min="5125" max="5125" width="23.375" style="2937" customWidth="1"/>
    <col min="5126" max="5376" width="9" style="2937"/>
    <col min="5377" max="5377" width="5.75" style="2937" customWidth="1"/>
    <col min="5378" max="5378" width="10.625" style="2937" customWidth="1"/>
    <col min="5379" max="5379" width="11.75" style="2937" customWidth="1"/>
    <col min="5380" max="5380" width="19.5" style="2937" customWidth="1"/>
    <col min="5381" max="5381" width="23.375" style="2937" customWidth="1"/>
    <col min="5382" max="5632" width="9" style="2937"/>
    <col min="5633" max="5633" width="5.75" style="2937" customWidth="1"/>
    <col min="5634" max="5634" width="10.625" style="2937" customWidth="1"/>
    <col min="5635" max="5635" width="11.75" style="2937" customWidth="1"/>
    <col min="5636" max="5636" width="19.5" style="2937" customWidth="1"/>
    <col min="5637" max="5637" width="23.375" style="2937" customWidth="1"/>
    <col min="5638" max="5888" width="9" style="2937"/>
    <col min="5889" max="5889" width="5.75" style="2937" customWidth="1"/>
    <col min="5890" max="5890" width="10.625" style="2937" customWidth="1"/>
    <col min="5891" max="5891" width="11.75" style="2937" customWidth="1"/>
    <col min="5892" max="5892" width="19.5" style="2937" customWidth="1"/>
    <col min="5893" max="5893" width="23.375" style="2937" customWidth="1"/>
    <col min="5894" max="6144" width="9" style="2937"/>
    <col min="6145" max="6145" width="5.75" style="2937" customWidth="1"/>
    <col min="6146" max="6146" width="10.625" style="2937" customWidth="1"/>
    <col min="6147" max="6147" width="11.75" style="2937" customWidth="1"/>
    <col min="6148" max="6148" width="19.5" style="2937" customWidth="1"/>
    <col min="6149" max="6149" width="23.375" style="2937" customWidth="1"/>
    <col min="6150" max="6400" width="9" style="2937"/>
    <col min="6401" max="6401" width="5.75" style="2937" customWidth="1"/>
    <col min="6402" max="6402" width="10.625" style="2937" customWidth="1"/>
    <col min="6403" max="6403" width="11.75" style="2937" customWidth="1"/>
    <col min="6404" max="6404" width="19.5" style="2937" customWidth="1"/>
    <col min="6405" max="6405" width="23.375" style="2937" customWidth="1"/>
    <col min="6406" max="6656" width="9" style="2937"/>
    <col min="6657" max="6657" width="5.75" style="2937" customWidth="1"/>
    <col min="6658" max="6658" width="10.625" style="2937" customWidth="1"/>
    <col min="6659" max="6659" width="11.75" style="2937" customWidth="1"/>
    <col min="6660" max="6660" width="19.5" style="2937" customWidth="1"/>
    <col min="6661" max="6661" width="23.375" style="2937" customWidth="1"/>
    <col min="6662" max="6912" width="9" style="2937"/>
    <col min="6913" max="6913" width="5.75" style="2937" customWidth="1"/>
    <col min="6914" max="6914" width="10.625" style="2937" customWidth="1"/>
    <col min="6915" max="6915" width="11.75" style="2937" customWidth="1"/>
    <col min="6916" max="6916" width="19.5" style="2937" customWidth="1"/>
    <col min="6917" max="6917" width="23.375" style="2937" customWidth="1"/>
    <col min="6918" max="7168" width="9" style="2937"/>
    <col min="7169" max="7169" width="5.75" style="2937" customWidth="1"/>
    <col min="7170" max="7170" width="10.625" style="2937" customWidth="1"/>
    <col min="7171" max="7171" width="11.75" style="2937" customWidth="1"/>
    <col min="7172" max="7172" width="19.5" style="2937" customWidth="1"/>
    <col min="7173" max="7173" width="23.375" style="2937" customWidth="1"/>
    <col min="7174" max="7424" width="9" style="2937"/>
    <col min="7425" max="7425" width="5.75" style="2937" customWidth="1"/>
    <col min="7426" max="7426" width="10.625" style="2937" customWidth="1"/>
    <col min="7427" max="7427" width="11.75" style="2937" customWidth="1"/>
    <col min="7428" max="7428" width="19.5" style="2937" customWidth="1"/>
    <col min="7429" max="7429" width="23.375" style="2937" customWidth="1"/>
    <col min="7430" max="7680" width="9" style="2937"/>
    <col min="7681" max="7681" width="5.75" style="2937" customWidth="1"/>
    <col min="7682" max="7682" width="10.625" style="2937" customWidth="1"/>
    <col min="7683" max="7683" width="11.75" style="2937" customWidth="1"/>
    <col min="7684" max="7684" width="19.5" style="2937" customWidth="1"/>
    <col min="7685" max="7685" width="23.375" style="2937" customWidth="1"/>
    <col min="7686" max="7936" width="9" style="2937"/>
    <col min="7937" max="7937" width="5.75" style="2937" customWidth="1"/>
    <col min="7938" max="7938" width="10.625" style="2937" customWidth="1"/>
    <col min="7939" max="7939" width="11.75" style="2937" customWidth="1"/>
    <col min="7940" max="7940" width="19.5" style="2937" customWidth="1"/>
    <col min="7941" max="7941" width="23.375" style="2937" customWidth="1"/>
    <col min="7942" max="8192" width="9" style="2937"/>
    <col min="8193" max="8193" width="5.75" style="2937" customWidth="1"/>
    <col min="8194" max="8194" width="10.625" style="2937" customWidth="1"/>
    <col min="8195" max="8195" width="11.75" style="2937" customWidth="1"/>
    <col min="8196" max="8196" width="19.5" style="2937" customWidth="1"/>
    <col min="8197" max="8197" width="23.375" style="2937" customWidth="1"/>
    <col min="8198" max="8448" width="9" style="2937"/>
    <col min="8449" max="8449" width="5.75" style="2937" customWidth="1"/>
    <col min="8450" max="8450" width="10.625" style="2937" customWidth="1"/>
    <col min="8451" max="8451" width="11.75" style="2937" customWidth="1"/>
    <col min="8452" max="8452" width="19.5" style="2937" customWidth="1"/>
    <col min="8453" max="8453" width="23.375" style="2937" customWidth="1"/>
    <col min="8454" max="8704" width="9" style="2937"/>
    <col min="8705" max="8705" width="5.75" style="2937" customWidth="1"/>
    <col min="8706" max="8706" width="10.625" style="2937" customWidth="1"/>
    <col min="8707" max="8707" width="11.75" style="2937" customWidth="1"/>
    <col min="8708" max="8708" width="19.5" style="2937" customWidth="1"/>
    <col min="8709" max="8709" width="23.375" style="2937" customWidth="1"/>
    <col min="8710" max="8960" width="9" style="2937"/>
    <col min="8961" max="8961" width="5.75" style="2937" customWidth="1"/>
    <col min="8962" max="8962" width="10.625" style="2937" customWidth="1"/>
    <col min="8963" max="8963" width="11.75" style="2937" customWidth="1"/>
    <col min="8964" max="8964" width="19.5" style="2937" customWidth="1"/>
    <col min="8965" max="8965" width="23.375" style="2937" customWidth="1"/>
    <col min="8966" max="9216" width="9" style="2937"/>
    <col min="9217" max="9217" width="5.75" style="2937" customWidth="1"/>
    <col min="9218" max="9218" width="10.625" style="2937" customWidth="1"/>
    <col min="9219" max="9219" width="11.75" style="2937" customWidth="1"/>
    <col min="9220" max="9220" width="19.5" style="2937" customWidth="1"/>
    <col min="9221" max="9221" width="23.375" style="2937" customWidth="1"/>
    <col min="9222" max="9472" width="9" style="2937"/>
    <col min="9473" max="9473" width="5.75" style="2937" customWidth="1"/>
    <col min="9474" max="9474" width="10.625" style="2937" customWidth="1"/>
    <col min="9475" max="9475" width="11.75" style="2937" customWidth="1"/>
    <col min="9476" max="9476" width="19.5" style="2937" customWidth="1"/>
    <col min="9477" max="9477" width="23.375" style="2937" customWidth="1"/>
    <col min="9478" max="9728" width="9" style="2937"/>
    <col min="9729" max="9729" width="5.75" style="2937" customWidth="1"/>
    <col min="9730" max="9730" width="10.625" style="2937" customWidth="1"/>
    <col min="9731" max="9731" width="11.75" style="2937" customWidth="1"/>
    <col min="9732" max="9732" width="19.5" style="2937" customWidth="1"/>
    <col min="9733" max="9733" width="23.375" style="2937" customWidth="1"/>
    <col min="9734" max="9984" width="9" style="2937"/>
    <col min="9985" max="9985" width="5.75" style="2937" customWidth="1"/>
    <col min="9986" max="9986" width="10.625" style="2937" customWidth="1"/>
    <col min="9987" max="9987" width="11.75" style="2937" customWidth="1"/>
    <col min="9988" max="9988" width="19.5" style="2937" customWidth="1"/>
    <col min="9989" max="9989" width="23.375" style="2937" customWidth="1"/>
    <col min="9990" max="10240" width="9" style="2937"/>
    <col min="10241" max="10241" width="5.75" style="2937" customWidth="1"/>
    <col min="10242" max="10242" width="10.625" style="2937" customWidth="1"/>
    <col min="10243" max="10243" width="11.75" style="2937" customWidth="1"/>
    <col min="10244" max="10244" width="19.5" style="2937" customWidth="1"/>
    <col min="10245" max="10245" width="23.375" style="2937" customWidth="1"/>
    <col min="10246" max="10496" width="9" style="2937"/>
    <col min="10497" max="10497" width="5.75" style="2937" customWidth="1"/>
    <col min="10498" max="10498" width="10.625" style="2937" customWidth="1"/>
    <col min="10499" max="10499" width="11.75" style="2937" customWidth="1"/>
    <col min="10500" max="10500" width="19.5" style="2937" customWidth="1"/>
    <col min="10501" max="10501" width="23.375" style="2937" customWidth="1"/>
    <col min="10502" max="10752" width="9" style="2937"/>
    <col min="10753" max="10753" width="5.75" style="2937" customWidth="1"/>
    <col min="10754" max="10754" width="10.625" style="2937" customWidth="1"/>
    <col min="10755" max="10755" width="11.75" style="2937" customWidth="1"/>
    <col min="10756" max="10756" width="19.5" style="2937" customWidth="1"/>
    <col min="10757" max="10757" width="23.375" style="2937" customWidth="1"/>
    <col min="10758" max="11008" width="9" style="2937"/>
    <col min="11009" max="11009" width="5.75" style="2937" customWidth="1"/>
    <col min="11010" max="11010" width="10.625" style="2937" customWidth="1"/>
    <col min="11011" max="11011" width="11.75" style="2937" customWidth="1"/>
    <col min="11012" max="11012" width="19.5" style="2937" customWidth="1"/>
    <col min="11013" max="11013" width="23.375" style="2937" customWidth="1"/>
    <col min="11014" max="11264" width="9" style="2937"/>
    <col min="11265" max="11265" width="5.75" style="2937" customWidth="1"/>
    <col min="11266" max="11266" width="10.625" style="2937" customWidth="1"/>
    <col min="11267" max="11267" width="11.75" style="2937" customWidth="1"/>
    <col min="11268" max="11268" width="19.5" style="2937" customWidth="1"/>
    <col min="11269" max="11269" width="23.375" style="2937" customWidth="1"/>
    <col min="11270" max="11520" width="9" style="2937"/>
    <col min="11521" max="11521" width="5.75" style="2937" customWidth="1"/>
    <col min="11522" max="11522" width="10.625" style="2937" customWidth="1"/>
    <col min="11523" max="11523" width="11.75" style="2937" customWidth="1"/>
    <col min="11524" max="11524" width="19.5" style="2937" customWidth="1"/>
    <col min="11525" max="11525" width="23.375" style="2937" customWidth="1"/>
    <col min="11526" max="11776" width="9" style="2937"/>
    <col min="11777" max="11777" width="5.75" style="2937" customWidth="1"/>
    <col min="11778" max="11778" width="10.625" style="2937" customWidth="1"/>
    <col min="11779" max="11779" width="11.75" style="2937" customWidth="1"/>
    <col min="11780" max="11780" width="19.5" style="2937" customWidth="1"/>
    <col min="11781" max="11781" width="23.375" style="2937" customWidth="1"/>
    <col min="11782" max="12032" width="9" style="2937"/>
    <col min="12033" max="12033" width="5.75" style="2937" customWidth="1"/>
    <col min="12034" max="12034" width="10.625" style="2937" customWidth="1"/>
    <col min="12035" max="12035" width="11.75" style="2937" customWidth="1"/>
    <col min="12036" max="12036" width="19.5" style="2937" customWidth="1"/>
    <col min="12037" max="12037" width="23.375" style="2937" customWidth="1"/>
    <col min="12038" max="12288" width="9" style="2937"/>
    <col min="12289" max="12289" width="5.75" style="2937" customWidth="1"/>
    <col min="12290" max="12290" width="10.625" style="2937" customWidth="1"/>
    <col min="12291" max="12291" width="11.75" style="2937" customWidth="1"/>
    <col min="12292" max="12292" width="19.5" style="2937" customWidth="1"/>
    <col min="12293" max="12293" width="23.375" style="2937" customWidth="1"/>
    <col min="12294" max="12544" width="9" style="2937"/>
    <col min="12545" max="12545" width="5.75" style="2937" customWidth="1"/>
    <col min="12546" max="12546" width="10.625" style="2937" customWidth="1"/>
    <col min="12547" max="12547" width="11.75" style="2937" customWidth="1"/>
    <col min="12548" max="12548" width="19.5" style="2937" customWidth="1"/>
    <col min="12549" max="12549" width="23.375" style="2937" customWidth="1"/>
    <col min="12550" max="12800" width="9" style="2937"/>
    <col min="12801" max="12801" width="5.75" style="2937" customWidth="1"/>
    <col min="12802" max="12802" width="10.625" style="2937" customWidth="1"/>
    <col min="12803" max="12803" width="11.75" style="2937" customWidth="1"/>
    <col min="12804" max="12804" width="19.5" style="2937" customWidth="1"/>
    <col min="12805" max="12805" width="23.375" style="2937" customWidth="1"/>
    <col min="12806" max="13056" width="9" style="2937"/>
    <col min="13057" max="13057" width="5.75" style="2937" customWidth="1"/>
    <col min="13058" max="13058" width="10.625" style="2937" customWidth="1"/>
    <col min="13059" max="13059" width="11.75" style="2937" customWidth="1"/>
    <col min="13060" max="13060" width="19.5" style="2937" customWidth="1"/>
    <col min="13061" max="13061" width="23.375" style="2937" customWidth="1"/>
    <col min="13062" max="13312" width="9" style="2937"/>
    <col min="13313" max="13313" width="5.75" style="2937" customWidth="1"/>
    <col min="13314" max="13314" width="10.625" style="2937" customWidth="1"/>
    <col min="13315" max="13315" width="11.75" style="2937" customWidth="1"/>
    <col min="13316" max="13316" width="19.5" style="2937" customWidth="1"/>
    <col min="13317" max="13317" width="23.375" style="2937" customWidth="1"/>
    <col min="13318" max="13568" width="9" style="2937"/>
    <col min="13569" max="13569" width="5.75" style="2937" customWidth="1"/>
    <col min="13570" max="13570" width="10.625" style="2937" customWidth="1"/>
    <col min="13571" max="13571" width="11.75" style="2937" customWidth="1"/>
    <col min="13572" max="13572" width="19.5" style="2937" customWidth="1"/>
    <col min="13573" max="13573" width="23.375" style="2937" customWidth="1"/>
    <col min="13574" max="13824" width="9" style="2937"/>
    <col min="13825" max="13825" width="5.75" style="2937" customWidth="1"/>
    <col min="13826" max="13826" width="10.625" style="2937" customWidth="1"/>
    <col min="13827" max="13827" width="11.75" style="2937" customWidth="1"/>
    <col min="13828" max="13828" width="19.5" style="2937" customWidth="1"/>
    <col min="13829" max="13829" width="23.375" style="2937" customWidth="1"/>
    <col min="13830" max="14080" width="9" style="2937"/>
    <col min="14081" max="14081" width="5.75" style="2937" customWidth="1"/>
    <col min="14082" max="14082" width="10.625" style="2937" customWidth="1"/>
    <col min="14083" max="14083" width="11.75" style="2937" customWidth="1"/>
    <col min="14084" max="14084" width="19.5" style="2937" customWidth="1"/>
    <col min="14085" max="14085" width="23.375" style="2937" customWidth="1"/>
    <col min="14086" max="14336" width="9" style="2937"/>
    <col min="14337" max="14337" width="5.75" style="2937" customWidth="1"/>
    <col min="14338" max="14338" width="10.625" style="2937" customWidth="1"/>
    <col min="14339" max="14339" width="11.75" style="2937" customWidth="1"/>
    <col min="14340" max="14340" width="19.5" style="2937" customWidth="1"/>
    <col min="14341" max="14341" width="23.375" style="2937" customWidth="1"/>
    <col min="14342" max="14592" width="9" style="2937"/>
    <col min="14593" max="14593" width="5.75" style="2937" customWidth="1"/>
    <col min="14594" max="14594" width="10.625" style="2937" customWidth="1"/>
    <col min="14595" max="14595" width="11.75" style="2937" customWidth="1"/>
    <col min="14596" max="14596" width="19.5" style="2937" customWidth="1"/>
    <col min="14597" max="14597" width="23.375" style="2937" customWidth="1"/>
    <col min="14598" max="14848" width="9" style="2937"/>
    <col min="14849" max="14849" width="5.75" style="2937" customWidth="1"/>
    <col min="14850" max="14850" width="10.625" style="2937" customWidth="1"/>
    <col min="14851" max="14851" width="11.75" style="2937" customWidth="1"/>
    <col min="14852" max="14852" width="19.5" style="2937" customWidth="1"/>
    <col min="14853" max="14853" width="23.375" style="2937" customWidth="1"/>
    <col min="14854" max="15104" width="9" style="2937"/>
    <col min="15105" max="15105" width="5.75" style="2937" customWidth="1"/>
    <col min="15106" max="15106" width="10.625" style="2937" customWidth="1"/>
    <col min="15107" max="15107" width="11.75" style="2937" customWidth="1"/>
    <col min="15108" max="15108" width="19.5" style="2937" customWidth="1"/>
    <col min="15109" max="15109" width="23.375" style="2937" customWidth="1"/>
    <col min="15110" max="15360" width="9" style="2937"/>
    <col min="15361" max="15361" width="5.75" style="2937" customWidth="1"/>
    <col min="15362" max="15362" width="10.625" style="2937" customWidth="1"/>
    <col min="15363" max="15363" width="11.75" style="2937" customWidth="1"/>
    <col min="15364" max="15364" width="19.5" style="2937" customWidth="1"/>
    <col min="15365" max="15365" width="23.375" style="2937" customWidth="1"/>
    <col min="15366" max="15616" width="9" style="2937"/>
    <col min="15617" max="15617" width="5.75" style="2937" customWidth="1"/>
    <col min="15618" max="15618" width="10.625" style="2937" customWidth="1"/>
    <col min="15619" max="15619" width="11.75" style="2937" customWidth="1"/>
    <col min="15620" max="15620" width="19.5" style="2937" customWidth="1"/>
    <col min="15621" max="15621" width="23.375" style="2937" customWidth="1"/>
    <col min="15622" max="15872" width="9" style="2937"/>
    <col min="15873" max="15873" width="5.75" style="2937" customWidth="1"/>
    <col min="15874" max="15874" width="10.625" style="2937" customWidth="1"/>
    <col min="15875" max="15875" width="11.75" style="2937" customWidth="1"/>
    <col min="15876" max="15876" width="19.5" style="2937" customWidth="1"/>
    <col min="15877" max="15877" width="23.375" style="2937" customWidth="1"/>
    <col min="15878" max="16128" width="9" style="2937"/>
    <col min="16129" max="16129" width="5.75" style="2937" customWidth="1"/>
    <col min="16130" max="16130" width="10.625" style="2937" customWidth="1"/>
    <col min="16131" max="16131" width="11.75" style="2937" customWidth="1"/>
    <col min="16132" max="16132" width="19.5" style="2937" customWidth="1"/>
    <col min="16133" max="16133" width="23.375" style="2937" customWidth="1"/>
    <col min="16134" max="16384" width="9" style="2937"/>
  </cols>
  <sheetData>
    <row r="1" spans="1:8" ht="30" customHeight="1">
      <c r="A1" s="3097" t="s">
        <v>3043</v>
      </c>
      <c r="B1" s="3098"/>
      <c r="C1" s="3099"/>
      <c r="D1" s="3099"/>
      <c r="E1" s="3099"/>
      <c r="F1" s="2936"/>
    </row>
    <row r="2" spans="1:8" s="2941" customFormat="1" ht="21" customHeight="1">
      <c r="A2" s="2938" t="s">
        <v>3044</v>
      </c>
      <c r="B2" s="2939" t="s">
        <v>3045</v>
      </c>
      <c r="C2" s="2940" t="s">
        <v>3046</v>
      </c>
      <c r="D2" s="2940" t="s">
        <v>3047</v>
      </c>
      <c r="E2" s="2940" t="s">
        <v>3048</v>
      </c>
    </row>
    <row r="3" spans="1:8" ht="18" customHeight="1">
      <c r="A3" s="2938">
        <v>1</v>
      </c>
      <c r="B3" s="2939">
        <v>-101</v>
      </c>
      <c r="C3" s="2940" t="s">
        <v>3049</v>
      </c>
      <c r="D3" s="2938">
        <v>1099.6099999999999</v>
      </c>
      <c r="E3" s="2938">
        <v>16.93</v>
      </c>
      <c r="F3" s="2998" t="s">
        <v>3220</v>
      </c>
      <c r="G3" s="2937">
        <f>D3</f>
        <v>1099.6099999999999</v>
      </c>
      <c r="H3" s="3000">
        <f>G3/$G$11</f>
        <v>2.1781080344437435E-2</v>
      </c>
    </row>
    <row r="4" spans="1:8" s="2959" customFormat="1" ht="20.100000000000001" customHeight="1">
      <c r="A4" s="2957">
        <v>2</v>
      </c>
      <c r="B4" s="2958" t="s">
        <v>3050</v>
      </c>
      <c r="C4" s="3095" t="s">
        <v>3051</v>
      </c>
      <c r="D4" s="2957">
        <v>1013.21</v>
      </c>
      <c r="E4" s="2957">
        <v>190.08</v>
      </c>
      <c r="F4" s="2999" t="s">
        <v>3221</v>
      </c>
      <c r="G4" s="2959">
        <f>SUM(D4:D21)</f>
        <v>6197.9999999999991</v>
      </c>
      <c r="H4" s="3000">
        <f t="shared" ref="H4:H10" si="0">G4/$G$11</f>
        <v>0.1227700148005413</v>
      </c>
    </row>
    <row r="5" spans="1:8" s="3010" customFormat="1" ht="20.100000000000001" customHeight="1">
      <c r="A5" s="3007">
        <v>3</v>
      </c>
      <c r="B5" s="3008" t="s">
        <v>3052</v>
      </c>
      <c r="C5" s="3095"/>
      <c r="D5" s="3007">
        <v>417.28</v>
      </c>
      <c r="E5" s="3007">
        <v>78.28</v>
      </c>
      <c r="F5" s="3009" t="s">
        <v>3222</v>
      </c>
      <c r="G5" s="3010">
        <f>SUM(D22:D38)</f>
        <v>9046.8799999999974</v>
      </c>
      <c r="H5" s="3011">
        <f t="shared" si="0"/>
        <v>0.17920064399785751</v>
      </c>
    </row>
    <row r="6" spans="1:8" s="3004" customFormat="1" ht="20.100000000000001" customHeight="1">
      <c r="A6" s="3001">
        <v>4</v>
      </c>
      <c r="B6" s="3002" t="s">
        <v>3053</v>
      </c>
      <c r="C6" s="3095"/>
      <c r="D6" s="3001">
        <v>133.31</v>
      </c>
      <c r="E6" s="3001">
        <v>25.01</v>
      </c>
      <c r="F6" s="3003" t="s">
        <v>3223</v>
      </c>
      <c r="G6" s="3004">
        <f>SUM(D39:D50)</f>
        <v>9444.32</v>
      </c>
      <c r="H6" s="3005">
        <f t="shared" si="0"/>
        <v>0.18707313749290874</v>
      </c>
    </row>
    <row r="7" spans="1:8" ht="20.100000000000001" customHeight="1">
      <c r="A7" s="2938">
        <v>5</v>
      </c>
      <c r="B7" s="2939" t="s">
        <v>3054</v>
      </c>
      <c r="C7" s="3095"/>
      <c r="D7" s="2938">
        <v>730.65</v>
      </c>
      <c r="E7" s="2938">
        <v>137.07</v>
      </c>
      <c r="F7" s="2998" t="s">
        <v>3224</v>
      </c>
      <c r="G7" s="2937">
        <f>SUM(D51:D62)</f>
        <v>9365.6</v>
      </c>
      <c r="H7" s="3000">
        <f t="shared" si="0"/>
        <v>0.18551385134171502</v>
      </c>
    </row>
    <row r="8" spans="1:8" ht="20.100000000000001" customHeight="1">
      <c r="A8" s="2938">
        <v>6</v>
      </c>
      <c r="B8" s="2939" t="s">
        <v>3055</v>
      </c>
      <c r="C8" s="3095"/>
      <c r="D8" s="2938">
        <v>247.69</v>
      </c>
      <c r="E8" s="2938">
        <v>46.47</v>
      </c>
      <c r="F8" s="2998" t="s">
        <v>3225</v>
      </c>
      <c r="G8" s="2937">
        <f>SUM(D63:D69)</f>
        <v>7916.58</v>
      </c>
      <c r="H8" s="3000">
        <f t="shared" si="0"/>
        <v>0.15681165598090827</v>
      </c>
    </row>
    <row r="9" spans="1:8" ht="20.100000000000001" customHeight="1">
      <c r="A9" s="2938">
        <v>7</v>
      </c>
      <c r="B9" s="2939" t="s">
        <v>3056</v>
      </c>
      <c r="C9" s="3095"/>
      <c r="D9" s="2938">
        <v>34.97</v>
      </c>
      <c r="E9" s="2938">
        <v>6.56</v>
      </c>
      <c r="F9" s="2998" t="s">
        <v>3226</v>
      </c>
      <c r="G9" s="2937">
        <f>SUM(D72:D79)</f>
        <v>6765.2499999999991</v>
      </c>
      <c r="H9" s="3000">
        <f t="shared" si="0"/>
        <v>0.13400610561945175</v>
      </c>
    </row>
    <row r="10" spans="1:8" ht="20.100000000000001" customHeight="1">
      <c r="A10" s="2938">
        <v>8</v>
      </c>
      <c r="B10" s="2939" t="s">
        <v>3057</v>
      </c>
      <c r="C10" s="3095"/>
      <c r="D10" s="2938">
        <v>135.72999999999999</v>
      </c>
      <c r="E10" s="2938">
        <v>25.46</v>
      </c>
      <c r="F10" s="2998" t="s">
        <v>3227</v>
      </c>
      <c r="G10" s="2937">
        <f>SUM(D80)</f>
        <v>648.4</v>
      </c>
      <c r="H10" s="3000">
        <f t="shared" si="0"/>
        <v>1.2843510422179894E-2</v>
      </c>
    </row>
    <row r="11" spans="1:8" ht="20.100000000000001" customHeight="1">
      <c r="A11" s="2938">
        <v>9</v>
      </c>
      <c r="B11" s="2939" t="s">
        <v>3058</v>
      </c>
      <c r="C11" s="3095"/>
      <c r="D11" s="2938">
        <v>719.82</v>
      </c>
      <c r="E11" s="2938">
        <v>135.04</v>
      </c>
      <c r="F11" s="2942"/>
      <c r="G11" s="2937">
        <f>SUM(G3:G10)</f>
        <v>50484.639999999999</v>
      </c>
    </row>
    <row r="12" spans="1:8" ht="20.100000000000001" customHeight="1">
      <c r="A12" s="2938">
        <v>10</v>
      </c>
      <c r="B12" s="2939" t="s">
        <v>3059</v>
      </c>
      <c r="C12" s="3095"/>
      <c r="D12" s="2938">
        <v>34.82</v>
      </c>
      <c r="E12" s="2938">
        <v>6.53</v>
      </c>
      <c r="F12" s="2942"/>
    </row>
    <row r="13" spans="1:8" ht="20.100000000000001" customHeight="1">
      <c r="A13" s="2938">
        <v>11</v>
      </c>
      <c r="B13" s="2939" t="s">
        <v>3060</v>
      </c>
      <c r="C13" s="3095"/>
      <c r="D13" s="2938">
        <v>134.38999999999999</v>
      </c>
      <c r="E13" s="2938">
        <v>25.21</v>
      </c>
      <c r="F13" s="2942"/>
    </row>
    <row r="14" spans="1:8" ht="20.100000000000001" customHeight="1">
      <c r="A14" s="2938">
        <v>12</v>
      </c>
      <c r="B14" s="2939" t="s">
        <v>3061</v>
      </c>
      <c r="C14" s="3095"/>
      <c r="D14" s="2938">
        <v>1573.94</v>
      </c>
      <c r="E14" s="2938">
        <v>295.27</v>
      </c>
      <c r="F14" s="2942"/>
    </row>
    <row r="15" spans="1:8" ht="20.100000000000001" customHeight="1">
      <c r="A15" s="2938">
        <v>13</v>
      </c>
      <c r="B15" s="2939" t="s">
        <v>3062</v>
      </c>
      <c r="C15" s="3095"/>
      <c r="D15" s="2938">
        <v>197</v>
      </c>
      <c r="E15" s="2938">
        <v>36.96</v>
      </c>
      <c r="F15" s="2942"/>
    </row>
    <row r="16" spans="1:8" ht="20.100000000000001" customHeight="1">
      <c r="A16" s="2938">
        <v>14</v>
      </c>
      <c r="B16" s="2939" t="s">
        <v>3063</v>
      </c>
      <c r="C16" s="3095"/>
      <c r="D16" s="2938">
        <v>70.22</v>
      </c>
      <c r="E16" s="2938">
        <v>13.17</v>
      </c>
      <c r="F16" s="2942"/>
    </row>
    <row r="17" spans="1:6" ht="20.100000000000001" customHeight="1">
      <c r="A17" s="2938">
        <v>15</v>
      </c>
      <c r="B17" s="2939" t="s">
        <v>3064</v>
      </c>
      <c r="C17" s="3095"/>
      <c r="D17" s="2938">
        <v>179.38</v>
      </c>
      <c r="E17" s="2938">
        <v>33.65</v>
      </c>
      <c r="F17" s="2942"/>
    </row>
    <row r="18" spans="1:6" ht="20.100000000000001" customHeight="1">
      <c r="A18" s="2938">
        <v>16</v>
      </c>
      <c r="B18" s="2939" t="s">
        <v>3065</v>
      </c>
      <c r="C18" s="3095"/>
      <c r="D18" s="2938">
        <v>23.07</v>
      </c>
      <c r="E18" s="2938">
        <v>4.33</v>
      </c>
      <c r="F18" s="2942"/>
    </row>
    <row r="19" spans="1:6" ht="20.100000000000001" customHeight="1">
      <c r="A19" s="2938">
        <v>17</v>
      </c>
      <c r="B19" s="2939" t="s">
        <v>3066</v>
      </c>
      <c r="C19" s="3095"/>
      <c r="D19" s="2938">
        <v>489.41</v>
      </c>
      <c r="E19" s="2938">
        <v>91.82</v>
      </c>
      <c r="F19" s="2942"/>
    </row>
    <row r="20" spans="1:6" ht="20.100000000000001" customHeight="1">
      <c r="A20" s="2938">
        <v>18</v>
      </c>
      <c r="B20" s="2939" t="s">
        <v>3067</v>
      </c>
      <c r="C20" s="3095"/>
      <c r="D20" s="2938">
        <v>45.46</v>
      </c>
      <c r="E20" s="2938">
        <v>8.5299999999999994</v>
      </c>
      <c r="F20" s="2942"/>
    </row>
    <row r="21" spans="1:6" ht="20.100000000000001" customHeight="1">
      <c r="A21" s="2938">
        <v>19</v>
      </c>
      <c r="B21" s="2939" t="s">
        <v>3068</v>
      </c>
      <c r="C21" s="3096"/>
      <c r="D21" s="2938">
        <v>17.649999999999999</v>
      </c>
      <c r="E21" s="2938">
        <v>3.31</v>
      </c>
      <c r="F21" s="2942"/>
    </row>
    <row r="22" spans="1:6" ht="20.100000000000001" customHeight="1">
      <c r="A22" s="2938">
        <v>20</v>
      </c>
      <c r="B22" s="2939" t="s">
        <v>3069</v>
      </c>
      <c r="C22" s="3095" t="s">
        <v>3070</v>
      </c>
      <c r="D22" s="2938">
        <v>1059.18</v>
      </c>
      <c r="E22" s="2938">
        <v>323.18</v>
      </c>
      <c r="F22" s="2942"/>
    </row>
    <row r="23" spans="1:6" ht="20.100000000000001" customHeight="1">
      <c r="A23" s="2938">
        <v>21</v>
      </c>
      <c r="B23" s="2939" t="s">
        <v>3071</v>
      </c>
      <c r="C23" s="3095"/>
      <c r="D23" s="2938">
        <v>697.35</v>
      </c>
      <c r="E23" s="2938">
        <v>212.78</v>
      </c>
      <c r="F23" s="2942"/>
    </row>
    <row r="24" spans="1:6" ht="20.100000000000001" customHeight="1">
      <c r="A24" s="2938">
        <v>22</v>
      </c>
      <c r="B24" s="2939" t="s">
        <v>3072</v>
      </c>
      <c r="C24" s="3095"/>
      <c r="D24" s="2938">
        <v>797.61</v>
      </c>
      <c r="E24" s="2938">
        <v>243.37</v>
      </c>
      <c r="F24" s="2942"/>
    </row>
    <row r="25" spans="1:6" ht="20.100000000000001" customHeight="1">
      <c r="A25" s="2938">
        <v>23</v>
      </c>
      <c r="B25" s="2939" t="s">
        <v>3073</v>
      </c>
      <c r="C25" s="3095"/>
      <c r="D25" s="2938">
        <v>346.84</v>
      </c>
      <c r="E25" s="2938">
        <v>105.83</v>
      </c>
      <c r="F25" s="2942"/>
    </row>
    <row r="26" spans="1:6" ht="20.100000000000001" customHeight="1">
      <c r="A26" s="2938">
        <v>24</v>
      </c>
      <c r="B26" s="2939" t="s">
        <v>3074</v>
      </c>
      <c r="C26" s="3095"/>
      <c r="D26" s="2938">
        <v>99.13</v>
      </c>
      <c r="E26" s="2938">
        <v>30.25</v>
      </c>
      <c r="F26" s="2942"/>
    </row>
    <row r="27" spans="1:6" ht="20.100000000000001" customHeight="1">
      <c r="A27" s="2938">
        <v>25</v>
      </c>
      <c r="B27" s="2939" t="s">
        <v>3075</v>
      </c>
      <c r="C27" s="3095"/>
      <c r="D27" s="2938">
        <v>89.73</v>
      </c>
      <c r="E27" s="2938">
        <v>27.38</v>
      </c>
      <c r="F27" s="2942"/>
    </row>
    <row r="28" spans="1:6" ht="20.100000000000001" customHeight="1">
      <c r="A28" s="2938">
        <v>26</v>
      </c>
      <c r="B28" s="2939" t="s">
        <v>3076</v>
      </c>
      <c r="C28" s="3095"/>
      <c r="D28" s="2938">
        <v>1198.42</v>
      </c>
      <c r="E28" s="2938">
        <v>365.66</v>
      </c>
      <c r="F28" s="2942"/>
    </row>
    <row r="29" spans="1:6" ht="20.100000000000001" customHeight="1">
      <c r="A29" s="2938">
        <v>27</v>
      </c>
      <c r="B29" s="2939" t="s">
        <v>3077</v>
      </c>
      <c r="C29" s="3095"/>
      <c r="D29" s="2938">
        <v>219.29</v>
      </c>
      <c r="E29" s="2938">
        <v>66.91</v>
      </c>
      <c r="F29" s="2942"/>
    </row>
    <row r="30" spans="1:6" ht="20.100000000000001" customHeight="1">
      <c r="A30" s="2938">
        <v>28</v>
      </c>
      <c r="B30" s="2939" t="s">
        <v>3078</v>
      </c>
      <c r="C30" s="3095"/>
      <c r="D30" s="2938">
        <v>697.27</v>
      </c>
      <c r="E30" s="2938">
        <v>212.75</v>
      </c>
      <c r="F30" s="2942"/>
    </row>
    <row r="31" spans="1:6" ht="20.100000000000001" customHeight="1">
      <c r="A31" s="2938">
        <v>29</v>
      </c>
      <c r="B31" s="2939" t="s">
        <v>3079</v>
      </c>
      <c r="C31" s="3095"/>
      <c r="D31" s="2938">
        <v>234.61</v>
      </c>
      <c r="E31" s="2938">
        <v>71.59</v>
      </c>
      <c r="F31" s="2942"/>
    </row>
    <row r="32" spans="1:6" ht="20.100000000000001" customHeight="1">
      <c r="A32" s="2938">
        <v>30</v>
      </c>
      <c r="B32" s="2939" t="s">
        <v>3080</v>
      </c>
      <c r="C32" s="3095"/>
      <c r="D32" s="2938">
        <v>2656.5</v>
      </c>
      <c r="E32" s="2938">
        <v>810.55</v>
      </c>
      <c r="F32" s="2942"/>
    </row>
    <row r="33" spans="1:6" ht="20.100000000000001" customHeight="1">
      <c r="A33" s="2938">
        <v>31</v>
      </c>
      <c r="B33" s="2939" t="s">
        <v>3081</v>
      </c>
      <c r="C33" s="3095"/>
      <c r="D33" s="2938">
        <v>79.34</v>
      </c>
      <c r="E33" s="2938">
        <v>24.21</v>
      </c>
      <c r="F33" s="2942"/>
    </row>
    <row r="34" spans="1:6" ht="20.100000000000001" customHeight="1">
      <c r="A34" s="2938">
        <v>32</v>
      </c>
      <c r="B34" s="2939" t="s">
        <v>3082</v>
      </c>
      <c r="C34" s="3095"/>
      <c r="D34" s="2938">
        <v>159.34</v>
      </c>
      <c r="E34" s="2938">
        <v>48.62</v>
      </c>
      <c r="F34" s="2942"/>
    </row>
    <row r="35" spans="1:6" ht="20.100000000000001" customHeight="1">
      <c r="A35" s="2938">
        <v>33</v>
      </c>
      <c r="B35" s="2939" t="s">
        <v>3083</v>
      </c>
      <c r="C35" s="3095"/>
      <c r="D35" s="2938">
        <v>25.73</v>
      </c>
      <c r="E35" s="2938">
        <v>7.85</v>
      </c>
      <c r="F35" s="2942"/>
    </row>
    <row r="36" spans="1:6" ht="20.100000000000001" customHeight="1">
      <c r="A36" s="2938">
        <v>34</v>
      </c>
      <c r="B36" s="2939" t="s">
        <v>3084</v>
      </c>
      <c r="C36" s="3095"/>
      <c r="D36" s="2938">
        <v>598.48</v>
      </c>
      <c r="E36" s="2938">
        <v>182.61</v>
      </c>
      <c r="F36" s="2942"/>
    </row>
    <row r="37" spans="1:6" ht="20.100000000000001" customHeight="1">
      <c r="A37" s="2938">
        <v>35</v>
      </c>
      <c r="B37" s="2939" t="s">
        <v>3085</v>
      </c>
      <c r="C37" s="3095"/>
      <c r="D37" s="2938">
        <v>53.14</v>
      </c>
      <c r="E37" s="2938">
        <v>16.21</v>
      </c>
      <c r="F37" s="2942"/>
    </row>
    <row r="38" spans="1:6" ht="20.100000000000001" customHeight="1">
      <c r="A38" s="2938">
        <v>36</v>
      </c>
      <c r="B38" s="2939" t="s">
        <v>3086</v>
      </c>
      <c r="C38" s="3096"/>
      <c r="D38" s="2938">
        <v>34.92</v>
      </c>
      <c r="E38" s="2938">
        <v>10.66</v>
      </c>
      <c r="F38" s="2942"/>
    </row>
    <row r="39" spans="1:6" ht="20.100000000000001" customHeight="1">
      <c r="A39" s="2938">
        <v>37</v>
      </c>
      <c r="B39" s="2939" t="s">
        <v>3087</v>
      </c>
      <c r="C39" s="3095" t="s">
        <v>3088</v>
      </c>
      <c r="D39" s="2938">
        <v>1608.52</v>
      </c>
      <c r="E39" s="2938">
        <v>387.09</v>
      </c>
      <c r="F39" s="2942"/>
    </row>
    <row r="40" spans="1:6" ht="20.100000000000001" customHeight="1">
      <c r="A40" s="2938">
        <v>38</v>
      </c>
      <c r="B40" s="2939" t="s">
        <v>3089</v>
      </c>
      <c r="C40" s="3095"/>
      <c r="D40" s="2938">
        <v>315.8</v>
      </c>
      <c r="E40" s="2938">
        <v>76</v>
      </c>
      <c r="F40" s="2942"/>
    </row>
    <row r="41" spans="1:6" ht="20.100000000000001" customHeight="1">
      <c r="A41" s="2938">
        <v>39</v>
      </c>
      <c r="B41" s="2939" t="s">
        <v>3090</v>
      </c>
      <c r="C41" s="3095"/>
      <c r="D41" s="2938">
        <v>778.67</v>
      </c>
      <c r="E41" s="2938">
        <v>187.39</v>
      </c>
      <c r="F41" s="2942"/>
    </row>
    <row r="42" spans="1:6" ht="20.100000000000001" customHeight="1">
      <c r="A42" s="2938">
        <v>40</v>
      </c>
      <c r="B42" s="2939" t="s">
        <v>3091</v>
      </c>
      <c r="C42" s="3095"/>
      <c r="D42" s="2938">
        <v>82.3</v>
      </c>
      <c r="E42" s="2938">
        <v>19.809999999999999</v>
      </c>
      <c r="F42" s="2942"/>
    </row>
    <row r="43" spans="1:6" ht="20.100000000000001" customHeight="1">
      <c r="A43" s="2938">
        <v>41</v>
      </c>
      <c r="B43" s="2939" t="s">
        <v>3092</v>
      </c>
      <c r="C43" s="3095"/>
      <c r="D43" s="2938">
        <v>91.81</v>
      </c>
      <c r="E43" s="2938">
        <v>22.1</v>
      </c>
      <c r="F43" s="2942"/>
    </row>
    <row r="44" spans="1:6" ht="20.100000000000001" customHeight="1">
      <c r="A44" s="2938">
        <v>42</v>
      </c>
      <c r="B44" s="2939" t="s">
        <v>3093</v>
      </c>
      <c r="C44" s="3095"/>
      <c r="D44" s="2938">
        <v>2658.15</v>
      </c>
      <c r="E44" s="2938">
        <v>639.67999999999995</v>
      </c>
      <c r="F44" s="2942"/>
    </row>
    <row r="45" spans="1:6" ht="20.100000000000001" customHeight="1">
      <c r="A45" s="2938">
        <v>43</v>
      </c>
      <c r="B45" s="2939" t="s">
        <v>3094</v>
      </c>
      <c r="C45" s="3095"/>
      <c r="D45" s="2938">
        <v>2449.62</v>
      </c>
      <c r="E45" s="2938">
        <v>589.5</v>
      </c>
      <c r="F45" s="2942"/>
    </row>
    <row r="46" spans="1:6" ht="20.100000000000001" customHeight="1">
      <c r="A46" s="2938">
        <v>44</v>
      </c>
      <c r="B46" s="2939" t="s">
        <v>3095</v>
      </c>
      <c r="C46" s="3095"/>
      <c r="D46" s="2938">
        <v>76.19</v>
      </c>
      <c r="E46" s="2938">
        <v>18.34</v>
      </c>
      <c r="F46" s="2942"/>
    </row>
    <row r="47" spans="1:6" ht="20.100000000000001" customHeight="1">
      <c r="A47" s="2938">
        <v>45</v>
      </c>
      <c r="B47" s="2939" t="s">
        <v>3096</v>
      </c>
      <c r="C47" s="3095"/>
      <c r="D47" s="2938">
        <v>170.96</v>
      </c>
      <c r="E47" s="2938">
        <v>41.14</v>
      </c>
      <c r="F47" s="2942"/>
    </row>
    <row r="48" spans="1:6" ht="20.100000000000001" customHeight="1">
      <c r="A48" s="2938">
        <v>46</v>
      </c>
      <c r="B48" s="2939" t="s">
        <v>3097</v>
      </c>
      <c r="C48" s="3095"/>
      <c r="D48" s="2938">
        <v>23.54</v>
      </c>
      <c r="E48" s="2938">
        <v>5.66</v>
      </c>
      <c r="F48" s="2942"/>
    </row>
    <row r="49" spans="1:6" ht="20.100000000000001" customHeight="1">
      <c r="A49" s="2938">
        <v>47</v>
      </c>
      <c r="B49" s="2939" t="s">
        <v>3098</v>
      </c>
      <c r="C49" s="3095"/>
      <c r="D49" s="2938">
        <v>1154.83</v>
      </c>
      <c r="E49" s="2938">
        <v>277.91000000000003</v>
      </c>
      <c r="F49" s="2942"/>
    </row>
    <row r="50" spans="1:6" ht="20.100000000000001" customHeight="1">
      <c r="A50" s="2938">
        <v>48</v>
      </c>
      <c r="B50" s="2939" t="s">
        <v>3099</v>
      </c>
      <c r="C50" s="3096"/>
      <c r="D50" s="2938">
        <v>33.93</v>
      </c>
      <c r="E50" s="2938">
        <v>8.17</v>
      </c>
      <c r="F50" s="2942"/>
    </row>
    <row r="51" spans="1:6" ht="20.100000000000001" customHeight="1">
      <c r="A51" s="2938">
        <v>49</v>
      </c>
      <c r="B51" s="2939" t="s">
        <v>3100</v>
      </c>
      <c r="C51" s="3095" t="s">
        <v>3101</v>
      </c>
      <c r="D51" s="2938">
        <v>1602.55</v>
      </c>
      <c r="E51" s="2938">
        <v>388.71</v>
      </c>
      <c r="F51" s="2942"/>
    </row>
    <row r="52" spans="1:6" ht="20.100000000000001" customHeight="1">
      <c r="A52" s="2938">
        <v>50</v>
      </c>
      <c r="B52" s="2939" t="s">
        <v>3102</v>
      </c>
      <c r="C52" s="3095"/>
      <c r="D52" s="2938">
        <v>771.97</v>
      </c>
      <c r="E52" s="2938">
        <v>187.25</v>
      </c>
      <c r="F52" s="2942"/>
    </row>
    <row r="53" spans="1:6" ht="20.100000000000001" customHeight="1">
      <c r="A53" s="2938">
        <v>51</v>
      </c>
      <c r="B53" s="2939" t="s">
        <v>3103</v>
      </c>
      <c r="C53" s="3095"/>
      <c r="D53" s="2938">
        <v>316.49</v>
      </c>
      <c r="E53" s="2938">
        <v>76.77</v>
      </c>
      <c r="F53" s="2942"/>
    </row>
    <row r="54" spans="1:6" ht="20.100000000000001" customHeight="1">
      <c r="A54" s="2938">
        <v>52</v>
      </c>
      <c r="B54" s="2939" t="s">
        <v>3104</v>
      </c>
      <c r="C54" s="3095"/>
      <c r="D54" s="2938">
        <v>112.02</v>
      </c>
      <c r="E54" s="2938">
        <v>27.17</v>
      </c>
      <c r="F54" s="2942"/>
    </row>
    <row r="55" spans="1:6" ht="20.100000000000001" customHeight="1">
      <c r="A55" s="2938">
        <v>53</v>
      </c>
      <c r="B55" s="2939" t="s">
        <v>3105</v>
      </c>
      <c r="C55" s="3095"/>
      <c r="D55" s="2938">
        <v>82.32</v>
      </c>
      <c r="E55" s="2938">
        <v>19.97</v>
      </c>
      <c r="F55" s="2942"/>
    </row>
    <row r="56" spans="1:6" ht="20.100000000000001" customHeight="1">
      <c r="A56" s="2938">
        <v>54</v>
      </c>
      <c r="B56" s="2939" t="s">
        <v>3106</v>
      </c>
      <c r="C56" s="3095"/>
      <c r="D56" s="2938">
        <v>2614.14</v>
      </c>
      <c r="E56" s="2938">
        <v>634.08000000000004</v>
      </c>
      <c r="F56" s="2942"/>
    </row>
    <row r="57" spans="1:6" ht="20.100000000000001" customHeight="1">
      <c r="A57" s="2938">
        <v>55</v>
      </c>
      <c r="B57" s="2939" t="s">
        <v>3107</v>
      </c>
      <c r="C57" s="3095"/>
      <c r="D57" s="2938">
        <v>2452.11</v>
      </c>
      <c r="E57" s="2938">
        <v>594.78</v>
      </c>
      <c r="F57" s="2942"/>
    </row>
    <row r="58" spans="1:6" ht="20.100000000000001" customHeight="1">
      <c r="A58" s="2938">
        <v>56</v>
      </c>
      <c r="B58" s="2939" t="s">
        <v>3108</v>
      </c>
      <c r="C58" s="3095"/>
      <c r="D58" s="2938">
        <v>163.57</v>
      </c>
      <c r="E58" s="2938">
        <v>39.68</v>
      </c>
      <c r="F58" s="2942"/>
    </row>
    <row r="59" spans="1:6" ht="20.100000000000001" customHeight="1">
      <c r="A59" s="2938">
        <v>57</v>
      </c>
      <c r="B59" s="2939" t="s">
        <v>3109</v>
      </c>
      <c r="C59" s="3095"/>
      <c r="D59" s="2938">
        <v>23.6</v>
      </c>
      <c r="E59" s="2938">
        <v>5.72</v>
      </c>
      <c r="F59" s="2942"/>
    </row>
    <row r="60" spans="1:6" ht="20.100000000000001" customHeight="1">
      <c r="A60" s="2938">
        <v>58</v>
      </c>
      <c r="B60" s="2939" t="s">
        <v>3110</v>
      </c>
      <c r="C60" s="3095"/>
      <c r="D60" s="2938">
        <v>220.25</v>
      </c>
      <c r="E60" s="2938">
        <v>53.42</v>
      </c>
      <c r="F60" s="2942"/>
    </row>
    <row r="61" spans="1:6" ht="20.100000000000001" customHeight="1">
      <c r="A61" s="2938">
        <v>59</v>
      </c>
      <c r="B61" s="2939" t="s">
        <v>3111</v>
      </c>
      <c r="C61" s="3095"/>
      <c r="D61" s="2938">
        <v>972.57</v>
      </c>
      <c r="E61" s="2938">
        <v>235.91</v>
      </c>
      <c r="F61" s="2942"/>
    </row>
    <row r="62" spans="1:6" ht="20.100000000000001" customHeight="1">
      <c r="A62" s="2938">
        <v>60</v>
      </c>
      <c r="B62" s="2939" t="s">
        <v>3112</v>
      </c>
      <c r="C62" s="3095"/>
      <c r="D62" s="2938">
        <v>34.01</v>
      </c>
      <c r="E62" s="2938">
        <v>8.25</v>
      </c>
      <c r="F62" s="2942"/>
    </row>
    <row r="63" spans="1:6" ht="20.100000000000001" customHeight="1">
      <c r="A63" s="2938">
        <v>61</v>
      </c>
      <c r="B63" s="2939" t="s">
        <v>3113</v>
      </c>
      <c r="C63" s="3095" t="s">
        <v>3114</v>
      </c>
      <c r="D63" s="2938">
        <v>1577.52</v>
      </c>
      <c r="E63" s="2938">
        <v>356.76</v>
      </c>
      <c r="F63" s="2942"/>
    </row>
    <row r="64" spans="1:6" ht="20.100000000000001" customHeight="1">
      <c r="A64" s="2938">
        <v>62</v>
      </c>
      <c r="B64" s="2939" t="s">
        <v>3115</v>
      </c>
      <c r="C64" s="3095"/>
      <c r="D64" s="2938">
        <v>310.77999999999997</v>
      </c>
      <c r="E64" s="2938">
        <v>70.290000000000006</v>
      </c>
      <c r="F64" s="2942"/>
    </row>
    <row r="65" spans="1:9" ht="20.100000000000001" customHeight="1">
      <c r="A65" s="2938">
        <v>63</v>
      </c>
      <c r="B65" s="2939" t="s">
        <v>3116</v>
      </c>
      <c r="C65" s="3095"/>
      <c r="D65" s="2938">
        <v>766.1</v>
      </c>
      <c r="E65" s="2938">
        <v>173.25</v>
      </c>
      <c r="F65" s="2942"/>
    </row>
    <row r="66" spans="1:9" ht="15.95" customHeight="1">
      <c r="A66" s="2938">
        <v>64</v>
      </c>
      <c r="B66" s="2939" t="s">
        <v>3117</v>
      </c>
      <c r="C66" s="3095"/>
      <c r="D66" s="2938">
        <v>80.569999999999993</v>
      </c>
      <c r="E66" s="2938">
        <v>18.22</v>
      </c>
      <c r="F66" s="2942"/>
    </row>
    <row r="67" spans="1:9" ht="20.100000000000001" customHeight="1">
      <c r="A67" s="2938">
        <v>65</v>
      </c>
      <c r="B67" s="2939" t="s">
        <v>3118</v>
      </c>
      <c r="C67" s="3095"/>
      <c r="D67" s="2938">
        <v>110.19</v>
      </c>
      <c r="E67" s="2938">
        <v>24.92</v>
      </c>
      <c r="F67" s="2942"/>
    </row>
    <row r="68" spans="1:9" ht="20.100000000000001" customHeight="1">
      <c r="A68" s="2938">
        <v>66</v>
      </c>
      <c r="B68" s="2939" t="s">
        <v>3119</v>
      </c>
      <c r="C68" s="3095"/>
      <c r="D68" s="2938">
        <v>2565</v>
      </c>
      <c r="E68" s="2938">
        <v>580.08000000000004</v>
      </c>
      <c r="F68" s="2942"/>
    </row>
    <row r="69" spans="1:9" ht="20.100000000000001" customHeight="1">
      <c r="A69" s="2938">
        <v>67</v>
      </c>
      <c r="B69" s="2939" t="s">
        <v>3120</v>
      </c>
      <c r="C69" s="3096"/>
      <c r="D69" s="2938">
        <v>2506.42</v>
      </c>
      <c r="E69" s="2938">
        <v>566.83000000000004</v>
      </c>
      <c r="F69" s="2942"/>
    </row>
    <row r="70" spans="1:9" ht="20.100000000000001" customHeight="1">
      <c r="A70" s="2938">
        <v>68</v>
      </c>
      <c r="B70" s="2939" t="s">
        <v>3121</v>
      </c>
      <c r="C70" s="2940" t="s">
        <v>3122</v>
      </c>
      <c r="D70" s="2938">
        <v>3298.6</v>
      </c>
      <c r="E70" s="2938">
        <v>778.57</v>
      </c>
      <c r="F70" s="2942"/>
    </row>
    <row r="71" spans="1:9" ht="20.100000000000001" customHeight="1">
      <c r="A71" s="2938">
        <v>69</v>
      </c>
      <c r="B71" s="2939" t="s">
        <v>3123</v>
      </c>
      <c r="C71" s="2940" t="s">
        <v>3124</v>
      </c>
      <c r="D71" s="2938">
        <v>23.19</v>
      </c>
      <c r="E71" s="2938">
        <v>5.24</v>
      </c>
      <c r="F71" s="2942"/>
    </row>
    <row r="72" spans="1:9" ht="20.100000000000001" customHeight="1">
      <c r="A72" s="2938">
        <v>70</v>
      </c>
      <c r="B72" s="2939" t="s">
        <v>3125</v>
      </c>
      <c r="C72" s="3095" t="s">
        <v>3126</v>
      </c>
      <c r="D72" s="2938">
        <v>1048.55</v>
      </c>
      <c r="E72" s="2938">
        <v>263.33</v>
      </c>
      <c r="F72" s="2942"/>
    </row>
    <row r="73" spans="1:9" ht="20.100000000000001" customHeight="1" thickBot="1">
      <c r="A73" s="2938">
        <v>71</v>
      </c>
      <c r="B73" s="2939" t="s">
        <v>3127</v>
      </c>
      <c r="C73" s="3095"/>
      <c r="D73" s="2938">
        <v>315.52</v>
      </c>
      <c r="E73" s="2938">
        <v>79.239999999999995</v>
      </c>
      <c r="F73" s="2942"/>
    </row>
    <row r="74" spans="1:9" ht="20.100000000000001" customHeight="1" thickTop="1" thickBot="1">
      <c r="A74" s="2938">
        <v>72</v>
      </c>
      <c r="B74" s="2939" t="s">
        <v>3128</v>
      </c>
      <c r="C74" s="3095"/>
      <c r="D74" s="2938">
        <v>83.26</v>
      </c>
      <c r="E74" s="2938">
        <v>20.91</v>
      </c>
      <c r="F74" s="2942"/>
      <c r="H74" s="3012">
        <v>149154</v>
      </c>
      <c r="I74" s="3013">
        <v>33077</v>
      </c>
    </row>
    <row r="75" spans="1:9" ht="20.100000000000001" customHeight="1" thickTop="1">
      <c r="A75" s="2938">
        <v>73</v>
      </c>
      <c r="B75" s="2939" t="s">
        <v>3129</v>
      </c>
      <c r="C75" s="3095"/>
      <c r="D75" s="2938">
        <v>113.87</v>
      </c>
      <c r="E75" s="2938">
        <v>28.6</v>
      </c>
      <c r="F75" s="2942"/>
      <c r="H75" s="2937">
        <f>H74+I74</f>
        <v>182231</v>
      </c>
    </row>
    <row r="76" spans="1:9" ht="20.100000000000001" customHeight="1">
      <c r="A76" s="2938">
        <v>74</v>
      </c>
      <c r="B76" s="2939" t="s">
        <v>3130</v>
      </c>
      <c r="C76" s="3095"/>
      <c r="D76" s="2938">
        <v>2456.85</v>
      </c>
      <c r="E76" s="2938">
        <v>617</v>
      </c>
      <c r="F76" s="2942"/>
    </row>
    <row r="77" spans="1:9" ht="20.100000000000001" customHeight="1">
      <c r="A77" s="2938">
        <v>75</v>
      </c>
      <c r="B77" s="2939" t="s">
        <v>3131</v>
      </c>
      <c r="C77" s="3095"/>
      <c r="D77" s="2938">
        <v>2652</v>
      </c>
      <c r="E77" s="2938">
        <v>666.01</v>
      </c>
      <c r="F77" s="2942"/>
    </row>
    <row r="78" spans="1:9" ht="20.100000000000001" customHeight="1">
      <c r="A78" s="2938">
        <v>76</v>
      </c>
      <c r="B78" s="2939" t="s">
        <v>3132</v>
      </c>
      <c r="C78" s="3095"/>
      <c r="D78" s="2938">
        <v>23.87</v>
      </c>
      <c r="E78" s="2938">
        <v>5.99</v>
      </c>
      <c r="F78" s="2942"/>
    </row>
    <row r="79" spans="1:9" ht="20.100000000000001" customHeight="1">
      <c r="A79" s="2938">
        <v>77</v>
      </c>
      <c r="B79" s="2939" t="s">
        <v>3133</v>
      </c>
      <c r="C79" s="3096"/>
      <c r="D79" s="2938">
        <v>71.33</v>
      </c>
      <c r="E79" s="2938">
        <v>17.920000000000002</v>
      </c>
      <c r="F79" s="2942"/>
    </row>
    <row r="80" spans="1:9" ht="20.100000000000001" customHeight="1">
      <c r="A80" s="2938">
        <v>78</v>
      </c>
      <c r="B80" s="2939" t="s">
        <v>3134</v>
      </c>
      <c r="C80" s="2940" t="s">
        <v>3135</v>
      </c>
      <c r="D80" s="2938">
        <v>648.4</v>
      </c>
      <c r="E80" s="2938">
        <v>75.12</v>
      </c>
      <c r="F80" s="2942"/>
    </row>
    <row r="81" spans="1:6" ht="20.100000000000001" customHeight="1">
      <c r="A81" s="2938">
        <v>79</v>
      </c>
      <c r="B81" s="2939" t="s">
        <v>3136</v>
      </c>
      <c r="C81" s="2940" t="s">
        <v>3137</v>
      </c>
      <c r="D81" s="2938">
        <v>1118.23</v>
      </c>
      <c r="E81" s="2938">
        <v>161.5</v>
      </c>
      <c r="F81" s="2942"/>
    </row>
    <row r="82" spans="1:6" ht="24" customHeight="1">
      <c r="A82" s="2938"/>
      <c r="D82" s="2944">
        <f>SUM(D3:D81)</f>
        <v>54924.66</v>
      </c>
      <c r="E82" s="2944"/>
    </row>
    <row r="83" spans="1:6" ht="20.100000000000001" customHeight="1"/>
    <row r="84" spans="1:6" ht="20.100000000000001" customHeight="1"/>
    <row r="85" spans="1:6" ht="20.100000000000001" customHeight="1"/>
    <row r="86" spans="1:6" ht="20.100000000000001" customHeight="1"/>
    <row r="87" spans="1:6" ht="20.100000000000001" customHeight="1"/>
    <row r="88" spans="1:6" ht="20.100000000000001" customHeight="1"/>
    <row r="89" spans="1:6" ht="20.100000000000001" customHeight="1"/>
  </sheetData>
  <autoFilter ref="A2:F83"/>
  <mergeCells count="7">
    <mergeCell ref="C72:C79"/>
    <mergeCell ref="A1:E1"/>
    <mergeCell ref="C4:C21"/>
    <mergeCell ref="C22:C38"/>
    <mergeCell ref="C39:C50"/>
    <mergeCell ref="C51:C62"/>
    <mergeCell ref="C63:C69"/>
  </mergeCells>
  <phoneticPr fontId="143" type="noConversion"/>
  <pageMargins left="0.75" right="0.75" top="1" bottom="1" header="0.51" footer="0.51"/>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6" sqref="D2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1937</v>
      </c>
      <c r="B1" s="1388"/>
      <c r="C1" s="1388"/>
      <c r="D1" s="1388"/>
      <c r="E1" s="1388"/>
      <c r="F1" s="1388"/>
      <c r="G1" s="1388"/>
      <c r="H1" s="1388"/>
      <c r="I1" s="1388"/>
      <c r="J1" s="1388"/>
      <c r="K1" s="1388"/>
      <c r="L1" s="1388"/>
      <c r="M1" s="1388"/>
      <c r="N1" s="1388"/>
      <c r="O1" s="1388"/>
      <c r="P1" s="1388"/>
    </row>
    <row r="2" spans="1:16" ht="15">
      <c r="A2" s="3109" t="s">
        <v>1938</v>
      </c>
      <c r="B2" s="3109"/>
      <c r="C2" s="3109"/>
      <c r="D2" s="967" t="s">
        <v>1914</v>
      </c>
      <c r="E2" s="2219" t="s">
        <v>1915</v>
      </c>
      <c r="F2" s="1388"/>
      <c r="G2" s="2220"/>
      <c r="H2" s="2221"/>
      <c r="I2" s="2222" t="s">
        <v>1939</v>
      </c>
      <c r="J2" s="1388"/>
      <c r="K2" s="1388"/>
      <c r="L2" s="1388"/>
      <c r="M2" s="1388"/>
      <c r="N2" s="1423"/>
      <c r="O2" s="1388"/>
      <c r="P2" s="1388"/>
    </row>
    <row r="3" spans="1:16" ht="15.75" thickBot="1">
      <c r="A3" s="3110" t="s">
        <v>1912</v>
      </c>
      <c r="B3" s="3110"/>
      <c r="C3" s="3110"/>
      <c r="D3" s="46">
        <f>'数据-基础表'!AY6</f>
        <v>9.2200000000000006</v>
      </c>
      <c r="E3" s="46">
        <f>'数据-基础表'!AZ5</f>
        <v>133.31</v>
      </c>
      <c r="F3" s="1388"/>
      <c r="G3" s="1395"/>
      <c r="H3" s="1243" t="s">
        <v>1913</v>
      </c>
      <c r="I3" s="55">
        <f>ROUND('数据-基础表'!B3/'数据-基础表'!A3,2)</f>
        <v>14.46</v>
      </c>
      <c r="J3" s="1388"/>
      <c r="K3" s="1388"/>
      <c r="L3" s="1388"/>
      <c r="M3" s="1388"/>
      <c r="N3" s="1423"/>
      <c r="O3" s="1388"/>
      <c r="P3" s="1388"/>
    </row>
    <row r="4" spans="1:16" ht="15">
      <c r="A4" s="3111"/>
      <c r="B4" s="3112"/>
      <c r="C4" s="3113"/>
      <c r="D4" s="2223" t="s">
        <v>1914</v>
      </c>
      <c r="E4" s="2224" t="s">
        <v>1915</v>
      </c>
      <c r="F4" s="1388"/>
      <c r="G4" s="2225" t="s">
        <v>1940</v>
      </c>
      <c r="H4" s="1243" t="s">
        <v>1920</v>
      </c>
      <c r="I4" s="55">
        <f>ROUND(SUMIF('数据-基础表'!I9:AS9,"地上",'数据-基础表'!I5:AS5)/'数据-基础表'!A3,2)</f>
        <v>14.46</v>
      </c>
      <c r="J4" s="1388"/>
      <c r="K4" s="1388"/>
      <c r="L4" s="1388"/>
      <c r="M4" s="1388"/>
      <c r="N4" s="1423"/>
      <c r="O4" s="1388"/>
      <c r="P4" s="1388"/>
    </row>
    <row r="5" spans="1:16">
      <c r="A5" s="47" t="s">
        <v>1916</v>
      </c>
      <c r="B5" s="3114" t="s">
        <v>1917</v>
      </c>
      <c r="C5" s="3114"/>
      <c r="D5" s="48">
        <f>ROUND($D$3*E5/$E$3,2)</f>
        <v>0</v>
      </c>
      <c r="E5" s="49">
        <f>SUMIF('数据-基础表'!$11:$11,"住宅",'数据-基础表'!$5:$5)</f>
        <v>0</v>
      </c>
      <c r="F5" s="1388"/>
      <c r="G5" s="1395"/>
      <c r="H5" s="1243" t="s">
        <v>1913</v>
      </c>
      <c r="I5" s="55">
        <f>ROUND(E31/D31,2)</f>
        <v>14.46</v>
      </c>
      <c r="J5" s="1388"/>
      <c r="K5" s="1388"/>
      <c r="L5" s="1388"/>
      <c r="M5" s="1388"/>
      <c r="N5" s="1388"/>
      <c r="O5" s="1388"/>
      <c r="P5" s="1388"/>
    </row>
    <row r="6" spans="1:16" ht="15" thickBot="1">
      <c r="A6" s="2226"/>
      <c r="B6" s="3114" t="s">
        <v>1918</v>
      </c>
      <c r="C6" s="3114"/>
      <c r="D6" s="48">
        <f>ROUND($D$3*E6/$E$3,2)</f>
        <v>9.2200000000000006</v>
      </c>
      <c r="E6" s="49">
        <f>E3-E5</f>
        <v>133.31</v>
      </c>
      <c r="F6" s="1388"/>
      <c r="G6" s="2227" t="s">
        <v>1919</v>
      </c>
      <c r="H6" s="1395" t="s">
        <v>1920</v>
      </c>
      <c r="I6" s="939">
        <f>ROUND(F31/D31,2)</f>
        <v>14.46</v>
      </c>
      <c r="J6" s="1388"/>
      <c r="K6" s="1388"/>
      <c r="L6" s="1388"/>
      <c r="M6" s="1388"/>
      <c r="N6" s="1388"/>
      <c r="O6" s="1388"/>
      <c r="P6" s="1388"/>
    </row>
    <row r="7" spans="1:16" ht="15">
      <c r="A7" s="3106"/>
      <c r="B7" s="3107"/>
      <c r="C7" s="3108"/>
      <c r="D7" s="2223" t="s">
        <v>1914</v>
      </c>
      <c r="E7" s="2228" t="s">
        <v>1921</v>
      </c>
      <c r="F7" s="1388"/>
      <c r="G7" s="2220" t="s">
        <v>1922</v>
      </c>
      <c r="H7" s="64"/>
      <c r="I7" s="419"/>
      <c r="J7" s="1388"/>
      <c r="K7" s="1388"/>
      <c r="L7" s="1388"/>
      <c r="M7" s="1388"/>
      <c r="N7" s="1388"/>
      <c r="O7" s="1388"/>
      <c r="P7" s="1388"/>
    </row>
    <row r="8" spans="1:16">
      <c r="A8" s="47" t="s">
        <v>1923</v>
      </c>
      <c r="B8" s="50" t="s">
        <v>1924</v>
      </c>
      <c r="C8" s="48" t="s">
        <v>1925</v>
      </c>
      <c r="D8" s="48">
        <f t="shared" ref="D8:D15" si="0">ROUND($D$3*E8/$E$3,2)</f>
        <v>9.2200000000000006</v>
      </c>
      <c r="E8" s="51">
        <f>SUMIF('数据-基础表'!BB10:BK10,"地上",'数据-基础表'!BB5:BK5)</f>
        <v>133.31</v>
      </c>
      <c r="F8" s="1388"/>
      <c r="G8" s="2229"/>
      <c r="H8" s="2229"/>
      <c r="I8" s="1388"/>
      <c r="J8" s="1388"/>
      <c r="K8" s="1388"/>
      <c r="L8" s="1388"/>
      <c r="M8" s="1388"/>
      <c r="N8" s="1388"/>
      <c r="O8" s="1388"/>
      <c r="P8" s="1388"/>
    </row>
    <row r="9" spans="1:16">
      <c r="A9" s="2230"/>
      <c r="B9" s="2231"/>
      <c r="C9" s="48" t="s">
        <v>1926</v>
      </c>
      <c r="D9" s="48">
        <f t="shared" si="0"/>
        <v>0</v>
      </c>
      <c r="E9" s="52">
        <v>0</v>
      </c>
      <c r="F9" s="1388"/>
      <c r="G9" s="2229"/>
      <c r="H9" s="2229"/>
      <c r="I9" s="1388"/>
      <c r="J9" s="1388"/>
      <c r="K9" s="1388"/>
      <c r="L9" s="1388"/>
      <c r="M9" s="1388"/>
      <c r="N9" s="1388"/>
      <c r="O9" s="1388"/>
      <c r="P9" s="1388"/>
    </row>
    <row r="10" spans="1:16">
      <c r="A10" s="2230"/>
      <c r="B10" s="2231"/>
      <c r="C10" s="48" t="s">
        <v>1935</v>
      </c>
      <c r="D10" s="48">
        <f t="shared" si="0"/>
        <v>0</v>
      </c>
      <c r="E10" s="51">
        <f>SUMPRODUCT(('数据-基础表'!BB10:BK10="地下")*('数据-基础表'!BB11:BK11="商业")*('数据-基础表'!BB5:BK5))</f>
        <v>0</v>
      </c>
      <c r="F10" s="1388"/>
      <c r="G10" s="2229"/>
      <c r="H10" s="2229"/>
      <c r="I10" s="1388"/>
      <c r="J10" s="1388"/>
      <c r="K10" s="1388"/>
      <c r="L10" s="1388"/>
      <c r="M10" s="1388"/>
      <c r="N10" s="1388"/>
      <c r="O10" s="1388"/>
      <c r="P10" s="1388"/>
    </row>
    <row r="11" spans="1:16">
      <c r="A11" s="2230"/>
      <c r="B11" s="2231"/>
      <c r="C11" s="48" t="s">
        <v>1927</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1928</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1929</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1941</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1936</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1930</v>
      </c>
      <c r="D16" s="50">
        <f>SUM(D8:D15)</f>
        <v>9.2200000000000006</v>
      </c>
      <c r="E16" s="53">
        <f>SUM(E8:E15)</f>
        <v>133.31</v>
      </c>
      <c r="F16" s="1388"/>
      <c r="G16" s="2229"/>
      <c r="H16" s="2232" t="s">
        <v>1942</v>
      </c>
      <c r="I16" s="2233"/>
      <c r="J16" s="1388"/>
      <c r="K16" s="3103" t="s">
        <v>1942</v>
      </c>
      <c r="L16" s="3104"/>
      <c r="M16" s="3104"/>
      <c r="N16" s="3104"/>
      <c r="O16" s="3104"/>
      <c r="P16" s="3105"/>
    </row>
    <row r="17" spans="1:19" ht="15">
      <c r="A17" s="2234" t="s">
        <v>1943</v>
      </c>
      <c r="B17" s="2235" t="s">
        <v>1944</v>
      </c>
      <c r="C17" s="2236" t="s">
        <v>1945</v>
      </c>
      <c r="D17" s="2237" t="s">
        <v>1933</v>
      </c>
      <c r="E17" s="2238" t="s">
        <v>1934</v>
      </c>
      <c r="F17" s="2239"/>
      <c r="G17" s="2240"/>
      <c r="H17" s="2241" t="s">
        <v>1946</v>
      </c>
      <c r="I17" s="2242" t="s">
        <v>1931</v>
      </c>
      <c r="J17" s="1388"/>
      <c r="K17" s="3100" t="s">
        <v>1947</v>
      </c>
      <c r="L17" s="3101"/>
      <c r="M17" s="3102"/>
      <c r="N17" s="3100" t="s">
        <v>1948</v>
      </c>
      <c r="O17" s="3101"/>
      <c r="P17" s="3102"/>
      <c r="R17" s="2220" t="s">
        <v>1949</v>
      </c>
      <c r="S17" s="64"/>
    </row>
    <row r="18" spans="1:19" ht="15">
      <c r="A18" s="2230"/>
      <c r="B18" s="2243"/>
      <c r="C18" s="2244"/>
      <c r="D18" s="2245"/>
      <c r="E18" s="2246" t="s">
        <v>1950</v>
      </c>
      <c r="F18" s="2247" t="s">
        <v>1951</v>
      </c>
      <c r="G18" s="2248" t="s">
        <v>1952</v>
      </c>
      <c r="H18" s="1258" t="s">
        <v>1953</v>
      </c>
      <c r="I18" s="2249" t="s">
        <v>1954</v>
      </c>
      <c r="J18" s="1388"/>
      <c r="K18" s="1258" t="s">
        <v>1955</v>
      </c>
      <c r="L18" s="2250" t="s">
        <v>1956</v>
      </c>
      <c r="M18" s="1046" t="s">
        <v>1957</v>
      </c>
      <c r="N18" s="1258" t="s">
        <v>1955</v>
      </c>
      <c r="O18" s="2250" t="s">
        <v>1956</v>
      </c>
      <c r="P18" s="1046" t="s">
        <v>1957</v>
      </c>
      <c r="R18" s="1243" t="s">
        <v>1958</v>
      </c>
      <c r="S18" s="1243" t="s">
        <v>1959</v>
      </c>
    </row>
    <row r="19" spans="1:19">
      <c r="A19" s="2251"/>
      <c r="B19" s="50" t="s">
        <v>1932</v>
      </c>
      <c r="C19" s="2252">
        <v>106</v>
      </c>
      <c r="D19" s="48">
        <f>ROUND($D$3*E19/$E$3,2)</f>
        <v>9.2200000000000006</v>
      </c>
      <c r="E19" s="56">
        <f t="shared" ref="E19:E26" si="1">SUM(F19:G19)</f>
        <v>133.31</v>
      </c>
      <c r="F19" s="57">
        <f>'数据-基础表'!I13</f>
        <v>133.31</v>
      </c>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9.2200000000000006</v>
      </c>
      <c r="S19" s="1244">
        <f t="shared" si="5"/>
        <v>133.31</v>
      </c>
    </row>
    <row r="20" spans="1:19">
      <c r="A20" s="2255"/>
      <c r="B20" s="50" t="s">
        <v>1960</v>
      </c>
      <c r="C20" s="2252"/>
      <c r="D20" s="48">
        <f t="shared" ref="D20:D26" si="6">ROUND($D$3*E20/$E$3,2)</f>
        <v>0</v>
      </c>
      <c r="E20" s="56">
        <f t="shared" si="1"/>
        <v>0</v>
      </c>
      <c r="F20" s="57"/>
      <c r="G20" s="58"/>
      <c r="H20" s="720">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0</v>
      </c>
    </row>
    <row r="21" spans="1:19">
      <c r="A21" s="2255"/>
      <c r="B21" s="50" t="s">
        <v>1960</v>
      </c>
      <c r="C21" s="2252"/>
      <c r="D21" s="48">
        <f t="shared" si="6"/>
        <v>0</v>
      </c>
      <c r="E21" s="56">
        <f t="shared" si="1"/>
        <v>0</v>
      </c>
      <c r="F21" s="57"/>
      <c r="G21" s="58"/>
      <c r="H21" s="720">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1960</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1960</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1960</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1961</v>
      </c>
      <c r="D27" s="1389">
        <f>SUM(D19:D26)</f>
        <v>9.2200000000000006</v>
      </c>
      <c r="E27" s="1390">
        <f>IF(SUM(E19:E26)='数据-基础表'!BA5,SUM(E19:E26),IF(F27="地上面积有误","面积有误","地下面积有误"))</f>
        <v>133.31</v>
      </c>
      <c r="F27" s="1389">
        <f>IF(SUM(F19:F26)=E8,SUM(F19:F26),"地上面积有误")</f>
        <v>133.31</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9.2200000000000006</v>
      </c>
      <c r="S27" s="1243">
        <f>IF(SUM(S19:S26)=$E$3,SUM(S19:S26),SUM(S19:S26)&amp;"误差"&amp;ROUND(SUM(S19:S26)-E3,2))</f>
        <v>133.31</v>
      </c>
    </row>
    <row r="28" spans="1:19">
      <c r="A28" s="2255"/>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1962</v>
      </c>
      <c r="C29" s="2259"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7" t="s">
        <v>1965</v>
      </c>
      <c r="D31" s="726">
        <f>D27+D30</f>
        <v>9.2200000000000006</v>
      </c>
      <c r="E31" s="726">
        <f>E27+E30</f>
        <v>133.31</v>
      </c>
      <c r="F31" s="727">
        <f>F27+F30</f>
        <v>133.31</v>
      </c>
      <c r="G31" s="728">
        <f>G27+G30</f>
        <v>0</v>
      </c>
      <c r="H31" s="1388"/>
      <c r="I31" s="1388"/>
      <c r="J31" s="1388"/>
      <c r="K31" s="1388"/>
      <c r="L31" s="1388"/>
      <c r="M31" s="1388"/>
      <c r="N31" s="1388"/>
      <c r="O31" s="1388"/>
      <c r="P31" s="1388"/>
    </row>
    <row r="32" spans="1:19">
      <c r="A32" s="2225"/>
      <c r="B32" s="2225" t="s">
        <v>1966</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L15" sqref="AL15"/>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5" width="6.75" style="2267" customWidth="1"/>
    <col min="26" max="30" width="6.75" style="2267" hidden="1"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29"/>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5" customFormat="1" ht="15.75" thickBot="1">
      <c r="A2" s="2268" t="s">
        <v>1968</v>
      </c>
      <c r="B2" s="1262">
        <f>项目基本情况!D3</f>
        <v>43346</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5" customFormat="1" ht="15" thickBot="1">
      <c r="A3" s="2023"/>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5" customFormat="1" ht="15" thickBot="1">
      <c r="A4" s="68"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6" t="s">
        <v>1973</v>
      </c>
      <c r="AA4" s="2236"/>
      <c r="AB4" s="2236"/>
      <c r="AC4" s="2236"/>
      <c r="AD4" s="2236"/>
      <c r="AE4" s="2234" t="s">
        <v>1974</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6"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3140</v>
      </c>
      <c r="O5" s="2288" t="s">
        <v>1988</v>
      </c>
      <c r="P5" s="2291" t="s">
        <v>1989</v>
      </c>
      <c r="Q5" s="69" t="s">
        <v>1990</v>
      </c>
      <c r="R5" s="2292" t="s">
        <v>1991</v>
      </c>
      <c r="S5" s="2293" t="s">
        <v>1992</v>
      </c>
      <c r="T5" s="2294" t="s">
        <v>1993</v>
      </c>
      <c r="U5" s="1263" t="s">
        <v>1994</v>
      </c>
      <c r="V5" s="1264" t="s">
        <v>1995</v>
      </c>
      <c r="W5" s="1264" t="s">
        <v>1996</v>
      </c>
      <c r="X5" s="71"/>
      <c r="Y5" s="70" t="s">
        <v>1997</v>
      </c>
      <c r="Z5" s="2295" t="s">
        <v>1994</v>
      </c>
      <c r="AA5" s="1264" t="s">
        <v>1995</v>
      </c>
      <c r="AB5" s="1264" t="s">
        <v>1996</v>
      </c>
      <c r="AC5" s="71"/>
      <c r="AD5" s="71" t="s">
        <v>1997</v>
      </c>
      <c r="AE5" s="1263" t="s">
        <v>1998</v>
      </c>
      <c r="AF5" s="1264" t="s">
        <v>1999</v>
      </c>
      <c r="AG5" s="70" t="s">
        <v>2000</v>
      </c>
      <c r="AH5" s="1263" t="s">
        <v>2001</v>
      </c>
      <c r="AI5" s="2295" t="s">
        <v>2002</v>
      </c>
      <c r="AJ5" s="2295" t="s">
        <v>2003</v>
      </c>
      <c r="AK5" s="1264" t="s">
        <v>2004</v>
      </c>
      <c r="AL5" s="1264" t="s">
        <v>2005</v>
      </c>
      <c r="AM5" s="70" t="s">
        <v>2006</v>
      </c>
      <c r="AN5" s="2296" t="s">
        <v>2007</v>
      </c>
      <c r="AO5" s="2066" t="s">
        <v>2008</v>
      </c>
      <c r="AP5" s="1245" t="s">
        <v>2009</v>
      </c>
      <c r="AQ5" s="2297" t="s">
        <v>2010</v>
      </c>
      <c r="AR5" s="2297" t="s">
        <v>2011</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8">
        <f>'数据-汇总表'!C19</f>
        <v>106</v>
      </c>
      <c r="B6" s="2299" t="str">
        <f>IF(A6=0,"","经营性")</f>
        <v>经营性</v>
      </c>
      <c r="C6" s="2300" t="s">
        <v>1377</v>
      </c>
      <c r="D6" s="1051">
        <f>SUMIF(项目基本情况!D$12:I$12,C6,项目基本情况!D$14:I$14)</f>
        <v>40</v>
      </c>
      <c r="E6" s="1048">
        <f>IF(B6="","",SUMIF(项目基本情况!D$12:I$12,C6,项目基本情况!D$13:I$13))</f>
        <v>54802</v>
      </c>
      <c r="F6" s="72">
        <f>SUMIF(项目基本情况!D$12:I$12,C6,项目基本情况!D$15:I$15)</f>
        <v>31.38</v>
      </c>
      <c r="G6" s="73">
        <f>IF(ISERROR(ROUND(POWER(1+H6,D6-F6)*(POWER(1+H6,F6)-1)/(POWER(1+H6,D6)-1),3)),0,ROUND(POWER(1+H6,D6-F6)*(POWER(1+H6,F6)-1)/(POWER(1+H6,D6)-1),3))</f>
        <v>0.90400000000000003</v>
      </c>
      <c r="H6" s="2966">
        <v>4.4999999999999998E-2</v>
      </c>
      <c r="I6" s="2966">
        <v>0.05</v>
      </c>
      <c r="J6" s="74">
        <v>8.5000000000000006E-2</v>
      </c>
      <c r="K6" s="1247">
        <f>SUMIF('数据-汇总表'!C$19:C$33,A6,'数据-汇总表'!E$19:E$33)</f>
        <v>133.31</v>
      </c>
      <c r="L6" s="800">
        <v>4000</v>
      </c>
      <c r="M6" s="75">
        <f t="shared" ref="M6:M14" si="0">ROUND(K6*L6/10000,0)</f>
        <v>53</v>
      </c>
      <c r="N6" s="798">
        <f>ROUND(1-(2018-2014)/60,2)</f>
        <v>0.93</v>
      </c>
      <c r="O6" s="75" t="str">
        <f>IF($N$5="成新度","——",ROUND(M6*N6,0))</f>
        <v>——</v>
      </c>
      <c r="P6" s="76" t="str">
        <f>IF($N$5="成新度","——",M6-O6)</f>
        <v>——</v>
      </c>
      <c r="Q6" s="801">
        <v>0.15</v>
      </c>
      <c r="R6" s="77">
        <f ca="1">SUMIF('数据-汇总表'!C$19:C$33,A6,'数据-汇总表'!R$19:R$27)</f>
        <v>9.2200000000000006</v>
      </c>
      <c r="S6" s="54">
        <f>IF('数据-汇总表'!$I$17="按面积比例",SUMIF('数据-汇总表'!C$19:C$33,A6,'数据-汇总表'!K$19:K$33),SUMIF('数据-汇总表'!C$19:C$33,A6,'数据-汇总表'!N$19:N$33))</f>
        <v>0</v>
      </c>
      <c r="T6" s="1439">
        <f>ROUND($L$14*S6/10000,0)</f>
        <v>0</v>
      </c>
      <c r="U6" s="2983">
        <v>6.5</v>
      </c>
      <c r="V6" s="2968">
        <v>3.5000000000000003E-2</v>
      </c>
      <c r="W6" s="2968">
        <v>0.05</v>
      </c>
      <c r="X6" s="1257"/>
      <c r="Y6" s="80">
        <f>N6</f>
        <v>0.93</v>
      </c>
      <c r="Z6" s="81"/>
      <c r="AA6" s="74"/>
      <c r="AB6" s="74"/>
      <c r="AC6" s="1257"/>
      <c r="AD6" s="82"/>
      <c r="AE6" s="1258">
        <f ca="1">IF(AN6="",0,SUMIF(INDIRECT("'"&amp;AN6&amp;"'"&amp;"!E:E"),$AE$5,INDIRECT("'"&amp;AN6&amp;"'"&amp;"!F:F")))</f>
        <v>31.38</v>
      </c>
      <c r="AF6" s="1799"/>
      <c r="AG6" s="146">
        <f>IF(AF6="",0,AE6-AF6)</f>
        <v>0</v>
      </c>
      <c r="AH6" s="83"/>
      <c r="AI6" s="85">
        <v>365</v>
      </c>
      <c r="AJ6" s="86"/>
      <c r="AK6" s="87">
        <v>2.5000000000000001E-2</v>
      </c>
      <c r="AL6" s="88">
        <v>1.5E-3</v>
      </c>
      <c r="AM6" s="89">
        <v>0.03</v>
      </c>
      <c r="AN6" s="2301" t="s">
        <v>3494</v>
      </c>
      <c r="AO6" s="55">
        <f ca="1">SUMIF(INDIRECT("'"&amp;AN6&amp;"'"&amp;"!A:A"),"总价",INDIRECT("'"&amp;AN6&amp;"'"&amp;"!B:B"))</f>
        <v>533</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5" customFormat="1" ht="14.25" hidden="1">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7">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5" customFormat="1" ht="14.25" hidden="1">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47">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39">
        <f t="shared" si="5"/>
        <v>0</v>
      </c>
      <c r="U8" s="802"/>
      <c r="V8" s="803"/>
      <c r="W8" s="803"/>
      <c r="X8" s="1257"/>
      <c r="Y8" s="804"/>
      <c r="Z8" s="81"/>
      <c r="AA8" s="74"/>
      <c r="AB8" s="74"/>
      <c r="AC8" s="1257"/>
      <c r="AD8" s="82"/>
      <c r="AE8" s="1258">
        <f t="shared" ca="1" si="6"/>
        <v>0</v>
      </c>
      <c r="AF8" s="1799"/>
      <c r="AG8" s="146">
        <f t="shared" si="7"/>
        <v>0</v>
      </c>
      <c r="AH8" s="805"/>
      <c r="AI8" s="85"/>
      <c r="AJ8" s="86"/>
      <c r="AK8" s="806"/>
      <c r="AL8" s="807"/>
      <c r="AM8" s="808"/>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5" customFormat="1" ht="14.25" hidden="1">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5" customFormat="1" ht="14.25" hidden="1">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5" customFormat="1" ht="14.25" hidden="1">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5" customFormat="1" ht="14.25" hidden="1">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5" customFormat="1" ht="14.25" hidden="1">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5" customFormat="1" ht="14.25">
      <c r="A14" s="2303" t="s">
        <v>2012</v>
      </c>
      <c r="B14" s="2299" t="s">
        <v>2013</v>
      </c>
      <c r="C14" s="2304" t="s">
        <v>2012</v>
      </c>
      <c r="D14" s="1051"/>
      <c r="E14" s="1048"/>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0"/>
      <c r="V14" s="1252"/>
      <c r="W14" s="1252"/>
      <c r="X14" s="1253"/>
      <c r="Y14" s="1254"/>
      <c r="Z14" s="1255"/>
      <c r="AA14" s="1256"/>
      <c r="AB14" s="1256"/>
      <c r="AC14" s="1257"/>
      <c r="AD14" s="1253"/>
      <c r="AE14" s="1258"/>
      <c r="AF14" s="55"/>
      <c r="AG14" s="146"/>
      <c r="AH14" s="1258"/>
      <c r="AI14" s="1810"/>
      <c r="AJ14" s="770"/>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5" customFormat="1" ht="27">
      <c r="A15" s="2303" t="s">
        <v>2014</v>
      </c>
      <c r="B15" s="2299" t="s">
        <v>2013</v>
      </c>
      <c r="C15" s="2304" t="s">
        <v>2015</v>
      </c>
      <c r="D15" s="1051"/>
      <c r="E15" s="1048"/>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6"/>
      <c r="AH15" s="1258"/>
      <c r="AI15" s="1810"/>
      <c r="AJ15" s="770"/>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5" customFormat="1" ht="15.75" thickBot="1">
      <c r="A16" s="2305" t="s">
        <v>2016</v>
      </c>
      <c r="B16" s="97"/>
      <c r="C16" s="1005"/>
      <c r="D16" s="2306"/>
      <c r="E16" s="97"/>
      <c r="F16" s="97"/>
      <c r="G16" s="98">
        <f>ROUND(SUMPRODUCT(G6:G13,K6:K13)/SUMPRODUCT((G6:G13&gt;0)*(K6:K13)),3)</f>
        <v>0.90400000000000003</v>
      </c>
      <c r="H16" s="99">
        <f>ROUND(SUMPRODUCT(H6:H13,K6:K13)/SUMPRODUCT((H6:H13&gt;0)*(K6:K13)),3)</f>
        <v>4.4999999999999998E-2</v>
      </c>
      <c r="I16" s="100"/>
      <c r="J16" s="100"/>
      <c r="K16" s="101">
        <f>SUM(K6:K15)</f>
        <v>133.31</v>
      </c>
      <c r="L16" s="102">
        <f>ROUND(M16*10000/SUM(K6:K14),0)</f>
        <v>3976</v>
      </c>
      <c r="M16" s="102">
        <f>SUM(M6:M14)</f>
        <v>53</v>
      </c>
      <c r="N16" s="103">
        <f>ROUND(SUMPRODUCT(M6:M14,N6:N14)/M16,3)</f>
        <v>0.93</v>
      </c>
      <c r="O16" s="102">
        <f>SUM(O6:O14)</f>
        <v>0</v>
      </c>
      <c r="P16" s="102">
        <f>SUM(P6:P14)</f>
        <v>0</v>
      </c>
      <c r="Q16" s="104">
        <f>ROUND(SUMPRODUCT(Q6:Q13,K6:K13)/SUMPRODUCT((Q6:Q13&gt;0)*(K6:K13)),2)</f>
        <v>0.15</v>
      </c>
      <c r="R16" s="1251">
        <f ca="1">SUM(R6:R13)</f>
        <v>9.2200000000000006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9"/>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2">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3">
        <v>2</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3">
        <v>2</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4">
        <f>B19+B21</f>
        <v>2</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5">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3"/>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6">
        <v>105</v>
      </c>
      <c r="C27" s="2956" t="s">
        <v>3177</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2030</v>
      </c>
      <c r="B28" s="119">
        <v>105</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2031</v>
      </c>
      <c r="B29" s="121">
        <f>ROUND(B28*K6/10000,0)</f>
        <v>1</v>
      </c>
      <c r="C29" s="1759" t="s">
        <v>2032</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2033</v>
      </c>
      <c r="B30" s="721">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2034</v>
      </c>
      <c r="B31" s="120">
        <f>B30-B32</f>
        <v>200</v>
      </c>
      <c r="C31" s="1759"/>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2035</v>
      </c>
      <c r="B32" s="722">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2036</v>
      </c>
      <c r="B33" s="723">
        <v>0.05</v>
      </c>
      <c r="C33" s="1758" t="s">
        <v>2037</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2038</v>
      </c>
      <c r="B34" s="122">
        <v>0</v>
      </c>
      <c r="C34" s="1758" t="s">
        <v>2039</v>
      </c>
      <c r="D34" s="2270" t="s">
        <v>2040</v>
      </c>
      <c r="E34" s="729"/>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2041</v>
      </c>
      <c r="B35" s="119">
        <v>200</v>
      </c>
      <c r="C35" s="1758" t="s">
        <v>2042</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2043</v>
      </c>
      <c r="B36" s="123">
        <v>1.4999999999999999E-2</v>
      </c>
      <c r="C36" s="1758" t="s">
        <v>2044</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2045</v>
      </c>
      <c r="B37" s="124">
        <v>0.02</v>
      </c>
      <c r="C37" s="1758" t="s">
        <v>2046</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2047</v>
      </c>
      <c r="B38" s="122">
        <v>0.02</v>
      </c>
      <c r="C38" s="1758" t="s">
        <v>2046</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2048</v>
      </c>
      <c r="B39" s="361">
        <f ca="1">存贷款利率!I1</f>
        <v>1.4999999999999999E-2</v>
      </c>
      <c r="C39" s="1758"/>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2049</v>
      </c>
      <c r="B40" s="1296">
        <f ca="1">存贷款利率!G1</f>
        <v>4.7500000000000001E-2</v>
      </c>
      <c r="C40" s="1758" t="s">
        <v>2050</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2051</v>
      </c>
      <c r="B41" s="125">
        <f>B42+B43</f>
        <v>5.6000000000000001E-2</v>
      </c>
      <c r="C41" s="1759"/>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2052</v>
      </c>
      <c r="B42" s="126">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2053</v>
      </c>
      <c r="B43" s="127">
        <f>B42*(B44+B45+B46)+B47</f>
        <v>6.000000000000001E-3</v>
      </c>
      <c r="C43" s="1759"/>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2054</v>
      </c>
      <c r="B44" s="128">
        <v>7.0000000000000007E-2</v>
      </c>
      <c r="C44" s="1758" t="s">
        <v>2055</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2056</v>
      </c>
      <c r="B45" s="126">
        <v>0.03</v>
      </c>
      <c r="C45" s="1759" t="s">
        <v>2057</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2058</v>
      </c>
      <c r="B46" s="126">
        <v>0.02</v>
      </c>
      <c r="C46" s="1759" t="s">
        <v>2059</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2060</v>
      </c>
      <c r="B47" s="129">
        <v>0</v>
      </c>
      <c r="C47" s="1759" t="s">
        <v>2061</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2062</v>
      </c>
      <c r="B48" s="2953">
        <v>0.03</v>
      </c>
      <c r="C48" s="1766" t="s">
        <v>2063</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2064</v>
      </c>
      <c r="B49" s="126">
        <v>5.0000000000000001E-4</v>
      </c>
      <c r="C49" s="1766" t="s">
        <v>2065</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2066</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2067</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2068</v>
      </c>
      <c r="B52" s="132">
        <f>SUMIF(A54:A63,B53,B54:B63)</f>
        <v>10</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2069</v>
      </c>
      <c r="B53" s="2328" t="s">
        <v>269</v>
      </c>
      <c r="C53" s="1423" t="s">
        <v>2070</v>
      </c>
      <c r="D53" s="2329" t="s">
        <v>2071</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2072</v>
      </c>
      <c r="B54" s="84">
        <v>16</v>
      </c>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2073</v>
      </c>
      <c r="B55" s="84">
        <v>10</v>
      </c>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2074</v>
      </c>
      <c r="B56" s="84">
        <v>8</v>
      </c>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28.5">
      <c r="A57" s="2330" t="s">
        <v>2075</v>
      </c>
      <c r="B57" s="2980" t="s">
        <v>3213</v>
      </c>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2076</v>
      </c>
      <c r="B58" s="84">
        <v>3</v>
      </c>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2077</v>
      </c>
      <c r="B59" s="84"/>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2078</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2079</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2080</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2081</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4" customFormat="1">
      <c r="A64" s="2333"/>
      <c r="D64" s="2334"/>
      <c r="K64" s="795"/>
      <c r="L64" s="795"/>
    </row>
    <row r="65" spans="1:12" s="964" customFormat="1">
      <c r="A65" s="2333"/>
      <c r="D65" s="2334"/>
      <c r="K65" s="795"/>
      <c r="L65" s="795"/>
    </row>
    <row r="66" spans="1:12" s="964" customFormat="1">
      <c r="A66" s="2333"/>
      <c r="D66" s="2334"/>
      <c r="K66" s="795"/>
      <c r="L66" s="795"/>
    </row>
    <row r="67" spans="1:12" s="964" customFormat="1">
      <c r="A67" s="2333"/>
      <c r="D67" s="2334"/>
      <c r="K67" s="795"/>
      <c r="L67" s="795"/>
    </row>
    <row r="68" spans="1:12" s="964" customFormat="1">
      <c r="A68" s="2333"/>
      <c r="D68" s="2334"/>
      <c r="K68" s="795"/>
      <c r="L68" s="795"/>
    </row>
    <row r="69" spans="1:12" s="964" customFormat="1">
      <c r="A69" s="2333"/>
      <c r="D69" s="2334"/>
      <c r="K69" s="795"/>
      <c r="L69" s="795"/>
    </row>
    <row r="70" spans="1:12" s="964" customFormat="1">
      <c r="A70" s="2333"/>
      <c r="D70" s="2334"/>
      <c r="K70" s="795"/>
      <c r="L70" s="795"/>
    </row>
    <row r="71" spans="1:12" s="964" customFormat="1">
      <c r="A71" s="2333"/>
      <c r="D71" s="2334"/>
      <c r="K71" s="795"/>
      <c r="L71" s="795"/>
    </row>
    <row r="72" spans="1:12" s="964" customFormat="1">
      <c r="A72" s="2333"/>
      <c r="D72" s="2334"/>
      <c r="K72" s="795"/>
      <c r="L72" s="795"/>
    </row>
    <row r="73" spans="1:12" s="964" customFormat="1">
      <c r="A73" s="2333"/>
      <c r="D73" s="2334"/>
      <c r="K73" s="795"/>
      <c r="L73" s="795"/>
    </row>
    <row r="74" spans="1:12" s="964" customFormat="1">
      <c r="A74" s="2333"/>
      <c r="D74" s="2334"/>
      <c r="K74" s="795"/>
      <c r="L74" s="795"/>
    </row>
    <row r="75" spans="1:12" s="964" customFormat="1">
      <c r="A75" s="2333"/>
      <c r="D75" s="2334"/>
      <c r="K75" s="795"/>
      <c r="L75" s="795"/>
    </row>
    <row r="76" spans="1:12" s="964" customFormat="1">
      <c r="A76" s="2333"/>
      <c r="D76" s="2334"/>
      <c r="K76" s="795"/>
      <c r="L76" s="795"/>
    </row>
    <row r="77" spans="1:12" s="964" customFormat="1">
      <c r="A77" s="2333"/>
      <c r="D77" s="2334"/>
      <c r="K77" s="795"/>
      <c r="L77" s="795"/>
    </row>
    <row r="78" spans="1:12" s="964" customFormat="1">
      <c r="A78" s="2333"/>
      <c r="D78" s="2334"/>
      <c r="K78" s="795"/>
      <c r="L78" s="795"/>
    </row>
    <row r="79" spans="1:12" s="964" customFormat="1">
      <c r="A79" s="2333"/>
      <c r="D79" s="2334"/>
      <c r="K79" s="795"/>
      <c r="L79" s="795"/>
    </row>
    <row r="80" spans="1:12" s="964" customFormat="1">
      <c r="A80" s="2333"/>
      <c r="D80" s="2334"/>
      <c r="K80" s="795"/>
      <c r="L80" s="795"/>
    </row>
    <row r="81" spans="1:12" s="964" customFormat="1">
      <c r="A81" s="2333"/>
      <c r="D81" s="2334"/>
      <c r="K81" s="795"/>
      <c r="L81" s="795"/>
    </row>
    <row r="82" spans="1:12" s="964" customFormat="1">
      <c r="A82" s="2333"/>
      <c r="D82" s="2334"/>
      <c r="K82" s="795"/>
      <c r="L82" s="795"/>
    </row>
    <row r="83" spans="1:12" s="964" customFormat="1">
      <c r="A83" s="2333"/>
      <c r="D83" s="2334"/>
      <c r="K83" s="795"/>
      <c r="L83" s="795"/>
    </row>
    <row r="84" spans="1:12" s="964" customFormat="1">
      <c r="A84" s="2333"/>
      <c r="D84" s="2334"/>
      <c r="K84" s="795"/>
      <c r="L84" s="795"/>
    </row>
    <row r="85" spans="1:12" s="964" customFormat="1">
      <c r="A85" s="2333"/>
      <c r="D85" s="2334"/>
      <c r="K85" s="795"/>
      <c r="L85" s="795"/>
    </row>
    <row r="86" spans="1:12" s="964" customFormat="1">
      <c r="A86" s="2333"/>
      <c r="D86" s="2334"/>
      <c r="K86" s="795"/>
      <c r="L86" s="795"/>
    </row>
    <row r="87" spans="1:12" s="964" customFormat="1">
      <c r="A87" s="2333"/>
      <c r="D87" s="2334"/>
      <c r="K87" s="795"/>
      <c r="L87" s="795"/>
    </row>
    <row r="88" spans="1:12" s="964" customFormat="1">
      <c r="A88" s="2333"/>
      <c r="D88" s="2334"/>
      <c r="K88" s="795"/>
      <c r="L88" s="795"/>
    </row>
    <row r="89" spans="1:12" s="964" customFormat="1">
      <c r="A89" s="2333"/>
      <c r="D89" s="2334"/>
      <c r="K89" s="795"/>
      <c r="L89" s="795"/>
    </row>
    <row r="90" spans="1:12" s="964" customFormat="1">
      <c r="A90" s="2333"/>
      <c r="D90" s="2334"/>
      <c r="K90" s="795"/>
      <c r="L90" s="795"/>
    </row>
    <row r="91" spans="1:12" s="964" customFormat="1">
      <c r="A91" s="2333"/>
      <c r="D91" s="2334"/>
      <c r="K91" s="795"/>
      <c r="L91" s="795"/>
    </row>
    <row r="92" spans="1:12" s="964" customFormat="1">
      <c r="A92" s="2333"/>
      <c r="D92" s="2334"/>
      <c r="K92" s="795"/>
      <c r="L92" s="795"/>
    </row>
    <row r="93" spans="1:12" s="964" customFormat="1">
      <c r="A93" s="2333"/>
      <c r="D93" s="2334"/>
      <c r="K93" s="795"/>
      <c r="L93" s="795"/>
    </row>
    <row r="94" spans="1:12" s="964" customFormat="1">
      <c r="A94" s="2333"/>
      <c r="D94" s="2334"/>
      <c r="K94" s="795"/>
      <c r="L94" s="795"/>
    </row>
    <row r="95" spans="1:12" s="964" customFormat="1">
      <c r="A95" s="2333"/>
      <c r="D95" s="2334"/>
      <c r="K95" s="795"/>
      <c r="L95" s="795"/>
    </row>
    <row r="96" spans="1:12" s="964" customFormat="1">
      <c r="A96" s="2333"/>
      <c r="D96" s="2334"/>
      <c r="K96" s="795"/>
      <c r="L96" s="795"/>
    </row>
    <row r="97" spans="1:12" s="964" customFormat="1">
      <c r="A97" s="2333"/>
      <c r="D97" s="2334"/>
      <c r="K97" s="795"/>
      <c r="L97" s="795"/>
    </row>
    <row r="98" spans="1:12" s="964" customFormat="1">
      <c r="A98" s="2333"/>
      <c r="D98" s="2334"/>
      <c r="K98" s="795"/>
      <c r="L98" s="795"/>
    </row>
    <row r="99" spans="1:12" s="964" customFormat="1">
      <c r="A99" s="2333"/>
      <c r="D99" s="2334"/>
      <c r="K99" s="795"/>
      <c r="L99" s="795"/>
    </row>
    <row r="100" spans="1:12" s="964" customFormat="1">
      <c r="A100" s="2333"/>
      <c r="D100" s="2334"/>
      <c r="K100" s="795"/>
      <c r="L100" s="795"/>
    </row>
    <row r="101" spans="1:12" s="964" customFormat="1">
      <c r="A101" s="2333"/>
      <c r="D101" s="2334"/>
      <c r="K101" s="795"/>
      <c r="L101" s="795"/>
    </row>
    <row r="102" spans="1:12" s="964" customFormat="1">
      <c r="A102" s="2333"/>
      <c r="D102" s="2334"/>
      <c r="K102" s="795"/>
      <c r="L102" s="795"/>
    </row>
    <row r="103" spans="1:12" s="964" customFormat="1">
      <c r="A103" s="2333"/>
      <c r="D103" s="2334"/>
      <c r="K103" s="795"/>
      <c r="L103" s="795"/>
    </row>
    <row r="104" spans="1:12" s="964" customFormat="1">
      <c r="A104" s="2333"/>
      <c r="D104" s="2334"/>
      <c r="K104" s="795"/>
      <c r="L104" s="795"/>
    </row>
    <row r="105" spans="1:12" s="964" customFormat="1">
      <c r="A105" s="2333"/>
      <c r="D105" s="2334"/>
      <c r="K105" s="795"/>
      <c r="L105" s="795"/>
    </row>
    <row r="106" spans="1:12" s="964" customFormat="1">
      <c r="A106" s="2333"/>
      <c r="D106" s="2334"/>
      <c r="K106" s="795"/>
      <c r="L106" s="795"/>
    </row>
    <row r="107" spans="1:12" s="964" customFormat="1">
      <c r="A107" s="2333"/>
      <c r="D107" s="2334"/>
      <c r="K107" s="795"/>
      <c r="L107" s="795"/>
    </row>
    <row r="108" spans="1:12" s="964" customFormat="1">
      <c r="A108" s="2333"/>
      <c r="D108" s="2334"/>
      <c r="K108" s="795"/>
      <c r="L108" s="795"/>
    </row>
    <row r="109" spans="1:12" s="964" customFormat="1">
      <c r="A109" s="2333"/>
      <c r="D109" s="2334"/>
      <c r="K109" s="795"/>
      <c r="L109" s="795"/>
    </row>
    <row r="110" spans="1:12" s="964" customFormat="1">
      <c r="A110" s="2333"/>
      <c r="D110" s="2334"/>
      <c r="K110" s="795"/>
      <c r="L110" s="795"/>
    </row>
    <row r="111" spans="1:12" s="964" customFormat="1">
      <c r="A111" s="2333"/>
      <c r="D111" s="2334"/>
      <c r="K111" s="795"/>
      <c r="L111" s="795"/>
    </row>
    <row r="112" spans="1:12" s="964" customFormat="1">
      <c r="A112" s="2333"/>
      <c r="D112" s="2334"/>
      <c r="K112" s="795"/>
      <c r="L112" s="795"/>
    </row>
    <row r="113" spans="1:12" s="964" customFormat="1">
      <c r="A113" s="2333"/>
      <c r="D113" s="2334"/>
      <c r="K113" s="795"/>
      <c r="L113" s="795"/>
    </row>
    <row r="114" spans="1:12" s="964" customFormat="1">
      <c r="A114" s="2333"/>
      <c r="D114" s="2334"/>
      <c r="K114" s="795"/>
      <c r="L114" s="795"/>
    </row>
    <row r="115" spans="1:12" s="964" customFormat="1">
      <c r="A115" s="2333"/>
      <c r="D115" s="2334"/>
      <c r="K115" s="795"/>
      <c r="L115" s="795"/>
    </row>
    <row r="116" spans="1:12" s="964" customFormat="1">
      <c r="A116" s="2333"/>
      <c r="D116" s="2334"/>
      <c r="K116" s="795"/>
      <c r="L116" s="795"/>
    </row>
    <row r="117" spans="1:12" s="964" customFormat="1">
      <c r="A117" s="2333"/>
      <c r="D117" s="2334"/>
      <c r="K117" s="795"/>
      <c r="L117" s="795"/>
    </row>
    <row r="118" spans="1:12" s="964" customFormat="1">
      <c r="A118" s="2333"/>
      <c r="D118" s="2334"/>
      <c r="K118" s="795"/>
      <c r="L118" s="795"/>
    </row>
    <row r="119" spans="1:12" s="964" customFormat="1">
      <c r="A119" s="2333"/>
      <c r="D119" s="2334"/>
      <c r="K119" s="795"/>
      <c r="L119" s="795"/>
    </row>
    <row r="120" spans="1:12" s="964" customFormat="1">
      <c r="A120" s="2333"/>
      <c r="D120" s="2334"/>
      <c r="K120" s="795"/>
      <c r="L120" s="795"/>
    </row>
    <row r="121" spans="1:12" s="964" customFormat="1">
      <c r="A121" s="2333"/>
      <c r="D121" s="2334"/>
      <c r="K121" s="795"/>
      <c r="L121" s="795"/>
    </row>
    <row r="122" spans="1:12" s="964" customFormat="1">
      <c r="A122" s="2333"/>
      <c r="D122" s="2334"/>
      <c r="K122" s="795"/>
      <c r="L122" s="795"/>
    </row>
    <row r="123" spans="1:12" s="964" customFormat="1">
      <c r="A123" s="2333"/>
      <c r="D123" s="2334"/>
      <c r="K123" s="795"/>
      <c r="L123" s="795"/>
    </row>
    <row r="124" spans="1:12" s="964" customFormat="1">
      <c r="A124" s="2333"/>
      <c r="D124" s="2334"/>
      <c r="K124" s="795"/>
      <c r="L124" s="795"/>
    </row>
    <row r="125" spans="1:12" s="964" customFormat="1">
      <c r="A125" s="2333"/>
      <c r="D125" s="2334"/>
      <c r="K125" s="795"/>
      <c r="L125" s="795"/>
    </row>
    <row r="126" spans="1:12" s="964" customFormat="1">
      <c r="A126" s="2333"/>
      <c r="D126" s="2334"/>
      <c r="K126" s="795"/>
      <c r="L126" s="795"/>
    </row>
    <row r="127" spans="1:12" s="964" customFormat="1">
      <c r="A127" s="2333"/>
      <c r="D127" s="2334"/>
      <c r="K127" s="795"/>
      <c r="L127" s="795"/>
    </row>
    <row r="128" spans="1:12" s="964" customFormat="1">
      <c r="A128" s="2333"/>
      <c r="D128" s="2334"/>
      <c r="K128" s="795"/>
      <c r="L128" s="795"/>
    </row>
    <row r="129" spans="1:12" s="964" customFormat="1">
      <c r="A129" s="2333"/>
      <c r="D129" s="2334"/>
      <c r="K129" s="795"/>
      <c r="L129" s="795"/>
    </row>
    <row r="130" spans="1:12" s="964" customFormat="1">
      <c r="A130" s="2333"/>
      <c r="D130" s="2334"/>
      <c r="K130" s="795"/>
      <c r="L130" s="795"/>
    </row>
    <row r="131" spans="1:12" s="964" customFormat="1">
      <c r="A131" s="2333"/>
      <c r="D131" s="2334"/>
      <c r="K131" s="795"/>
      <c r="L131" s="795"/>
    </row>
    <row r="132" spans="1:12" s="964" customFormat="1">
      <c r="A132" s="2333"/>
      <c r="D132" s="2334"/>
      <c r="K132" s="795"/>
      <c r="L132" s="795"/>
    </row>
    <row r="133" spans="1:12" s="964"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15" t="s">
        <v>2082</v>
      </c>
      <c r="B1" s="3116"/>
      <c r="C1" s="3116"/>
      <c r="D1" s="3116"/>
      <c r="E1" s="3116"/>
      <c r="F1" s="3116"/>
      <c r="G1" s="311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8"/>
      <c r="G2" s="2357" t="s">
        <v>2084</v>
      </c>
      <c r="H2" s="2360"/>
      <c r="I2" s="2360"/>
      <c r="J2" s="2360"/>
      <c r="K2" s="2360"/>
      <c r="L2" s="2360"/>
      <c r="M2" s="2360"/>
      <c r="N2" s="2360"/>
      <c r="O2" s="2360"/>
      <c r="P2" s="2360"/>
      <c r="Q2" s="2360"/>
      <c r="R2" s="2360"/>
    </row>
    <row r="3" spans="1:29" ht="54">
      <c r="A3" s="414" t="s">
        <v>2085</v>
      </c>
      <c r="B3" s="1264" t="s">
        <v>2086</v>
      </c>
      <c r="C3" s="2362" t="s">
        <v>2087</v>
      </c>
      <c r="D3" s="2363"/>
      <c r="E3" s="430" t="s">
        <v>2085</v>
      </c>
      <c r="F3" s="2364" t="s">
        <v>2088</v>
      </c>
      <c r="G3" s="2365" t="s">
        <v>2089</v>
      </c>
      <c r="H3" s="2360"/>
      <c r="I3" s="2360"/>
      <c r="J3" s="2360"/>
      <c r="K3" s="2360"/>
      <c r="L3" s="2360"/>
      <c r="M3" s="2360"/>
      <c r="N3" s="2360"/>
      <c r="O3" s="2360"/>
      <c r="P3" s="2360"/>
      <c r="Q3" s="2360"/>
      <c r="R3" s="2360"/>
    </row>
    <row r="4" spans="1:29" ht="41.25">
      <c r="A4" s="430"/>
      <c r="B4" s="1790" t="s">
        <v>2090</v>
      </c>
      <c r="C4" s="2366" t="s">
        <v>2091</v>
      </c>
      <c r="D4" s="2363"/>
      <c r="E4" s="2367"/>
      <c r="F4" s="42" t="s">
        <v>2092</v>
      </c>
      <c r="G4" s="2368" t="s">
        <v>2093</v>
      </c>
      <c r="H4" s="2360"/>
      <c r="I4" s="2360"/>
      <c r="J4" s="2360"/>
      <c r="K4" s="2360"/>
      <c r="L4" s="2360"/>
      <c r="M4" s="2360"/>
      <c r="N4" s="2360"/>
      <c r="O4" s="2360"/>
      <c r="P4" s="2360"/>
      <c r="Q4" s="2360"/>
      <c r="R4" s="2360"/>
    </row>
    <row r="5" spans="1:29" ht="41.25">
      <c r="A5" s="430"/>
      <c r="B5" s="1790" t="s">
        <v>2094</v>
      </c>
      <c r="C5" s="2366" t="s">
        <v>2095</v>
      </c>
      <c r="D5" s="2363"/>
      <c r="E5" s="2367"/>
      <c r="F5" s="1790" t="s">
        <v>2096</v>
      </c>
      <c r="G5" s="2368" t="s">
        <v>2097</v>
      </c>
      <c r="H5" s="2360"/>
      <c r="I5" s="2360"/>
      <c r="J5" s="2360"/>
      <c r="K5" s="2360"/>
      <c r="L5" s="2360"/>
      <c r="M5" s="2360"/>
      <c r="N5" s="2360"/>
      <c r="O5" s="2360"/>
      <c r="P5" s="2360"/>
      <c r="Q5" s="2360"/>
      <c r="R5" s="2360"/>
    </row>
    <row r="6" spans="1:29" ht="54">
      <c r="A6" s="430"/>
      <c r="B6" s="1790" t="s">
        <v>2098</v>
      </c>
      <c r="C6" s="2368" t="s">
        <v>2093</v>
      </c>
      <c r="D6" s="2363"/>
      <c r="E6" s="2367"/>
      <c r="F6" s="1790" t="s">
        <v>2099</v>
      </c>
      <c r="G6" s="2368" t="s">
        <v>2100</v>
      </c>
      <c r="H6" s="2360"/>
      <c r="I6" s="2360"/>
      <c r="J6" s="2360"/>
      <c r="K6" s="2360"/>
      <c r="L6" s="2360"/>
      <c r="M6" s="2360"/>
      <c r="N6" s="2360"/>
      <c r="O6" s="2360"/>
      <c r="P6" s="2360"/>
      <c r="Q6" s="2360"/>
      <c r="R6" s="2360"/>
    </row>
    <row r="7" spans="1:29" ht="41.25" thickBot="1">
      <c r="A7" s="430"/>
      <c r="B7" s="1790" t="s">
        <v>2096</v>
      </c>
      <c r="C7" s="2368" t="s">
        <v>2097</v>
      </c>
      <c r="D7" s="2369"/>
      <c r="E7" s="2370"/>
      <c r="F7" s="2371" t="s">
        <v>2101</v>
      </c>
      <c r="G7" s="2372" t="s">
        <v>2102</v>
      </c>
      <c r="H7" s="2360"/>
      <c r="I7" s="2360"/>
      <c r="J7" s="2360"/>
      <c r="K7" s="2360"/>
      <c r="L7" s="2360"/>
      <c r="M7" s="2360"/>
      <c r="N7" s="2360"/>
      <c r="O7" s="2360"/>
      <c r="P7" s="2360"/>
      <c r="Q7" s="2360"/>
      <c r="R7" s="2360"/>
    </row>
    <row r="8" spans="1:29" ht="27">
      <c r="A8" s="430"/>
      <c r="B8" s="1790" t="s">
        <v>2099</v>
      </c>
      <c r="C8" s="2368" t="s">
        <v>2100</v>
      </c>
      <c r="D8" s="2369"/>
      <c r="E8" s="2369"/>
      <c r="F8" s="1133"/>
      <c r="G8" s="1133"/>
      <c r="H8" s="2360"/>
      <c r="I8" s="2360"/>
      <c r="J8" s="2360"/>
      <c r="K8" s="2360"/>
      <c r="L8" s="2360"/>
      <c r="M8" s="2360"/>
      <c r="N8" s="2360"/>
      <c r="O8" s="2360"/>
      <c r="P8" s="2360"/>
      <c r="Q8" s="2360"/>
      <c r="R8" s="2360"/>
    </row>
    <row r="9" spans="1:29" ht="27">
      <c r="A9" s="430"/>
      <c r="B9" s="1790" t="s">
        <v>2103</v>
      </c>
      <c r="C9" s="2366" t="s">
        <v>2104</v>
      </c>
      <c r="D9" s="2363"/>
      <c r="E9" s="2369"/>
      <c r="F9" s="1133"/>
      <c r="G9" s="1133"/>
      <c r="H9" s="2360"/>
      <c r="I9" s="2360"/>
      <c r="J9" s="2360"/>
      <c r="K9" s="2360"/>
      <c r="L9" s="2360"/>
      <c r="M9" s="2360"/>
      <c r="N9" s="2360"/>
      <c r="O9" s="2360"/>
      <c r="P9" s="2360"/>
      <c r="Q9" s="2360"/>
      <c r="R9" s="2360"/>
    </row>
    <row r="10" spans="1:29" s="117" customFormat="1" ht="15.75" thickBot="1">
      <c r="A10" s="2373"/>
      <c r="B10" s="2374" t="s">
        <v>2105</v>
      </c>
      <c r="C10" s="2375"/>
      <c r="D10" s="2363"/>
      <c r="E10" s="2363"/>
      <c r="F10" s="1133"/>
      <c r="G10" s="1133"/>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1"/>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1"/>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2106</v>
      </c>
      <c r="B13" s="2380"/>
      <c r="C13" s="2380"/>
      <c r="D13" s="2387"/>
      <c r="E13" s="2380"/>
      <c r="F13" s="2380"/>
      <c r="G13" s="2380"/>
    </row>
    <row r="14" spans="1:29" ht="15.75" thickBot="1">
      <c r="A14" s="2391"/>
      <c r="B14" s="2392"/>
      <c r="C14" s="2393" t="s">
        <v>2107</v>
      </c>
      <c r="D14" s="2363"/>
      <c r="E14" s="2394"/>
      <c r="F14" s="2394"/>
      <c r="G14" s="2357" t="s">
        <v>2108</v>
      </c>
    </row>
    <row r="15" spans="1:29" ht="57">
      <c r="A15" s="68" t="s">
        <v>2109</v>
      </c>
      <c r="B15" s="1263" t="s">
        <v>2086</v>
      </c>
      <c r="C15" s="2395" t="str">
        <f>C3</f>
        <v>估价对象周边居住用地比例、居住小区规模和社区发展完善程度，综合评价居住社区成熟度一般</v>
      </c>
      <c r="D15" s="2363"/>
      <c r="E15" s="2396" t="s">
        <v>2110</v>
      </c>
      <c r="F15" s="1263" t="s">
        <v>2111</v>
      </c>
      <c r="G15" s="134" t="str">
        <f>G3</f>
        <v>估价对象位于XX开发区，园区建设成熟度XX，产业集聚程度XX</v>
      </c>
    </row>
    <row r="16" spans="1:29" ht="42.75">
      <c r="A16" s="642"/>
      <c r="B16" s="2397" t="s">
        <v>2090</v>
      </c>
      <c r="C16" s="2398" t="str">
        <f>C4</f>
        <v>估价对象位于XX商圈，周边商业氛围成熟，人流量大，商业繁华度好</v>
      </c>
      <c r="D16" s="2363"/>
      <c r="E16" s="2399"/>
      <c r="F16" s="2400" t="s">
        <v>2092</v>
      </c>
      <c r="G16" s="135" t="str">
        <f>G4</f>
        <v>估价对象周边道路状况、公共交通通达情况、停车便捷程度，综合评价交通便捷度较好</v>
      </c>
    </row>
    <row r="17" spans="1:18" ht="42.75">
      <c r="A17" s="642"/>
      <c r="B17" s="2397" t="s">
        <v>2094</v>
      </c>
      <c r="C17" s="2398" t="str">
        <f>C5</f>
        <v>估价对象位于XX商圈，周边办公楼项目较多，入驻率高，办公集聚程度较好</v>
      </c>
      <c r="D17" s="2369"/>
      <c r="E17" s="2399"/>
      <c r="F17" s="2400" t="s">
        <v>2112</v>
      </c>
      <c r="G17" s="1565"/>
    </row>
    <row r="18" spans="1:18" ht="57">
      <c r="A18" s="642"/>
      <c r="B18" s="2400" t="s">
        <v>2098</v>
      </c>
      <c r="C18" s="135" t="str">
        <f>C6</f>
        <v>估价对象周边道路状况、公共交通通达情况、停车便捷程度，综合评价交通便捷度较好</v>
      </c>
      <c r="D18" s="2369"/>
      <c r="E18" s="2399"/>
      <c r="F18" s="2400" t="s">
        <v>2101</v>
      </c>
      <c r="G18" s="135" t="str">
        <f>G7</f>
        <v>该园区内是否有污染型企业，绿化情况，卫生条件，整体环境状况判断</v>
      </c>
    </row>
    <row r="19" spans="1:18" ht="28.5">
      <c r="A19" s="642"/>
      <c r="B19" s="2400" t="s">
        <v>2113</v>
      </c>
      <c r="C19" s="1565"/>
      <c r="D19" s="2363"/>
      <c r="E19" s="2399"/>
      <c r="F19" s="1790" t="s">
        <v>2096</v>
      </c>
      <c r="G19" s="135" t="str">
        <f>G5</f>
        <v>估价对象所在区域公共配套设施齐备情况</v>
      </c>
    </row>
    <row r="20" spans="1:18" ht="28.5">
      <c r="A20" s="642"/>
      <c r="B20" s="2400" t="s">
        <v>2114</v>
      </c>
      <c r="C20" s="2398" t="str">
        <f>C9</f>
        <v>区域自然环境：；人文环境；综合评价环境状况一般</v>
      </c>
      <c r="D20" s="2369"/>
      <c r="E20" s="2399"/>
      <c r="F20" s="1790" t="s">
        <v>2115</v>
      </c>
      <c r="G20" s="135" t="str">
        <f>G6</f>
        <v>估价对象所在区域基础设施水平</v>
      </c>
    </row>
    <row r="21" spans="1:18" ht="28.5">
      <c r="A21" s="642"/>
      <c r="B21" s="1790" t="s">
        <v>2096</v>
      </c>
      <c r="C21" s="135" t="str">
        <f>C7</f>
        <v>估价对象所在区域公共配套设施齐备情况</v>
      </c>
      <c r="D21" s="2363"/>
      <c r="E21" s="2399"/>
      <c r="F21" s="2400" t="s">
        <v>2116</v>
      </c>
      <c r="G21" s="2401"/>
    </row>
    <row r="22" spans="1:18" ht="13.5" customHeight="1">
      <c r="A22" s="642"/>
      <c r="B22" s="1790" t="s">
        <v>2099</v>
      </c>
      <c r="C22" s="135" t="str">
        <f>C8</f>
        <v>估价对象所在区域基础设施水平</v>
      </c>
      <c r="D22" s="2363"/>
      <c r="E22" s="2399"/>
      <c r="F22" s="2400" t="s">
        <v>2105</v>
      </c>
      <c r="G22" s="1565"/>
    </row>
    <row r="23" spans="1:18" s="2360" customFormat="1" ht="15.75" thickBot="1">
      <c r="A23" s="642"/>
      <c r="B23" s="2400" t="s">
        <v>2116</v>
      </c>
      <c r="C23" s="2401"/>
      <c r="D23" s="2388"/>
      <c r="E23" s="2402"/>
      <c r="F23" s="2403" t="s">
        <v>2117</v>
      </c>
      <c r="G23" s="2404"/>
      <c r="H23" s="2388"/>
      <c r="I23" s="2389"/>
      <c r="J23" s="2388"/>
      <c r="K23" s="2388"/>
      <c r="L23" s="2389"/>
      <c r="M23" s="2388"/>
      <c r="N23" s="2388"/>
      <c r="O23" s="2389"/>
      <c r="P23" s="2388"/>
      <c r="Q23" s="2388"/>
      <c r="R23" s="2390"/>
    </row>
    <row r="24" spans="1:18" s="2360" customFormat="1" ht="15.75" thickBot="1">
      <c r="A24" s="2405"/>
      <c r="B24" s="2403" t="s">
        <v>2118</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D16"/>
    </sheetView>
  </sheetViews>
  <sheetFormatPr defaultRowHeight="13.5"/>
  <cols>
    <col min="1" max="1" width="23.375" style="1733" customWidth="1"/>
    <col min="2" max="9" width="15.75" style="1733" customWidth="1"/>
    <col min="10" max="16384" width="9" style="1733"/>
  </cols>
  <sheetData>
    <row r="1" spans="1:10" ht="16.5">
      <c r="A1" s="1738" t="s">
        <v>1365</v>
      </c>
      <c r="B1" s="1738">
        <f>SUM(B14:B23)</f>
        <v>62843.060000000012</v>
      </c>
      <c r="C1" s="1737"/>
      <c r="D1" s="1737"/>
      <c r="E1" s="1737"/>
      <c r="F1" s="1737"/>
      <c r="G1" s="1735"/>
    </row>
    <row r="2" spans="1:10" ht="16.5">
      <c r="A2" s="1738" t="s">
        <v>1353</v>
      </c>
      <c r="B2" s="1738">
        <f>SUM(C14:C23)</f>
        <v>3798.8300000000004</v>
      </c>
      <c r="C2" s="1737"/>
      <c r="D2" s="1737"/>
      <c r="E2" s="1737"/>
      <c r="F2" s="1737"/>
      <c r="G2" s="1735"/>
    </row>
    <row r="3" spans="1:10" ht="16.5">
      <c r="A3" s="1738" t="s">
        <v>1362</v>
      </c>
      <c r="B3" s="1739">
        <f>项目基本情况!D3</f>
        <v>43346</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182083</v>
      </c>
      <c r="C5" s="1738">
        <f ca="1">ROUND(B5*10000/$B$1,0)</f>
        <v>28974</v>
      </c>
      <c r="D5" s="1738">
        <f ca="1">ROUND(B5*10000/$B$2,0)</f>
        <v>479313</v>
      </c>
      <c r="E5" s="1737"/>
      <c r="F5" s="1735"/>
      <c r="G5" s="1735"/>
    </row>
    <row r="6" spans="1:10" ht="16.5">
      <c r="A6" s="1738" t="s">
        <v>1356</v>
      </c>
      <c r="B6" s="1738">
        <f ca="1">SUM(G14:G23)</f>
        <v>182083</v>
      </c>
      <c r="C6" s="1738">
        <f ca="1">ROUND(B6*10000/$B$1,0)</f>
        <v>28974</v>
      </c>
      <c r="D6" s="1738">
        <f ca="1">ROUND(B6*10000/$B$2,0)</f>
        <v>479313</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133.31</v>
      </c>
      <c r="C14" s="1736">
        <f>结果表!C118</f>
        <v>9.2200000000000006</v>
      </c>
      <c r="D14" s="1736">
        <f ca="1">结果表!H118</f>
        <v>692</v>
      </c>
      <c r="E14" s="1736">
        <f ca="1">ROUND(D14*10000/B14,0)</f>
        <v>51909</v>
      </c>
      <c r="F14" s="1736">
        <f ca="1">ROUND(D14*10000/C14,0)</f>
        <v>750542</v>
      </c>
      <c r="G14" s="1736">
        <f ca="1">结果表!D122</f>
        <v>692</v>
      </c>
      <c r="H14" s="1736" t="str">
        <f>结果表!D124</f>
        <v>——</v>
      </c>
      <c r="I14" s="1736" t="str">
        <f>结果表!D126</f>
        <v>——</v>
      </c>
      <c r="J14" s="1735"/>
    </row>
    <row r="15" spans="1:10" ht="16.5">
      <c r="A15" s="1734" t="s">
        <v>1349</v>
      </c>
      <c r="B15" s="1741">
        <f>典型户型修正!B22-B14</f>
        <v>54791.350000000013</v>
      </c>
      <c r="C15" s="1741">
        <f>链接报告的结果表!H81-C14</f>
        <v>3789.6100000000006</v>
      </c>
      <c r="D15" s="1741">
        <f ca="1">典型户型修正!S22-D14</f>
        <v>148269</v>
      </c>
      <c r="E15" s="1736">
        <f t="shared" ref="E15:E23" ca="1" si="0">ROUND(D15*10000/B15,0)</f>
        <v>27061</v>
      </c>
      <c r="F15" s="1736">
        <f t="shared" ref="F15:F23" ca="1" si="1">ROUND(D15*10000/C15,0)</f>
        <v>391251</v>
      </c>
      <c r="G15" s="1742">
        <f ca="1">典型户型修正!S22-G14</f>
        <v>148269</v>
      </c>
      <c r="H15" s="1742"/>
      <c r="I15" s="1741"/>
      <c r="J15" s="1735"/>
    </row>
    <row r="16" spans="1:10" ht="16.5">
      <c r="A16" s="1734" t="s">
        <v>1348</v>
      </c>
      <c r="B16" s="1741">
        <f>[1]系统读取表!$B$14</f>
        <v>7918.4</v>
      </c>
      <c r="C16" s="1741"/>
      <c r="D16" s="1741">
        <f ca="1">[1]典型户型修正!$S$22</f>
        <v>33122</v>
      </c>
      <c r="E16" s="1736">
        <f t="shared" ca="1" si="0"/>
        <v>41829</v>
      </c>
      <c r="F16" s="1736" t="e">
        <f t="shared" ca="1" si="1"/>
        <v>#DIV/0!</v>
      </c>
      <c r="G16" s="1742">
        <f ca="1">[1]典型户型修正!$S$22</f>
        <v>33122</v>
      </c>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7" zoomScaleNormal="100" zoomScaleSheetLayoutView="100" zoomScalePageLayoutView="80" workbookViewId="0">
      <selection activeCell="I118" sqref="I118"/>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17" t="s">
        <v>2119</v>
      </c>
      <c r="B1" s="2411"/>
      <c r="C1" s="2412"/>
      <c r="D1" s="2411"/>
      <c r="E1" s="2411"/>
      <c r="F1" s="2413" t="s">
        <v>2120</v>
      </c>
      <c r="G1" s="2063" t="s">
        <v>3155</v>
      </c>
      <c r="H1" s="2414" t="str">
        <f>IF(G1="现房","——","估价对象范围")</f>
        <v>——</v>
      </c>
      <c r="I1" s="2415" t="s">
        <v>3159</v>
      </c>
    </row>
    <row r="2" spans="1:12" ht="21.75" customHeight="1" thickBot="1">
      <c r="A2" s="3189" t="str">
        <f>项目基本情况!S2</f>
        <v>江苏省镇江市京口区解放路27号镇江财富广场8幢101室等共79套商业用房房地产</v>
      </c>
      <c r="B2" s="3190"/>
      <c r="C2" s="3190"/>
      <c r="D2" s="3190"/>
      <c r="E2" s="3190"/>
      <c r="F2" s="3190"/>
      <c r="G2" s="3190"/>
      <c r="H2" s="3190"/>
      <c r="I2" s="3191"/>
    </row>
    <row r="3" spans="1:12" ht="12.75">
      <c r="A3" s="3192" t="s">
        <v>2121</v>
      </c>
      <c r="B3" s="3193"/>
      <c r="C3" s="3193"/>
      <c r="D3" s="3193"/>
      <c r="E3" s="3193"/>
      <c r="F3" s="3193"/>
      <c r="G3" s="3193"/>
      <c r="H3" s="3193"/>
      <c r="I3" s="3193"/>
    </row>
    <row r="4" spans="1:12" ht="14.25">
      <c r="A4" s="2418" t="s">
        <v>2122</v>
      </c>
      <c r="B4" s="2419" t="s">
        <v>2123</v>
      </c>
      <c r="C4" s="2420" t="s">
        <v>3156</v>
      </c>
      <c r="D4" s="2420" t="s">
        <v>3494</v>
      </c>
      <c r="E4" s="3173" t="s">
        <v>2124</v>
      </c>
      <c r="F4" s="3186"/>
      <c r="G4" s="3186"/>
      <c r="H4" s="3186"/>
      <c r="I4" s="3174"/>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64" t="s">
        <v>2125</v>
      </c>
      <c r="B5" s="3085">
        <v>25</v>
      </c>
      <c r="C5" s="3194"/>
      <c r="D5" s="3182"/>
      <c r="E5" s="139" t="s">
        <v>2126</v>
      </c>
      <c r="F5" s="2422"/>
      <c r="G5" s="2422"/>
      <c r="H5" s="2422"/>
      <c r="I5" s="1826"/>
    </row>
    <row r="6" spans="1:12" ht="12.75">
      <c r="A6" s="3164"/>
      <c r="B6" s="3085"/>
      <c r="C6" s="3196"/>
      <c r="D6" s="3182"/>
      <c r="E6" s="139" t="s">
        <v>2127</v>
      </c>
      <c r="F6" s="2422"/>
      <c r="G6" s="2422"/>
      <c r="H6" s="2422"/>
      <c r="I6" s="1826"/>
    </row>
    <row r="7" spans="1:12" ht="12.75">
      <c r="A7" s="3164"/>
      <c r="B7" s="3085"/>
      <c r="C7" s="3195"/>
      <c r="D7" s="3182"/>
      <c r="E7" s="139" t="s">
        <v>2128</v>
      </c>
      <c r="F7" s="2422"/>
      <c r="G7" s="2422"/>
      <c r="H7" s="2422"/>
      <c r="I7" s="1826"/>
    </row>
    <row r="8" spans="1:12" ht="12.75">
      <c r="A8" s="3164" t="s">
        <v>2129</v>
      </c>
      <c r="B8" s="3085">
        <v>15</v>
      </c>
      <c r="C8" s="3194"/>
      <c r="D8" s="3182"/>
      <c r="E8" s="139" t="s">
        <v>2130</v>
      </c>
      <c r="F8" s="2422"/>
      <c r="G8" s="2422"/>
      <c r="H8" s="2422"/>
      <c r="I8" s="1826"/>
    </row>
    <row r="9" spans="1:12" ht="12.75">
      <c r="A9" s="3164"/>
      <c r="B9" s="3085"/>
      <c r="C9" s="3195"/>
      <c r="D9" s="3182"/>
      <c r="E9" s="139" t="s">
        <v>2131</v>
      </c>
      <c r="F9" s="2422"/>
      <c r="G9" s="2422"/>
      <c r="H9" s="2422"/>
      <c r="I9" s="1826"/>
    </row>
    <row r="10" spans="1:12" ht="12.75">
      <c r="A10" s="3164" t="s">
        <v>2132</v>
      </c>
      <c r="B10" s="3085">
        <v>15</v>
      </c>
      <c r="C10" s="3194"/>
      <c r="D10" s="3182"/>
      <c r="E10" s="139" t="s">
        <v>2133</v>
      </c>
      <c r="F10" s="2422"/>
      <c r="G10" s="2422"/>
      <c r="H10" s="2422"/>
      <c r="I10" s="1826"/>
    </row>
    <row r="11" spans="1:12" ht="12.75">
      <c r="A11" s="3164"/>
      <c r="B11" s="3085"/>
      <c r="C11" s="3195"/>
      <c r="D11" s="3182"/>
      <c r="E11" s="139" t="s">
        <v>2134</v>
      </c>
      <c r="F11" s="2422"/>
      <c r="G11" s="2422"/>
      <c r="H11" s="2422"/>
      <c r="I11" s="1826"/>
    </row>
    <row r="12" spans="1:12" ht="12.75">
      <c r="A12" s="3164" t="s">
        <v>2135</v>
      </c>
      <c r="B12" s="3085">
        <v>15</v>
      </c>
      <c r="C12" s="3194"/>
      <c r="D12" s="3182"/>
      <c r="E12" s="139" t="s">
        <v>2136</v>
      </c>
      <c r="F12" s="2422"/>
      <c r="G12" s="2422"/>
      <c r="H12" s="2422"/>
      <c r="I12" s="1826"/>
    </row>
    <row r="13" spans="1:12" ht="12.75">
      <c r="A13" s="3164"/>
      <c r="B13" s="3085"/>
      <c r="C13" s="3195"/>
      <c r="D13" s="3182"/>
      <c r="E13" s="139" t="s">
        <v>2137</v>
      </c>
      <c r="F13" s="2422"/>
      <c r="G13" s="2422"/>
      <c r="H13" s="2422"/>
      <c r="I13" s="1826"/>
    </row>
    <row r="14" spans="1:12" ht="12.75">
      <c r="A14" s="3164" t="s">
        <v>2138</v>
      </c>
      <c r="B14" s="3085">
        <v>30</v>
      </c>
      <c r="C14" s="3194">
        <v>7</v>
      </c>
      <c r="D14" s="3182">
        <v>3</v>
      </c>
      <c r="E14" s="139" t="s">
        <v>2139</v>
      </c>
      <c r="F14" s="2422"/>
      <c r="G14" s="2422"/>
      <c r="H14" s="2422"/>
      <c r="I14" s="1826"/>
    </row>
    <row r="15" spans="1:12" ht="12.75">
      <c r="A15" s="3164"/>
      <c r="B15" s="3085"/>
      <c r="C15" s="3196"/>
      <c r="D15" s="3182"/>
      <c r="E15" s="139" t="s">
        <v>2140</v>
      </c>
      <c r="F15" s="2422"/>
      <c r="G15" s="2422"/>
      <c r="H15" s="2422"/>
      <c r="I15" s="1826"/>
    </row>
    <row r="16" spans="1:12" ht="12.75">
      <c r="A16" s="3164"/>
      <c r="B16" s="3085"/>
      <c r="C16" s="3195"/>
      <c r="D16" s="3182"/>
      <c r="E16" s="139" t="s">
        <v>2141</v>
      </c>
      <c r="F16" s="2422"/>
      <c r="G16" s="2422"/>
      <c r="H16" s="2422"/>
      <c r="I16" s="1826"/>
    </row>
    <row r="17" spans="1:35" ht="15">
      <c r="A17" s="2423" t="s">
        <v>2142</v>
      </c>
      <c r="B17" s="64"/>
      <c r="C17" s="140">
        <f>SUM(C5:C16)</f>
        <v>7</v>
      </c>
      <c r="D17" s="140">
        <f>SUM(D5:D16)</f>
        <v>3</v>
      </c>
      <c r="E17" s="137"/>
      <c r="F17" s="137"/>
      <c r="G17" s="137"/>
      <c r="H17" s="137"/>
      <c r="I17" s="137"/>
      <c r="K17" s="2421"/>
      <c r="L17" s="2424" t="s">
        <v>2143</v>
      </c>
      <c r="M17" s="2424" t="s">
        <v>2144</v>
      </c>
    </row>
    <row r="18" spans="1:35" ht="15.75" thickBot="1">
      <c r="A18" s="2425" t="s">
        <v>2145</v>
      </c>
      <c r="B18" s="2426"/>
      <c r="C18" s="141">
        <f>ROUND(C17/SUM(C17:D17),2)</f>
        <v>0.7</v>
      </c>
      <c r="D18" s="141">
        <f>1-C18</f>
        <v>0.30000000000000004</v>
      </c>
      <c r="E18" s="137"/>
      <c r="F18" s="137"/>
      <c r="G18" s="137"/>
      <c r="H18" s="137"/>
      <c r="I18" s="137"/>
      <c r="K18" s="2421" t="s">
        <v>2146</v>
      </c>
      <c r="L18" s="2421">
        <f>IF(C1="",'数据-汇总表'!E3,SUMIF(项目类型,C1,'数据-汇总表'!E17:E26)+SUMIF(项目类型,C1,'数据-汇总表'!I17:I26))</f>
        <v>133.31</v>
      </c>
      <c r="M18" s="2421">
        <f>IF(C1="",'数据-汇总表'!E3,SUMIF(项目类型,C1,'数据-汇总表'!E17:E26))</f>
        <v>133.31</v>
      </c>
    </row>
    <row r="19" spans="1:35" ht="15">
      <c r="A19" s="2427" t="s">
        <v>2147</v>
      </c>
      <c r="B19" s="2428" t="s">
        <v>2148</v>
      </c>
      <c r="C19" s="142">
        <f ca="1">SUMIF(INDIRECT("'"&amp;C4&amp;"'"&amp;"!A:A"),结果表!B19,INDIRECT("'"&amp;C4&amp;"'"&amp;"!B:B"))</f>
        <v>760</v>
      </c>
      <c r="D19" s="143">
        <f ca="1">SUMIF(INDIRECT("'"&amp;D4&amp;"'"&amp;"!A:A"),结果表!B19,INDIRECT("'"&amp;D4&amp;"'"&amp;"!B:B"))</f>
        <v>533</v>
      </c>
      <c r="E19" s="2427" t="s">
        <v>2149</v>
      </c>
      <c r="F19" s="2428" t="s">
        <v>2148</v>
      </c>
      <c r="G19" s="144">
        <f ca="1">ROUND(C19*$C$18+D19*$D$18,0)</f>
        <v>692</v>
      </c>
      <c r="H19" s="2429" t="s">
        <v>2150</v>
      </c>
      <c r="I19" s="137"/>
      <c r="K19" s="2421" t="s">
        <v>2151</v>
      </c>
      <c r="L19" s="2421">
        <f>IF(C1="",'数据-汇总表'!D3,SUMIF(项目类型,C1,'数据-汇总表'!D17:D26)+SUMIF(项目类型,C1,'数据-汇总表'!H17:H27))</f>
        <v>9.2200000000000006</v>
      </c>
      <c r="M19" s="2421">
        <f>IF(C1="",'数据-汇总表'!D3,SUMIF(项目类型,C1,'数据-汇总表'!D17:D26))</f>
        <v>9.2200000000000006</v>
      </c>
    </row>
    <row r="20" spans="1:35" ht="15">
      <c r="A20" s="2430"/>
      <c r="B20" s="1243" t="s">
        <v>2152</v>
      </c>
      <c r="C20" s="145">
        <f ca="1">SUMIF(INDIRECT("'"&amp;C4&amp;"'"&amp;"!A:A"),结果表!B20,INDIRECT("'"&amp;C4&amp;"'"&amp;"!B:B"))</f>
        <v>57033</v>
      </c>
      <c r="D20" s="146">
        <f ca="1">SUMIF(INDIRECT("'"&amp;D4&amp;"'"&amp;"!A:A"),结果表!B20,INDIRECT("'"&amp;D4&amp;"'"&amp;"!B:B"))</f>
        <v>39973</v>
      </c>
      <c r="E20" s="2430"/>
      <c r="F20" s="1243" t="s">
        <v>2152</v>
      </c>
      <c r="G20" s="147">
        <f ca="1">ROUND(C20*$C$18+D20*$D$18,0)</f>
        <v>51915</v>
      </c>
      <c r="H20" s="980" t="s">
        <v>2153</v>
      </c>
      <c r="I20" s="137"/>
    </row>
    <row r="21" spans="1:35" ht="15" customHeight="1" thickBot="1">
      <c r="A21" s="1000"/>
      <c r="B21" s="2431" t="s">
        <v>2154</v>
      </c>
      <c r="C21" s="786">
        <f ca="1">ROUND(C19*10000/L19,0)</f>
        <v>824295</v>
      </c>
      <c r="D21" s="787">
        <f ca="1">ROUND(D19*10000/L19,0)</f>
        <v>578091</v>
      </c>
      <c r="E21" s="1000"/>
      <c r="F21" s="2431" t="s">
        <v>2154</v>
      </c>
      <c r="G21" s="148">
        <f ca="1">ROUND(G19*10000/L19,0)</f>
        <v>750542</v>
      </c>
      <c r="H21" s="2432" t="s">
        <v>2153</v>
      </c>
      <c r="I21" s="137"/>
    </row>
    <row r="22" spans="1:35" ht="15" thickBot="1">
      <c r="A22" s="2273" t="s">
        <v>2155</v>
      </c>
      <c r="B22" s="2433"/>
      <c r="C22" s="2434"/>
      <c r="D22" s="788">
        <f ca="1">IF(C19&lt;D19,D19/C19-1,C19/D19-1)</f>
        <v>0.42589118198874298</v>
      </c>
      <c r="E22" s="137"/>
      <c r="F22" s="137"/>
      <c r="G22" s="137"/>
      <c r="H22" s="137"/>
      <c r="I22" s="137"/>
    </row>
    <row r="23" spans="1:35" ht="13.5" thickBot="1">
      <c r="A23" s="2411"/>
      <c r="B23" s="2411"/>
      <c r="C23" s="2411"/>
      <c r="D23" s="2411"/>
      <c r="E23" s="137"/>
      <c r="F23" s="137"/>
      <c r="G23" s="137"/>
      <c r="H23" s="137"/>
      <c r="I23" s="137"/>
    </row>
    <row r="24" spans="1:35" ht="14.25">
      <c r="A24" s="3203" t="s">
        <v>2156</v>
      </c>
      <c r="B24" s="2428" t="s">
        <v>2148</v>
      </c>
      <c r="C24" s="144">
        <f>IF(B30=0,0,D30)</f>
        <v>0</v>
      </c>
      <c r="D24" s="2435"/>
      <c r="E24" s="137"/>
      <c r="F24" s="137"/>
      <c r="G24" s="137"/>
      <c r="H24" s="137"/>
      <c r="I24" s="137"/>
    </row>
    <row r="25" spans="1:35" ht="14.25">
      <c r="A25" s="3204"/>
      <c r="B25" s="1243" t="s">
        <v>2152</v>
      </c>
      <c r="C25" s="149">
        <f>IF(B30=0,0,C30)</f>
        <v>0</v>
      </c>
      <c r="D25" s="2436"/>
      <c r="E25" s="137"/>
      <c r="F25" s="137"/>
      <c r="G25" s="137"/>
      <c r="H25" s="137"/>
      <c r="I25" s="137"/>
    </row>
    <row r="26" spans="1:35" ht="13.5" customHeight="1">
      <c r="A26" s="2437" t="s">
        <v>2157</v>
      </c>
      <c r="B26" s="150" t="s">
        <v>2158</v>
      </c>
      <c r="C26" s="150" t="s">
        <v>2159</v>
      </c>
      <c r="D26" s="151" t="s">
        <v>2160</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2161</v>
      </c>
      <c r="B30" s="150"/>
      <c r="C30" s="150"/>
      <c r="D30" s="150"/>
      <c r="E30" s="2920" t="s">
        <v>3034</v>
      </c>
      <c r="F30" s="137"/>
      <c r="G30" s="137"/>
      <c r="H30" s="137"/>
      <c r="I30" s="137"/>
    </row>
    <row r="31" spans="1:35" s="2439" customFormat="1" ht="15" thickBot="1">
      <c r="A31" s="2438"/>
      <c r="B31" s="2438"/>
      <c r="C31" s="2438"/>
      <c r="D31" s="2438"/>
      <c r="E31" s="137"/>
      <c r="F31" s="137"/>
      <c r="G31" s="137"/>
      <c r="H31" s="137"/>
      <c r="I31" s="137"/>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2162</v>
      </c>
      <c r="B32" s="2441"/>
      <c r="C32" s="152">
        <f ca="1">IF(D32="总价",G19-C24,G20-C25)</f>
        <v>692</v>
      </c>
      <c r="D32" s="2442" t="s">
        <v>2163</v>
      </c>
      <c r="E32" s="137"/>
      <c r="F32" s="137"/>
      <c r="G32" s="137"/>
      <c r="H32" s="137"/>
      <c r="I32" s="137"/>
    </row>
    <row r="33" spans="1:15" ht="15">
      <c r="A33" s="957" t="s">
        <v>2164</v>
      </c>
      <c r="B33" s="2443"/>
      <c r="C33" s="2444" t="s">
        <v>3158</v>
      </c>
      <c r="D33" s="2445" t="s">
        <v>3157</v>
      </c>
      <c r="E33" s="2446" t="s">
        <v>2165</v>
      </c>
      <c r="F33" s="2447" t="str">
        <f>IF(D32="楼面单价","取值（单价）","取值（总价）")</f>
        <v>取值（总价）</v>
      </c>
      <c r="G33" s="137"/>
      <c r="H33" s="137"/>
      <c r="I33" s="137"/>
    </row>
    <row r="34" spans="1:15" ht="15">
      <c r="A34" s="2448"/>
      <c r="B34" s="2449" t="s">
        <v>2166</v>
      </c>
      <c r="C34" s="156">
        <f ca="1">IF(C33="自定义",F34,C32-C35)</f>
        <v>503</v>
      </c>
      <c r="D34" s="1055">
        <f ca="1">IF(C33="自定义",ROUND(C34/C32,3),IF(C33="收益比率",SUMIF(INDIRECT("'"&amp;D33&amp;"'"&amp;"!b:b"),"土地收益比率",INDIRECT("'"&amp;D33&amp;"'"&amp;"!c:c")),SUMIF(INDIRECT("'"&amp;D33&amp;"'"&amp;"!b:b"),"土地成本比率",INDIRECT("'"&amp;D33&amp;"'"&amp;"!c:c"))))</f>
        <v>0.72699999999999998</v>
      </c>
      <c r="E34" s="2450" t="s">
        <v>2167</v>
      </c>
      <c r="F34" s="1731"/>
      <c r="G34" s="137"/>
      <c r="H34" s="137"/>
      <c r="I34" s="137"/>
    </row>
    <row r="35" spans="1:15" ht="15.75" thickBot="1">
      <c r="A35" s="2451"/>
      <c r="B35" s="2452" t="s">
        <v>2168</v>
      </c>
      <c r="C35" s="1437">
        <f ca="1">IF(C33="自定义",F35,ROUND(C32*D35,0))</f>
        <v>189</v>
      </c>
      <c r="D35" s="1438">
        <f ca="1">IF(C33="自定义",ROUND(C35/C32,3),IF(C33="收益比率",SUMIF(INDIRECT("'"&amp;D33&amp;"'"&amp;"!b:b"),"建筑物收益比率",INDIRECT("'"&amp;D33&amp;"'"&amp;"!c:c")),SUMIF(INDIRECT("'"&amp;D33&amp;"'"&amp;"!b:b"),"建筑物成本比率",INDIRECT("'"&amp;D33&amp;"'"&amp;"!c:c"))))</f>
        <v>0.27300000000000002</v>
      </c>
      <c r="E35" s="2453" t="s">
        <v>2169</v>
      </c>
      <c r="F35" s="162"/>
      <c r="G35" s="137"/>
      <c r="H35" s="137"/>
      <c r="I35" s="137"/>
    </row>
    <row r="36" spans="1:15" ht="15.75" thickBot="1">
      <c r="A36" s="3183" t="s">
        <v>2170</v>
      </c>
      <c r="B36" s="2454" t="s">
        <v>2171</v>
      </c>
      <c r="C36" s="153"/>
      <c r="D36" s="2455"/>
      <c r="E36" s="2456"/>
      <c r="F36" s="2457"/>
      <c r="G36" s="137"/>
      <c r="H36" s="137"/>
      <c r="I36" s="137"/>
    </row>
    <row r="37" spans="1:15" ht="15.75" thickBot="1">
      <c r="A37" s="3184"/>
      <c r="B37" s="2259" t="s">
        <v>2172</v>
      </c>
      <c r="C37" s="155"/>
      <c r="D37" s="1388"/>
      <c r="E37" s="1388"/>
      <c r="F37" s="2457"/>
      <c r="G37" s="137"/>
      <c r="H37" s="137"/>
      <c r="I37" s="137"/>
    </row>
    <row r="38" spans="1:15" ht="15.75" thickBot="1">
      <c r="A38" s="3185"/>
      <c r="B38" s="2458" t="s">
        <v>2173</v>
      </c>
      <c r="C38" s="724"/>
      <c r="D38" s="2459" t="s">
        <v>2174</v>
      </c>
      <c r="E38" s="1388"/>
      <c r="F38" s="2457"/>
      <c r="G38" s="137"/>
      <c r="H38" s="137"/>
      <c r="I38" s="137"/>
    </row>
    <row r="39" spans="1:15" ht="15">
      <c r="A39" s="2430" t="s">
        <v>2175</v>
      </c>
      <c r="B39" s="2460" t="s">
        <v>2176</v>
      </c>
      <c r="C39" s="2461" t="s">
        <v>2177</v>
      </c>
      <c r="D39" s="2461" t="s">
        <v>2178</v>
      </c>
      <c r="E39" s="2462" t="s">
        <v>2179</v>
      </c>
      <c r="F39" s="2457"/>
      <c r="G39" s="137"/>
      <c r="H39" s="137"/>
      <c r="I39" s="137"/>
    </row>
    <row r="40" spans="1:15" ht="14.25">
      <c r="A40" s="2463" t="s">
        <v>2180</v>
      </c>
      <c r="B40" s="157"/>
      <c r="C40" s="158"/>
      <c r="D40" s="158"/>
      <c r="E40" s="159"/>
      <c r="F40" s="2457"/>
      <c r="G40" s="137"/>
      <c r="H40" s="137"/>
      <c r="I40" s="137"/>
    </row>
    <row r="41" spans="1:15" ht="14.25">
      <c r="A41" s="2463" t="s">
        <v>2181</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7"/>
      <c r="B43" s="2157"/>
      <c r="C43" s="2157"/>
      <c r="D43" s="2157"/>
      <c r="E43" s="2157"/>
      <c r="F43" s="2465"/>
      <c r="G43" s="2465"/>
      <c r="H43" s="2465"/>
      <c r="I43" s="2466"/>
    </row>
    <row r="44" spans="1:15" ht="18.75">
      <c r="A44" s="2467" t="s">
        <v>2182</v>
      </c>
      <c r="B44" s="2468"/>
      <c r="C44" s="2468"/>
      <c r="D44" s="2469"/>
      <c r="E44" s="2469"/>
      <c r="F44" s="2470"/>
      <c r="G44" s="2470"/>
      <c r="H44" s="2470"/>
      <c r="I44" s="2470"/>
      <c r="J44" s="2471" t="s">
        <v>2183</v>
      </c>
      <c r="K44" s="2472"/>
      <c r="L44" s="2472"/>
      <c r="M44" s="2472"/>
      <c r="N44" s="2472"/>
      <c r="O44" s="2472"/>
    </row>
    <row r="45" spans="1:15" ht="14.25" customHeight="1" thickBot="1">
      <c r="A45" s="3200" t="s">
        <v>2184</v>
      </c>
      <c r="B45" s="3201"/>
      <c r="C45" s="3202"/>
      <c r="D45" s="163">
        <f ca="1">ROUND(H101*F45,0)</f>
        <v>692</v>
      </c>
      <c r="E45" s="164" t="s">
        <v>2185</v>
      </c>
      <c r="F45" s="165">
        <v>1</v>
      </c>
      <c r="G45" s="166" t="s">
        <v>2186</v>
      </c>
      <c r="H45" s="137"/>
      <c r="I45" s="137"/>
      <c r="J45" s="3119" t="s">
        <v>2187</v>
      </c>
      <c r="K45" s="3119"/>
      <c r="L45" s="3119"/>
      <c r="M45" s="3119"/>
      <c r="N45" s="3119"/>
      <c r="O45" s="3119"/>
    </row>
    <row r="46" spans="1:15" ht="14.25" customHeight="1">
      <c r="A46" s="3197" t="s">
        <v>2188</v>
      </c>
      <c r="B46" s="3198"/>
      <c r="C46" s="3198"/>
      <c r="D46" s="3198"/>
      <c r="E46" s="3198"/>
      <c r="F46" s="3198"/>
      <c r="G46" s="3199"/>
      <c r="H46" s="2473"/>
      <c r="I46" s="167"/>
      <c r="J46" s="1804">
        <v>1</v>
      </c>
      <c r="K46" s="3119" t="s">
        <v>2189</v>
      </c>
      <c r="L46" s="3119"/>
      <c r="M46" s="3120"/>
      <c r="N46" s="3120"/>
      <c r="O46" s="3120"/>
    </row>
    <row r="47" spans="1:15" ht="12" customHeight="1">
      <c r="A47" s="168" t="s">
        <v>2190</v>
      </c>
      <c r="B47" s="169"/>
      <c r="C47" s="170"/>
      <c r="D47" s="171" t="s">
        <v>2191</v>
      </c>
      <c r="E47" s="24" t="s">
        <v>2192</v>
      </c>
      <c r="F47" s="172" t="s">
        <v>2193</v>
      </c>
      <c r="G47" s="173" t="s">
        <v>2194</v>
      </c>
      <c r="H47" s="2473"/>
      <c r="I47" s="167"/>
      <c r="J47" s="1804">
        <v>2</v>
      </c>
      <c r="K47" s="3119" t="s">
        <v>2195</v>
      </c>
      <c r="L47" s="3119"/>
      <c r="M47" s="3121">
        <f>'数据-取费表'!B2</f>
        <v>43346</v>
      </c>
      <c r="N47" s="3121"/>
      <c r="O47" s="3121"/>
    </row>
    <row r="48" spans="1:15" ht="25.5">
      <c r="A48" s="3187" t="s">
        <v>2196</v>
      </c>
      <c r="B48" s="3188"/>
      <c r="C48" s="3188"/>
      <c r="D48" s="139">
        <f>IF(H48="情况1",0,IF(H48="情况2",D52,IF(H48="情况3",D53,IF(H48="情况4",D54))))</f>
        <v>0</v>
      </c>
      <c r="E48" s="1793" t="str">
        <f>IF(H48="情况4","(销售额-原购置价)×税（费）率","销售额×税（费）率")</f>
        <v>销售额×税（费）率</v>
      </c>
      <c r="F48" s="174" t="str">
        <f>IF(H48="情况1","免征",'数据-取费表'!B41)</f>
        <v>免征</v>
      </c>
      <c r="G48" s="2474" t="s">
        <v>2197</v>
      </c>
      <c r="H48" s="2475" t="s">
        <v>2198</v>
      </c>
      <c r="I48" s="2473"/>
      <c r="J48" s="1804">
        <v>3</v>
      </c>
      <c r="K48" s="3119" t="s">
        <v>2199</v>
      </c>
      <c r="L48" s="3119"/>
      <c r="M48" s="3122">
        <f ca="1">H101</f>
        <v>692</v>
      </c>
      <c r="N48" s="3122"/>
      <c r="O48" s="3122"/>
    </row>
    <row r="49" spans="1:35" ht="25.5" customHeight="1">
      <c r="A49" s="175" t="s">
        <v>2200</v>
      </c>
      <c r="B49" s="3167" t="s">
        <v>2201</v>
      </c>
      <c r="C49" s="3167"/>
      <c r="D49" s="176">
        <v>0</v>
      </c>
      <c r="E49" s="23" t="s">
        <v>2202</v>
      </c>
      <c r="F49" s="28" t="s">
        <v>34</v>
      </c>
      <c r="G49" s="3148"/>
      <c r="H49" s="137"/>
      <c r="I49" s="2476"/>
      <c r="J49" s="1804">
        <v>4</v>
      </c>
      <c r="K49" s="3119" t="str">
        <f>IF(项目基本情况!E8="房地产抵押价值","房地产抵押价值","抵押担保权已注销时的房地产抵押价值")</f>
        <v>房地产抵押价值</v>
      </c>
      <c r="L49" s="3119"/>
      <c r="M49" s="3122">
        <f ca="1">IF(项目基本情况!E8="房地产抵押价值",H107,H109)</f>
        <v>692</v>
      </c>
      <c r="N49" s="3122"/>
      <c r="O49" s="3122"/>
    </row>
    <row r="50" spans="1:35" ht="25.5" customHeight="1">
      <c r="A50" s="177"/>
      <c r="B50" s="3167" t="s">
        <v>2203</v>
      </c>
      <c r="C50" s="3167"/>
      <c r="D50" s="178"/>
      <c r="E50" s="31"/>
      <c r="F50" s="179"/>
      <c r="G50" s="3149"/>
      <c r="H50" s="137"/>
      <c r="I50" s="2476"/>
      <c r="J50" s="3119" t="s">
        <v>2204</v>
      </c>
      <c r="K50" s="3119"/>
      <c r="L50" s="3119"/>
      <c r="M50" s="3119"/>
      <c r="N50" s="3119"/>
      <c r="O50" s="3119"/>
    </row>
    <row r="51" spans="1:35" ht="12" customHeight="1">
      <c r="A51" s="180"/>
      <c r="B51" s="3167" t="s">
        <v>2205</v>
      </c>
      <c r="C51" s="3167"/>
      <c r="D51" s="181"/>
      <c r="E51" s="30"/>
      <c r="F51" s="179"/>
      <c r="G51" s="3150"/>
      <c r="H51" s="137"/>
      <c r="I51" s="2476"/>
      <c r="J51" s="2477" t="s">
        <v>2206</v>
      </c>
      <c r="K51" s="3119" t="s">
        <v>2207</v>
      </c>
      <c r="L51" s="3119"/>
      <c r="M51" s="2477" t="s">
        <v>2208</v>
      </c>
      <c r="N51" s="2477" t="s">
        <v>2209</v>
      </c>
      <c r="O51" s="2477" t="s">
        <v>2210</v>
      </c>
    </row>
    <row r="52" spans="1:35" ht="24" customHeight="1">
      <c r="A52" s="182" t="s">
        <v>2211</v>
      </c>
      <c r="B52" s="3167" t="s">
        <v>2212</v>
      </c>
      <c r="C52" s="3167"/>
      <c r="D52" s="181">
        <f ca="1">ROUND(D45*'数据-取费表'!B41/(1+'数据-取费表'!C42),0)</f>
        <v>37</v>
      </c>
      <c r="E52" s="11" t="s">
        <v>2213</v>
      </c>
      <c r="F52" s="183">
        <f>'数据-取费表'!B41</f>
        <v>5.6000000000000001E-2</v>
      </c>
      <c r="G52" s="2478"/>
      <c r="H52" s="137"/>
      <c r="I52" s="2476"/>
      <c r="J52" s="1804">
        <v>1</v>
      </c>
      <c r="K52" s="3142" t="s">
        <v>2214</v>
      </c>
      <c r="L52" s="3142"/>
      <c r="M52" s="1746">
        <f>D48</f>
        <v>0</v>
      </c>
      <c r="N52" s="1804" t="str">
        <f>E48</f>
        <v>销售额×税（费）率</v>
      </c>
      <c r="O52" s="1747" t="str">
        <f>F48</f>
        <v>免征</v>
      </c>
    </row>
    <row r="53" spans="1:35" ht="12" customHeight="1">
      <c r="A53" s="182" t="s">
        <v>2215</v>
      </c>
      <c r="B53" s="3168" t="s">
        <v>2216</v>
      </c>
      <c r="C53" s="3169"/>
      <c r="D53" s="181">
        <f ca="1">ROUND(D45*'数据-取费表'!B41/(1+'数据-取费表'!C42),0)</f>
        <v>37</v>
      </c>
      <c r="E53" s="11" t="s">
        <v>2213</v>
      </c>
      <c r="F53" s="183">
        <f>'数据-取费表'!B41</f>
        <v>5.6000000000000001E-2</v>
      </c>
      <c r="G53" s="2478"/>
      <c r="H53" s="137"/>
      <c r="I53" s="2476"/>
      <c r="J53" s="1804">
        <v>2</v>
      </c>
      <c r="K53" s="3142" t="s">
        <v>2217</v>
      </c>
      <c r="L53" s="3142"/>
      <c r="M53" s="1746">
        <f t="shared" ref="M53:O54" ca="1" si="0">D55</f>
        <v>0</v>
      </c>
      <c r="N53" s="1804" t="str">
        <f t="shared" si="0"/>
        <v>销售额×税（费）率</v>
      </c>
      <c r="O53" s="1747">
        <f t="shared" si="0"/>
        <v>5.0000000000000001E-4</v>
      </c>
    </row>
    <row r="54" spans="1:35" ht="12" customHeight="1">
      <c r="A54" s="182" t="s">
        <v>2218</v>
      </c>
      <c r="B54" s="3168" t="s">
        <v>2219</v>
      </c>
      <c r="C54" s="3169"/>
      <c r="D54" s="181">
        <f ca="1">C68</f>
        <v>37</v>
      </c>
      <c r="E54" s="30" t="s">
        <v>2220</v>
      </c>
      <c r="F54" s="183">
        <f>'数据-取费表'!B41</f>
        <v>5.6000000000000001E-2</v>
      </c>
      <c r="G54" s="2478"/>
      <c r="H54" s="2479"/>
      <c r="I54" s="2476"/>
      <c r="J54" s="1804">
        <v>3</v>
      </c>
      <c r="K54" s="3142" t="s">
        <v>2221</v>
      </c>
      <c r="L54" s="3142"/>
      <c r="M54" s="1746">
        <f t="shared" ca="1" si="0"/>
        <v>392</v>
      </c>
      <c r="N54" s="1804" t="str">
        <f t="shared" si="0"/>
        <v>增值额×税（费）率</v>
      </c>
      <c r="O54" s="1748" t="str">
        <f t="shared" si="0"/>
        <v>——</v>
      </c>
    </row>
    <row r="55" spans="1:35" ht="24" customHeight="1">
      <c r="A55" s="3206" t="s">
        <v>2222</v>
      </c>
      <c r="B55" s="3188"/>
      <c r="C55" s="3188"/>
      <c r="D55" s="184">
        <f ca="1">IF(H55="个人住宅",0,ROUND(D45*I55,0))</f>
        <v>0</v>
      </c>
      <c r="E55" s="11" t="s">
        <v>2223</v>
      </c>
      <c r="F55" s="183">
        <f>IF(H55="正常",I55,"免征")</f>
        <v>5.0000000000000001E-4</v>
      </c>
      <c r="G55" s="2478"/>
      <c r="H55" s="2475" t="s">
        <v>2224</v>
      </c>
      <c r="I55" s="185">
        <f>'数据-取费表'!B49</f>
        <v>5.0000000000000001E-4</v>
      </c>
      <c r="J55" s="1804" t="str">
        <f>IF(H59="非个人房产","",4)</f>
        <v/>
      </c>
      <c r="K55" s="3142" t="str">
        <f>IF(H59="非个人房产","——","个人所得税")</f>
        <v>——</v>
      </c>
      <c r="L55" s="3142"/>
      <c r="M55" s="1749" t="str">
        <f>D59</f>
        <v>——</v>
      </c>
      <c r="N55" s="1802" t="str">
        <f>E59</f>
        <v>——</v>
      </c>
      <c r="O55" s="1750" t="str">
        <f>F59</f>
        <v>——</v>
      </c>
    </row>
    <row r="56" spans="1:35" ht="24.75">
      <c r="A56" s="3206" t="s">
        <v>2225</v>
      </c>
      <c r="B56" s="3188"/>
      <c r="C56" s="3188"/>
      <c r="D56" s="184">
        <f ca="1">IF(H56="个人住宅",D57,D58)</f>
        <v>392</v>
      </c>
      <c r="E56" s="11" t="s">
        <v>2226</v>
      </c>
      <c r="F56" s="183" t="str">
        <f>IF(H56="正常",F58,"免征")</f>
        <v>——</v>
      </c>
      <c r="G56" s="2480" t="s">
        <v>2227</v>
      </c>
      <c r="H56" s="2481" t="s">
        <v>2224</v>
      </c>
      <c r="I56" s="2482"/>
      <c r="J56" s="1804" t="str">
        <f>IF(项目基本情况!K6="上海银行",IF(J55="",4,J55+1),"")</f>
        <v/>
      </c>
      <c r="K56" s="3125" t="str">
        <f>IF(项目基本情况!K6="上海银行","其他处置费用","")</f>
        <v/>
      </c>
      <c r="L56" s="3126"/>
      <c r="M56" s="1746" t="str">
        <f>IF(项目基本情况!K6="上海银行",M69,"")</f>
        <v/>
      </c>
      <c r="N56" s="3128" t="str">
        <f>IF(项目基本情况!K6="上海银行","包含处置中涉及的律师、诉讼、拍卖、评估等费用","")</f>
        <v/>
      </c>
      <c r="O56" s="3129"/>
    </row>
    <row r="57" spans="1:35" ht="12.75">
      <c r="A57" s="182" t="s">
        <v>2200</v>
      </c>
      <c r="B57" s="3173" t="s">
        <v>2228</v>
      </c>
      <c r="C57" s="3174"/>
      <c r="D57" s="186">
        <v>0</v>
      </c>
      <c r="E57" s="23" t="s">
        <v>2202</v>
      </c>
      <c r="F57" s="154"/>
      <c r="G57" s="2478"/>
      <c r="H57" s="2482"/>
      <c r="I57" s="2482"/>
      <c r="J57" s="3142">
        <f>IF(AND(J55="",J56=""),4,IF(项目基本情况!K6="上海银行",结果表!J56+1,结果表!J55+1))</f>
        <v>4</v>
      </c>
      <c r="K57" s="3142" t="s">
        <v>2229</v>
      </c>
      <c r="L57" s="2483" t="s">
        <v>2230</v>
      </c>
      <c r="M57" s="1751"/>
      <c r="N57" s="1752">
        <f ca="1">SUMIF(M52:M56,"&lt;9e307")</f>
        <v>392</v>
      </c>
      <c r="O57" s="2484"/>
      <c r="P57" s="1745">
        <f ca="1">N57/M49</f>
        <v>0.56647398843930641</v>
      </c>
    </row>
    <row r="58" spans="1:35" ht="24.75">
      <c r="A58" s="182" t="s">
        <v>2211</v>
      </c>
      <c r="B58" s="3173" t="s">
        <v>2231</v>
      </c>
      <c r="C58" s="3186"/>
      <c r="D58" s="184">
        <f ca="1">IF(H58="转让取得",C81,C97)</f>
        <v>392</v>
      </c>
      <c r="E58" s="11" t="s">
        <v>2226</v>
      </c>
      <c r="F58" s="24" t="s">
        <v>34</v>
      </c>
      <c r="G58" s="2478"/>
      <c r="H58" s="2481" t="s">
        <v>2232</v>
      </c>
      <c r="I58" s="2482"/>
      <c r="J58" s="3142"/>
      <c r="K58" s="3142"/>
      <c r="L58" s="2483" t="s">
        <v>2233</v>
      </c>
      <c r="M58" s="1753"/>
      <c r="N58" s="2485" t="str">
        <f ca="1">NUMBERSTRING(INT(N57*10000),2)&amp;"元整"</f>
        <v>叁佰玖拾贰万元整</v>
      </c>
      <c r="O58" s="2486"/>
    </row>
    <row r="59" spans="1:35" ht="24.75" thickBot="1">
      <c r="A59" s="3146" t="s">
        <v>2234</v>
      </c>
      <c r="B59" s="3147"/>
      <c r="C59" s="3147"/>
      <c r="D59" s="187" t="str">
        <f>IF(H59="非个人房产","——",IF(H59="个人住宅",0,ROUND(D45*I59,0)))</f>
        <v>——</v>
      </c>
      <c r="E59" s="188" t="str">
        <f>IF(H59="非个人房产","——","销售额×税（费）率")</f>
        <v>——</v>
      </c>
      <c r="F59" s="189" t="str">
        <f>IF(H59="非个人房产","——",IF(H59="个人住宅","免征",I59))</f>
        <v>——</v>
      </c>
      <c r="G59" s="2487" t="s">
        <v>2227</v>
      </c>
      <c r="H59" s="2481" t="s">
        <v>2235</v>
      </c>
      <c r="I59" s="190">
        <v>0.01</v>
      </c>
      <c r="J59" s="3144">
        <f>J57+1</f>
        <v>5</v>
      </c>
      <c r="K59" s="3142" t="s">
        <v>2236</v>
      </c>
      <c r="L59" s="1804" t="s">
        <v>2230</v>
      </c>
      <c r="M59" s="1754"/>
      <c r="N59" s="1755">
        <f ca="1">M49-N57</f>
        <v>300</v>
      </c>
      <c r="O59" s="2488"/>
    </row>
    <row r="60" spans="1:35" ht="12" customHeight="1">
      <c r="A60" s="2489"/>
      <c r="B60" s="2411"/>
      <c r="C60" s="2411"/>
      <c r="D60" s="2411"/>
      <c r="E60" s="2158"/>
      <c r="F60" s="2482"/>
      <c r="G60" s="2482"/>
      <c r="H60" s="2490"/>
      <c r="I60" s="137"/>
      <c r="J60" s="3145"/>
      <c r="K60" s="3142"/>
      <c r="L60" s="2483" t="s">
        <v>2233</v>
      </c>
      <c r="M60" s="1753"/>
      <c r="N60" s="2485" t="str">
        <f ca="1">NUMBERSTRING(INT(N59*10000),2)&amp;"元整"</f>
        <v>叁佰万元整</v>
      </c>
      <c r="O60" s="2486"/>
    </row>
    <row r="61" spans="1:35" ht="13.5" thickBot="1">
      <c r="A61" s="3205" t="s">
        <v>2237</v>
      </c>
      <c r="B61" s="3205"/>
      <c r="C61" s="3205"/>
      <c r="D61" s="3205"/>
      <c r="E61" s="3205"/>
      <c r="F61" s="2482"/>
      <c r="G61" s="2482"/>
      <c r="H61" s="2490"/>
      <c r="I61" s="137"/>
      <c r="J61" s="1804">
        <f>J59+1</f>
        <v>6</v>
      </c>
      <c r="K61" s="3142" t="s">
        <v>2238</v>
      </c>
      <c r="L61" s="3142"/>
      <c r="M61" s="1756"/>
      <c r="N61" s="1757">
        <f ca="1">ROUND(N59*10000/'数据-汇总表'!E3,0)</f>
        <v>22504</v>
      </c>
      <c r="O61" s="2491"/>
    </row>
    <row r="62" spans="1:35" ht="12.75">
      <c r="A62" s="3162" t="s">
        <v>2239</v>
      </c>
      <c r="B62" s="3163"/>
      <c r="C62" s="1796"/>
      <c r="D62" s="1796" t="s">
        <v>2240</v>
      </c>
      <c r="E62" s="191" t="s">
        <v>2241</v>
      </c>
      <c r="F62" s="2482"/>
      <c r="G62" s="2482"/>
      <c r="H62" s="2490"/>
      <c r="I62" s="137"/>
    </row>
    <row r="63" spans="1:35" ht="12.75">
      <c r="A63" s="202" t="s">
        <v>775</v>
      </c>
      <c r="B63" s="192" t="s">
        <v>2242</v>
      </c>
      <c r="C63" s="193">
        <f ca="1">ROUND((C64+C65)/(1+'数据-取费表'!C42),0)</f>
        <v>659</v>
      </c>
      <c r="D63" s="194"/>
      <c r="E63" s="195"/>
      <c r="F63" s="2482"/>
      <c r="G63" s="2482"/>
      <c r="H63" s="2490"/>
      <c r="I63" s="137"/>
      <c r="J63" s="3127" t="s">
        <v>2243</v>
      </c>
      <c r="K63" s="2492" t="s">
        <v>2244</v>
      </c>
      <c r="L63" s="1744">
        <f ca="1">IF(M49&gt;10000,M49*0.5%,IF(AND(M49&gt;1000,M49&lt;=10000),M49*1%,IF(AND(M49&gt;100,M49&lt;=1000),M49*3%,IF(AND(M49&gt;10,M49&lt;=100),M49*5%,M49*8%))))</f>
        <v>20.759999999999998</v>
      </c>
      <c r="M63" s="24">
        <f ca="1">ROUND(L63,1)</f>
        <v>20.8</v>
      </c>
      <c r="Z63" s="2416"/>
      <c r="AI63" s="2417"/>
    </row>
    <row r="64" spans="1:35" ht="14.25" customHeight="1">
      <c r="A64" s="196" t="s">
        <v>770</v>
      </c>
      <c r="B64" s="197" t="s">
        <v>2245</v>
      </c>
      <c r="C64" s="198">
        <f ca="1">D45</f>
        <v>692</v>
      </c>
      <c r="D64" s="199" t="s">
        <v>32</v>
      </c>
      <c r="E64" s="200"/>
      <c r="F64" s="2482"/>
      <c r="G64" s="2482"/>
      <c r="H64" s="2490"/>
      <c r="I64" s="137"/>
      <c r="J64" s="3127"/>
      <c r="K64" s="2492" t="s">
        <v>2246</v>
      </c>
      <c r="L64" s="1744">
        <f ca="1">IF(M49&gt;2000,M49*0.5%,IF(AND(M49&gt;1000,M49&lt;=2000),M49*0.6%,IF(AND(M49&gt;500,M49&lt;=1000),M49*0.7%,IF(AND(M49&gt;200,M49&lt;=500),M49*0.8%,IF(AND(M49&gt;100,M49&lt;=200),M49*0.9%,IF(AND(M49&gt;50,M49&lt;=100),M49*1%,IF(AND(M49&gt;20,M49&lt;=50),M49*1.5%,IF(AND(M49&gt;10,M49&lt;=20),M49*2%,IF(AND(M49&gt;1,M49&lt;=10),M49*2.5%)))))))))</f>
        <v>4.8439999999999994</v>
      </c>
      <c r="M64" s="24">
        <f t="shared" ref="M64:M65" ca="1" si="1">ROUND(L64,1)</f>
        <v>4.8</v>
      </c>
      <c r="N64" s="137" t="s">
        <v>2247</v>
      </c>
      <c r="Z64" s="2416"/>
      <c r="AI64" s="2417"/>
    </row>
    <row r="65" spans="1:35" ht="14.25" customHeight="1">
      <c r="A65" s="196" t="s">
        <v>771</v>
      </c>
      <c r="B65" s="197" t="s">
        <v>2248</v>
      </c>
      <c r="C65" s="201"/>
      <c r="D65" s="199"/>
      <c r="E65" s="200"/>
      <c r="F65" s="2482"/>
      <c r="G65" s="2482"/>
      <c r="H65" s="2490"/>
      <c r="I65" s="137"/>
      <c r="J65" s="3127"/>
      <c r="K65" s="2492" t="s">
        <v>2249</v>
      </c>
      <c r="L65" s="1744">
        <f ca="1">IF(M49&gt;1000,M49*0.1%,IF(AND(M49&gt;500,M49&lt;=1000),M49*0.5%,IF(AND(M49&gt;50,M49&lt;=500),M49*1%,IF(AND(M49&gt;1,M49&lt;=50),M49*1.5%))))</f>
        <v>3.46</v>
      </c>
      <c r="M65" s="24">
        <f t="shared" ca="1" si="1"/>
        <v>3.5</v>
      </c>
      <c r="N65" s="137" t="s">
        <v>2247</v>
      </c>
      <c r="Z65" s="2416"/>
      <c r="AI65" s="2417"/>
    </row>
    <row r="66" spans="1:35" ht="14.25" customHeight="1">
      <c r="A66" s="202" t="s">
        <v>772</v>
      </c>
      <c r="B66" s="203" t="s">
        <v>2250</v>
      </c>
      <c r="C66" s="204"/>
      <c r="D66" s="205" t="s">
        <v>32</v>
      </c>
      <c r="E66" s="1768" t="s">
        <v>1371</v>
      </c>
      <c r="F66" s="2482"/>
      <c r="G66" s="2482"/>
      <c r="H66" s="2490"/>
      <c r="I66" s="137"/>
      <c r="J66" s="3127"/>
      <c r="K66" s="2492" t="s">
        <v>2251</v>
      </c>
      <c r="L66" s="1744">
        <f ca="1">M49*0.5%</f>
        <v>3.46</v>
      </c>
      <c r="M66" s="24">
        <f ca="1">IF(L66&gt;0.5,0.5,ROUND(L66,0))</f>
        <v>0.5</v>
      </c>
      <c r="N66" s="137" t="s">
        <v>2252</v>
      </c>
      <c r="Z66" s="2416"/>
      <c r="AI66" s="2417"/>
    </row>
    <row r="67" spans="1:35" ht="14.25" customHeight="1">
      <c r="A67" s="202" t="s">
        <v>773</v>
      </c>
      <c r="B67" s="203" t="s">
        <v>2253</v>
      </c>
      <c r="C67" s="206">
        <f ca="1">C63-C66</f>
        <v>659</v>
      </c>
      <c r="D67" s="199" t="s">
        <v>32</v>
      </c>
      <c r="E67" s="200"/>
      <c r="F67" s="2482"/>
      <c r="G67" s="2482"/>
      <c r="H67" s="2490"/>
      <c r="I67" s="137"/>
      <c r="J67" s="3127"/>
      <c r="K67" s="2492" t="s">
        <v>2254</v>
      </c>
      <c r="L67" s="1744">
        <f ca="1">IF(M49&gt;=10000,(8.25+(M49-10000)*0.01%),IF(AND(M49&gt;=8000,M49&lt;10000),(7.85+(M49-8000)*0.02%),IF(AND(M49&gt;=5000,M49&lt;8000),(6.65+(M49-5000)*0.04%),IF(AND(M49&gt;=2000,M49&lt;5000),(4.25+(PM49-2000)*0.08%),IF(AND(M49&gt;=1000,M49&lt;2000),(2.75+(M49-1000)*0.15%),IF(AND(M49&gt;=100,M49&lt;1000),(0.5+(M49-100)*0.25%),IF(AND(M49&gt;0,M49&lt;100),M49*0.5%)))))))</f>
        <v>1.98</v>
      </c>
      <c r="M67" s="24">
        <f ca="1">ROUND(L67*0.9,1)</f>
        <v>1.8</v>
      </c>
      <c r="Z67" s="2416"/>
      <c r="AI67" s="2417"/>
    </row>
    <row r="68" spans="1:35" ht="14.25" customHeight="1" thickBot="1">
      <c r="A68" s="207" t="s">
        <v>774</v>
      </c>
      <c r="B68" s="208" t="s">
        <v>2255</v>
      </c>
      <c r="C68" s="209">
        <f ca="1">IF(C67&lt;=0,0,ROUND(C67*D68,0))</f>
        <v>37</v>
      </c>
      <c r="D68" s="210">
        <f>'数据-取费表'!B41</f>
        <v>5.6000000000000001E-2</v>
      </c>
      <c r="E68" s="211"/>
      <c r="F68" s="2482"/>
      <c r="G68" s="2482"/>
      <c r="H68" s="2490"/>
      <c r="I68" s="137"/>
      <c r="J68" s="3127"/>
      <c r="K68" s="2492" t="s">
        <v>2256</v>
      </c>
      <c r="L68" s="1744">
        <f ca="1">IF(M49&gt;10000,M49*0.5%,IF(AND(M49&gt;5000,M49&lt;=10000),M49*1%,IF(AND(M49&gt;1000,M49&lt;=5000),M49*2%,IF(AND(M49&gt;200,M49&lt;=1000),M49*3%,M49*5%))))</f>
        <v>20.759999999999998</v>
      </c>
      <c r="M68" s="24">
        <f ca="1">ROUND(L68,1)</f>
        <v>20.8</v>
      </c>
      <c r="Z68" s="2416"/>
      <c r="AI68" s="2417"/>
    </row>
    <row r="69" spans="1:35" s="2439" customFormat="1" ht="16.5" customHeight="1">
      <c r="A69" s="2493"/>
      <c r="B69" s="2494"/>
      <c r="C69" s="2495"/>
      <c r="D69" s="2496"/>
      <c r="E69" s="2497"/>
      <c r="F69" s="2158"/>
      <c r="G69" s="2158"/>
      <c r="H69" s="2157"/>
      <c r="I69" s="2411"/>
      <c r="J69" s="3127"/>
      <c r="K69" s="2492" t="s">
        <v>2257</v>
      </c>
      <c r="L69" s="2498"/>
      <c r="M69" s="24">
        <f ca="1">ROUND(SUM(M63:M68),0)</f>
        <v>52</v>
      </c>
      <c r="N69" s="1745">
        <f ca="1">M69/M49</f>
        <v>7.5144508670520235E-2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71" t="s">
        <v>2258</v>
      </c>
      <c r="B70" s="3172"/>
      <c r="C70" s="3172"/>
      <c r="D70" s="3172"/>
      <c r="E70" s="3172"/>
      <c r="F70" s="3172"/>
      <c r="G70" s="3172"/>
      <c r="H70" s="317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2" t="s">
        <v>2239</v>
      </c>
      <c r="B71" s="3163"/>
      <c r="C71" s="1796"/>
      <c r="D71" s="1796" t="s">
        <v>2240</v>
      </c>
      <c r="E71" s="212" t="s">
        <v>2241</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2259</v>
      </c>
      <c r="C72" s="206">
        <f ca="1">ROUND(D45/(1+'数据-取费表'!C42),0)</f>
        <v>659</v>
      </c>
      <c r="D72" s="199" t="s">
        <v>32</v>
      </c>
      <c r="E72" s="1795"/>
      <c r="F72" s="1789"/>
      <c r="G72" s="1789"/>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2260</v>
      </c>
      <c r="C73" s="206">
        <f ca="1">C74+C78</f>
        <v>4</v>
      </c>
      <c r="D73" s="199" t="s">
        <v>32</v>
      </c>
      <c r="E73" s="1795"/>
      <c r="F73" s="1789"/>
      <c r="G73" s="1789"/>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2261</v>
      </c>
      <c r="C74" s="199">
        <f>ROUND(IF(G77="2016年5月1日后购买",C75/(1+'数据-取费表'!C42)+C76+C77,C75+C76+C77),0)</f>
        <v>0</v>
      </c>
      <c r="D74" s="199" t="s">
        <v>32</v>
      </c>
      <c r="E74" s="1795"/>
      <c r="F74" s="1789"/>
      <c r="G74" s="1789"/>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2262</v>
      </c>
      <c r="C75" s="217"/>
      <c r="D75" s="199" t="s">
        <v>32</v>
      </c>
      <c r="E75" s="218" t="s">
        <v>2263</v>
      </c>
      <c r="F75" s="2504" t="s">
        <v>2264</v>
      </c>
      <c r="G75" s="218" t="s">
        <v>2265</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2266</v>
      </c>
      <c r="C76" s="199">
        <f>IF(F75="购房发票",ROUND(C75*H75*D76,0),0)</f>
        <v>0</v>
      </c>
      <c r="D76" s="221">
        <v>0.05</v>
      </c>
      <c r="E76" s="3168" t="s">
        <v>2267</v>
      </c>
      <c r="F76" s="3167"/>
      <c r="G76" s="3167"/>
      <c r="H76" s="31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06" t="s">
        <v>2270</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2271</v>
      </c>
      <c r="C78" s="224">
        <f ca="1">ROUND(D45*D78/(1+'数据-取费表'!C42),0)</f>
        <v>4</v>
      </c>
      <c r="D78" s="225">
        <f>'数据-取费表'!B43</f>
        <v>6.000000000000001E-3</v>
      </c>
      <c r="E78" s="3159" t="s">
        <v>2272</v>
      </c>
      <c r="F78" s="3160"/>
      <c r="G78" s="3160"/>
      <c r="H78" s="316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2273</v>
      </c>
      <c r="C79" s="206">
        <f ca="1">C72-C73</f>
        <v>655</v>
      </c>
      <c r="D79" s="199" t="s">
        <v>32</v>
      </c>
      <c r="E79" s="1795"/>
      <c r="F79" s="1789"/>
      <c r="G79" s="1789"/>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2274</v>
      </c>
      <c r="C80" s="226">
        <f ca="1">IF(C79&lt;=0,0,C79/C73)</f>
        <v>163.75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2275</v>
      </c>
      <c r="C81" s="227">
        <f ca="1">ROUND(IF(C79&lt;=0,0,IF(C80&gt;=200%,C79*60%-C73*35%,IF(C80&gt;=100%,C79*50%-C73*15%,IF(C80&gt;=50%,C79*40%-C73*5%,IF(C80&lt;50%,C79*30%,0))))),0)</f>
        <v>392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1" t="s">
        <v>2276</v>
      </c>
      <c r="B83" s="3172"/>
      <c r="C83" s="3172"/>
      <c r="D83" s="3172"/>
      <c r="E83" s="3172"/>
      <c r="F83" s="3172"/>
      <c r="G83" s="3172"/>
      <c r="H83" s="317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2" t="s">
        <v>2239</v>
      </c>
      <c r="B84" s="3163"/>
      <c r="C84" s="1796"/>
      <c r="D84" s="1796" t="s">
        <v>2240</v>
      </c>
      <c r="E84" s="212" t="s">
        <v>2241</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2259</v>
      </c>
      <c r="C85" s="206">
        <f ca="1">ROUND(D45/(1+'数据-取费表'!C42),0)</f>
        <v>659</v>
      </c>
      <c r="D85" s="199" t="s">
        <v>32</v>
      </c>
      <c r="E85" s="1795"/>
      <c r="F85" s="1789"/>
      <c r="G85" s="1789"/>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2260</v>
      </c>
      <c r="C86" s="206">
        <f ca="1">IF(H88="仅含出让金",C87+C90+C91+C92+C93+C94,C87+C91+C92+C93+C94)</f>
        <v>4</v>
      </c>
      <c r="D86" s="234"/>
      <c r="E86" s="1795"/>
      <c r="F86" s="1789"/>
      <c r="G86" s="1789"/>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2277</v>
      </c>
      <c r="C87" s="224">
        <f>C88+C89</f>
        <v>0</v>
      </c>
      <c r="D87" s="225"/>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2278</v>
      </c>
      <c r="C88" s="235"/>
      <c r="D88" s="225"/>
      <c r="E88" s="236" t="s">
        <v>2279</v>
      </c>
      <c r="F88" s="1792"/>
      <c r="G88" s="237" t="s">
        <v>2280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2268</v>
      </c>
      <c r="C89" s="224">
        <f>ROUND(C88*D89,0)</f>
        <v>0</v>
      </c>
      <c r="D89" s="225">
        <f>'数据-取费表'!B48+'数据-取费表'!B49</f>
        <v>3.0499999999999999E-2</v>
      </c>
      <c r="E89" s="236" t="s">
        <v>2281</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2282</v>
      </c>
      <c r="C90" s="235"/>
      <c r="D90" s="225"/>
      <c r="E90" s="236"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2283</v>
      </c>
      <c r="B91" s="197" t="s">
        <v>2284</v>
      </c>
      <c r="C91" s="224">
        <f>IF(H91="——",成本法!C33,I91)</f>
        <v>0</v>
      </c>
      <c r="D91" s="225"/>
      <c r="E91" s="3159" t="s">
        <v>2285</v>
      </c>
      <c r="F91" s="3160"/>
      <c r="G91" s="3160"/>
      <c r="H91" s="2511" t="s">
        <v>2286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2287</v>
      </c>
      <c r="B92" s="197" t="s">
        <v>2288</v>
      </c>
      <c r="C92" s="224">
        <f>ROUND((C87+C90+C91)*D92,0)</f>
        <v>0</v>
      </c>
      <c r="D92" s="225">
        <v>0.1</v>
      </c>
      <c r="E92" s="3159" t="s">
        <v>2289</v>
      </c>
      <c r="F92" s="3160"/>
      <c r="G92" s="3160"/>
      <c r="H92" s="316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2290</v>
      </c>
      <c r="B93" s="197" t="s">
        <v>2271</v>
      </c>
      <c r="C93" s="224">
        <f ca="1">ROUND(D45*D93/(1+'数据-取费表'!C42),0)</f>
        <v>4</v>
      </c>
      <c r="D93" s="225">
        <f>'数据-取费表'!B43</f>
        <v>6.000000000000001E-3</v>
      </c>
      <c r="E93" s="3159" t="s">
        <v>2272</v>
      </c>
      <c r="F93" s="3160"/>
      <c r="G93" s="3160"/>
      <c r="H93" s="316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2291</v>
      </c>
      <c r="B94" s="197" t="s">
        <v>2292</v>
      </c>
      <c r="C94" s="235">
        <f>ROUND((C87+C90+C91)*D94,0)</f>
        <v>0</v>
      </c>
      <c r="D94" s="225">
        <v>0.2</v>
      </c>
      <c r="E94" s="3207" t="s">
        <v>2293</v>
      </c>
      <c r="F94" s="3208"/>
      <c r="G94" s="3208"/>
      <c r="H94" s="320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2273</v>
      </c>
      <c r="C95" s="206">
        <f ca="1">ROUND(C85-C86,0)</f>
        <v>655</v>
      </c>
      <c r="D95" s="199" t="s">
        <v>32</v>
      </c>
      <c r="E95" s="1795"/>
      <c r="F95" s="1789"/>
      <c r="G95" s="1789"/>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2274</v>
      </c>
      <c r="C96" s="226">
        <f ca="1">IF(C95&lt;=0,0,C95/C86)</f>
        <v>163.75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2275</v>
      </c>
      <c r="C97" s="227">
        <f ca="1">ROUND(IF(C95&lt;=0,0,IF(C96&gt;=200%,C95*60%-C86*35%,IF(C96&gt;=100%,C95*50%-C86*15%,IF(C96&gt;=50%,C95*40%-C86*5%,IF(C96&lt;50%,C95*30%,0))))),0)</f>
        <v>392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7"/>
    </row>
    <row r="99" spans="1:35" ht="21.75" customHeight="1" thickBot="1">
      <c r="A99" s="2467" t="s">
        <v>2294</v>
      </c>
      <c r="B99" s="2411"/>
      <c r="C99" s="2411"/>
      <c r="D99" s="2411"/>
      <c r="E99" s="2158"/>
      <c r="F99" s="2158"/>
      <c r="G99" s="2158"/>
      <c r="H99" s="2157"/>
      <c r="I99" s="137"/>
    </row>
    <row r="100" spans="1:35" ht="18.75" customHeight="1">
      <c r="A100" s="3111" t="s">
        <v>2295</v>
      </c>
      <c r="B100" s="3112"/>
      <c r="C100" s="3112"/>
      <c r="D100" s="3143"/>
      <c r="E100" s="3112" t="s">
        <v>2296</v>
      </c>
      <c r="F100" s="3112"/>
      <c r="G100" s="3112"/>
      <c r="H100" s="3143"/>
      <c r="I100" s="137"/>
    </row>
    <row r="101" spans="1:35" ht="18.75" customHeight="1">
      <c r="A101" s="3151" t="s">
        <v>2297</v>
      </c>
      <c r="B101" s="3152"/>
      <c r="C101" s="733" t="str">
        <f>C4</f>
        <v>比较法-商业</v>
      </c>
      <c r="D101" s="734" t="str">
        <f>D4</f>
        <v>收益法 (元)</v>
      </c>
      <c r="E101" s="3123" t="s">
        <v>2298</v>
      </c>
      <c r="F101" s="3124"/>
      <c r="G101" s="2513" t="s">
        <v>2299</v>
      </c>
      <c r="H101" s="1045">
        <f ca="1">H118</f>
        <v>692</v>
      </c>
      <c r="I101" s="137"/>
    </row>
    <row r="102" spans="1:35" ht="18.75" customHeight="1">
      <c r="A102" s="3153" t="s">
        <v>2300</v>
      </c>
      <c r="B102" s="2513" t="s">
        <v>2299</v>
      </c>
      <c r="C102" s="733">
        <f ca="1">C19</f>
        <v>760</v>
      </c>
      <c r="D102" s="734">
        <f ca="1">D19</f>
        <v>533</v>
      </c>
      <c r="E102" s="3123"/>
      <c r="F102" s="3124"/>
      <c r="G102" s="2513" t="s">
        <v>2301</v>
      </c>
      <c r="H102" s="370">
        <f ca="1">I118</f>
        <v>51909</v>
      </c>
      <c r="I102" s="137"/>
    </row>
    <row r="103" spans="1:35" ht="42.75" customHeight="1">
      <c r="A103" s="3153"/>
      <c r="B103" s="2513" t="s">
        <v>2301</v>
      </c>
      <c r="C103" s="735">
        <f ca="1">C20</f>
        <v>57033</v>
      </c>
      <c r="D103" s="736">
        <f ca="1">D20</f>
        <v>39973</v>
      </c>
      <c r="E103" s="3117" t="s">
        <v>2302</v>
      </c>
      <c r="F103" s="3118"/>
      <c r="G103" s="2514" t="s">
        <v>2303</v>
      </c>
      <c r="H103" s="1045">
        <f>IF(D36="正常操作",H104+H105+H106,H105+H106)</f>
        <v>0</v>
      </c>
      <c r="I103" s="137"/>
    </row>
    <row r="104" spans="1:35" ht="18.75" customHeight="1">
      <c r="A104" s="3153" t="s">
        <v>2304</v>
      </c>
      <c r="B104" s="2515" t="s">
        <v>2299</v>
      </c>
      <c r="C104" s="737">
        <f ca="1">H118</f>
        <v>692</v>
      </c>
      <c r="D104" s="738"/>
      <c r="E104" s="2259" t="s">
        <v>2305</v>
      </c>
      <c r="F104" s="2250"/>
      <c r="G104" s="2514" t="s">
        <v>2303</v>
      </c>
      <c r="H104" s="1046">
        <f>IF(D36="同一抵押权人同一抵押物续贷",C36&amp;"（未扣减，详见特别提示）",C36)</f>
        <v>0</v>
      </c>
      <c r="I104" s="137"/>
    </row>
    <row r="105" spans="1:35" ht="18.75" customHeight="1" thickBot="1">
      <c r="A105" s="3165"/>
      <c r="B105" s="2516" t="s">
        <v>2301</v>
      </c>
      <c r="C105" s="739">
        <f ca="1">I118</f>
        <v>51909</v>
      </c>
      <c r="D105" s="740"/>
      <c r="E105" s="2259" t="s">
        <v>2306</v>
      </c>
      <c r="F105" s="2250"/>
      <c r="G105" s="2514" t="s">
        <v>2303</v>
      </c>
      <c r="H105" s="1046">
        <f>C37</f>
        <v>0</v>
      </c>
      <c r="I105" s="137"/>
    </row>
    <row r="106" spans="1:35" ht="18.75" customHeight="1">
      <c r="A106" s="2411" t="s">
        <v>2307</v>
      </c>
      <c r="B106" s="2411"/>
      <c r="C106" s="2411"/>
      <c r="D106" s="2411"/>
      <c r="E106" s="2517" t="s">
        <v>2308</v>
      </c>
      <c r="F106" s="2250"/>
      <c r="G106" s="2514" t="s">
        <v>2303</v>
      </c>
      <c r="H106" s="1046">
        <f>C38</f>
        <v>0</v>
      </c>
      <c r="I106" s="137"/>
    </row>
    <row r="107" spans="1:35" ht="18.75" customHeight="1">
      <c r="A107" s="137"/>
      <c r="B107" s="137"/>
      <c r="C107" s="137"/>
      <c r="D107" s="137"/>
      <c r="E107" s="3154" t="str">
        <f>IF(项目基本情况!E8="已注销","——","3.房地产抵押价值")</f>
        <v>3.房地产抵押价值</v>
      </c>
      <c r="F107" s="3124"/>
      <c r="G107" s="2513" t="s">
        <v>2299</v>
      </c>
      <c r="H107" s="1045">
        <f ca="1">IF(E107="——","——",H101-H103)</f>
        <v>692</v>
      </c>
      <c r="I107" s="137"/>
    </row>
    <row r="108" spans="1:35" ht="18.75" customHeight="1">
      <c r="A108" s="137"/>
      <c r="B108" s="137"/>
      <c r="C108" s="137"/>
      <c r="D108" s="137"/>
      <c r="E108" s="3154"/>
      <c r="F108" s="3124"/>
      <c r="G108" s="2513" t="s">
        <v>2301</v>
      </c>
      <c r="H108" s="370">
        <f ca="1">ROUND(H107*10000/'数据-汇总表'!E3,0)</f>
        <v>51909</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3" t="s">
        <v>2299</v>
      </c>
      <c r="H109" s="347" t="str">
        <f>IF(E109="——","——",H101-H105-H106)</f>
        <v>——</v>
      </c>
      <c r="I109" s="137"/>
    </row>
    <row r="110" spans="1:35" ht="18.75" customHeight="1">
      <c r="A110" s="137"/>
      <c r="B110" s="137"/>
      <c r="C110" s="137"/>
      <c r="D110" s="137"/>
      <c r="E110" s="3154"/>
      <c r="F110" s="3124"/>
      <c r="G110" s="2513" t="s">
        <v>2301</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3" t="s">
        <v>2299</v>
      </c>
      <c r="H111" s="1045" t="str">
        <f>IF(E111="——","——",N59)</f>
        <v>——</v>
      </c>
      <c r="I111" s="137"/>
    </row>
    <row r="112" spans="1:35" ht="18.75" customHeight="1" thickBot="1">
      <c r="A112" s="137"/>
      <c r="B112" s="137"/>
      <c r="C112" s="137"/>
      <c r="D112" s="137"/>
      <c r="E112" s="3157"/>
      <c r="F112" s="3158"/>
      <c r="G112" s="2518" t="s">
        <v>2301</v>
      </c>
      <c r="H112" s="787" t="str">
        <f>IF(E111="——","——",N61)</f>
        <v>——</v>
      </c>
      <c r="I112" s="137"/>
    </row>
    <row r="113" spans="1:11" ht="18.75" customHeight="1">
      <c r="A113" s="137"/>
      <c r="B113" s="137"/>
      <c r="C113" s="137"/>
      <c r="D113" s="137"/>
      <c r="E113" s="3166" t="s">
        <v>2307</v>
      </c>
      <c r="F113" s="3166"/>
      <c r="G113" s="3166"/>
      <c r="H113" s="3166"/>
      <c r="I113" s="137"/>
    </row>
    <row r="114" spans="1:11" ht="3.75" customHeight="1">
      <c r="A114" s="2411"/>
      <c r="B114" s="2411"/>
      <c r="C114" s="2411"/>
      <c r="D114" s="2411"/>
      <c r="E114" s="2489"/>
      <c r="F114" s="2489"/>
      <c r="G114" s="2489"/>
      <c r="H114" s="2489"/>
      <c r="I114" s="2411"/>
    </row>
    <row r="115" spans="1:11" ht="18.75" customHeight="1">
      <c r="A115" s="3179" t="s">
        <v>2309</v>
      </c>
      <c r="B115" s="3180"/>
      <c r="C115" s="3180"/>
      <c r="D115" s="3180"/>
      <c r="E115" s="3180"/>
      <c r="F115" s="3180"/>
      <c r="G115" s="3180"/>
      <c r="H115" s="3180"/>
      <c r="I115" s="3181"/>
    </row>
    <row r="116" spans="1:11" ht="27" customHeight="1">
      <c r="A116" s="3085" t="s">
        <v>2310</v>
      </c>
      <c r="B116" s="3133" t="s">
        <v>3166</v>
      </c>
      <c r="C116" s="3133" t="s">
        <v>3165</v>
      </c>
      <c r="D116" s="3139" t="s">
        <v>2311</v>
      </c>
      <c r="E116" s="3140"/>
      <c r="F116" s="3175" t="s">
        <v>3164</v>
      </c>
      <c r="G116" s="3175"/>
      <c r="H116" s="3085" t="s">
        <v>2312</v>
      </c>
      <c r="I116" s="3085"/>
    </row>
    <row r="117" spans="1:11" ht="18.75" customHeight="1">
      <c r="A117" s="3085"/>
      <c r="B117" s="3134"/>
      <c r="C117" s="3134"/>
      <c r="D117" s="1790" t="s">
        <v>2313</v>
      </c>
      <c r="E117" s="1790" t="s">
        <v>2314</v>
      </c>
      <c r="F117" s="1790" t="s">
        <v>2313</v>
      </c>
      <c r="G117" s="1790" t="s">
        <v>2315</v>
      </c>
      <c r="H117" s="1790" t="s">
        <v>2313</v>
      </c>
      <c r="I117" s="1790" t="s">
        <v>2315</v>
      </c>
    </row>
    <row r="118" spans="1:11" ht="24.75" customHeight="1">
      <c r="A118" s="2519" t="str">
        <f>项目基本情况!S2</f>
        <v>江苏省镇江市京口区解放路27号镇江财富广场8幢101室等共79套商业用房房地产</v>
      </c>
      <c r="B118" s="1790">
        <f>M18</f>
        <v>133.31</v>
      </c>
      <c r="C118" s="1790">
        <f>M19</f>
        <v>9.2200000000000006</v>
      </c>
      <c r="D118" s="1790">
        <f ca="1">ROUND(IF(D32="总价",C34,E118*B118/10000),0)</f>
        <v>503</v>
      </c>
      <c r="E118" s="1790">
        <f ca="1">ROUND(IF(C33="自定义",IF(D32="楼面单价",C34,D118*10000/B118),I118-G118),0)</f>
        <v>37732</v>
      </c>
      <c r="F118" s="1790">
        <f ca="1">ROUND(IF(D32="总价",C35,G118*B118/10000),0)</f>
        <v>189</v>
      </c>
      <c r="G118" s="1790">
        <f ca="1">ROUND(IF(D32="楼面单价",C35,F118*10000/B118),0)</f>
        <v>14177</v>
      </c>
      <c r="H118" s="1790">
        <f ca="1">ROUND(IF(D32="总价",C32,I118*B118/10000),0)</f>
        <v>692</v>
      </c>
      <c r="I118" s="1790">
        <f ca="1">ROUND(IF(D32="楼面单价",C32,H118*10000/B118),0)</f>
        <v>51909</v>
      </c>
    </row>
    <row r="119" spans="1:11" ht="18.75" customHeight="1">
      <c r="A119" s="3085" t="s">
        <v>2316</v>
      </c>
      <c r="B119" s="3085"/>
      <c r="C119" s="3085"/>
      <c r="D119" s="3135" t="str">
        <f ca="1">NUMBERSTRING(INT(D118*10000),2)&amp;"元整"</f>
        <v>伍佰零叁万元整</v>
      </c>
      <c r="E119" s="3136"/>
      <c r="F119" s="3135" t="str">
        <f ca="1">NUMBERSTRING(INT(F118*10000),2)&amp;"元整"</f>
        <v>壹佰捌拾玖万元整</v>
      </c>
      <c r="G119" s="3136"/>
      <c r="H119" s="3135" t="str">
        <f ca="1">NUMBERSTRING(INT(H118*10000),2)&amp;"元整"</f>
        <v>陆佰玖拾贰万元整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16" t="str">
        <f>IF(D120=0,"故，本次评估不存在"&amp;A120,"故，本次评估"&amp;A120&amp;"为人民币"&amp;D120&amp;"万元整。")</f>
        <v>故，本次评估不存在估价师知悉的法定优先受偿款</v>
      </c>
    </row>
    <row r="121" spans="1:11" ht="18.75" customHeight="1">
      <c r="A121" s="3176" t="s">
        <v>2316</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692</v>
      </c>
      <c r="E122" s="3131"/>
      <c r="F122" s="3131"/>
      <c r="G122" s="3131"/>
      <c r="H122" s="3131"/>
      <c r="I122" s="3132"/>
    </row>
    <row r="123" spans="1:11" ht="18.75" customHeight="1">
      <c r="A123" s="3085" t="s">
        <v>2316</v>
      </c>
      <c r="B123" s="3085"/>
      <c r="C123" s="3085"/>
      <c r="D123" s="3135" t="str">
        <f ca="1">NUMBERSTRING(INT(D122*10000),2)&amp;"元整"</f>
        <v>陆佰玖拾贰万元整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85" t="s">
        <v>2316</v>
      </c>
      <c r="B125" s="3085"/>
      <c r="C125" s="3085"/>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85" t="s">
        <v>2316</v>
      </c>
      <c r="B127" s="3085"/>
      <c r="C127" s="3085"/>
      <c r="D127" s="3135" t="e">
        <f>NUMBERSTRING(INT(D126*10000),2)&amp;"元整"</f>
        <v>#VALUE!</v>
      </c>
      <c r="E127" s="3137"/>
      <c r="F127" s="3137"/>
      <c r="G127" s="3137"/>
      <c r="H127" s="3137"/>
      <c r="I127" s="3136"/>
    </row>
    <row r="128" spans="1:11" ht="21.75" customHeight="1">
      <c r="A128" s="3138" t="s">
        <v>2317</v>
      </c>
      <c r="B128" s="3138"/>
      <c r="C128" s="3138"/>
      <c r="D128" s="3138"/>
      <c r="E128" s="3138"/>
      <c r="F128" s="3138"/>
      <c r="G128" s="3138"/>
      <c r="H128" s="3138"/>
      <c r="I128" s="3138"/>
    </row>
    <row r="129" spans="1:35" ht="21.75" customHeight="1">
      <c r="A129" s="2520" t="s">
        <v>2318</v>
      </c>
      <c r="B129" s="2521"/>
      <c r="C129" s="2522" t="s">
        <v>2319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2320</v>
      </c>
      <c r="G135" s="2537"/>
      <c r="H135" s="2537"/>
      <c r="I135" s="2538" t="s">
        <v>2321</v>
      </c>
    </row>
    <row r="136" spans="1:35" ht="21.75" customHeight="1">
      <c r="A136" s="792"/>
      <c r="B136" s="2539"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2323</v>
      </c>
    </row>
    <row r="139" spans="1:35" ht="21.75" customHeight="1">
      <c r="A139" s="792"/>
      <c r="B139" s="2539" t="s">
        <v>2324</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2323</v>
      </c>
    </row>
    <row r="142" spans="1:35" ht="21.75" customHeight="1">
      <c r="A142" s="792"/>
      <c r="B142" s="2539"/>
      <c r="C142" s="2540"/>
      <c r="D142" s="2541"/>
      <c r="E142" s="2541"/>
      <c r="F142" s="2333"/>
      <c r="G142" s="792"/>
      <c r="H142" s="792"/>
      <c r="I142" s="792"/>
    </row>
    <row r="143" spans="1:35" s="138" customFormat="1" ht="21.75" customHeight="1">
      <c r="A143" s="792"/>
      <c r="B143" s="2539"/>
      <c r="C143" s="2540"/>
      <c r="D143" s="2541"/>
      <c r="E143" s="2541"/>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9" t="str">
        <f>项目基本情况!B1</f>
        <v>江苏省镇江市京口区解放路27号镇江财富广场8幢101室等共79套商业用房房地产抵押价值预评估</v>
      </c>
      <c r="C37" s="3019"/>
      <c r="D37" s="3019"/>
      <c r="E37" s="3019"/>
      <c r="F37" s="3019"/>
      <c r="G37" s="3019"/>
      <c r="H37" s="3019"/>
      <c r="I37" s="3019"/>
    </row>
    <row r="38" spans="1:9">
      <c r="A38" s="1016"/>
      <c r="B38" s="1016"/>
    </row>
    <row r="39" spans="1:9">
      <c r="A39" s="1014" t="s">
        <v>818</v>
      </c>
      <c r="B39" s="1014" t="s">
        <v>820</v>
      </c>
    </row>
    <row r="40" spans="1:9">
      <c r="A40" s="1014"/>
      <c r="B40" s="1936" t="str">
        <f>项目基本情况!B5</f>
        <v>中信信托有限责任公司</v>
      </c>
    </row>
    <row r="41" spans="1:9">
      <c r="A41" s="1014"/>
      <c r="B41" s="1014"/>
    </row>
    <row r="42" spans="1:9">
      <c r="A42" s="1014" t="s">
        <v>818</v>
      </c>
      <c r="B42" s="1014" t="s">
        <v>821</v>
      </c>
    </row>
    <row r="43" spans="1:9">
      <c r="A43" s="1014"/>
      <c r="B43" s="1936" t="s">
        <v>822</v>
      </c>
    </row>
    <row r="44" spans="1:9">
      <c r="A44" s="1014"/>
      <c r="B44" s="1014"/>
    </row>
    <row r="45" spans="1:9">
      <c r="A45" s="1014" t="s">
        <v>818</v>
      </c>
      <c r="B45" s="1014" t="s">
        <v>823</v>
      </c>
    </row>
    <row r="46" spans="1:9" s="1014" customFormat="1" ht="12.75">
      <c r="B46" s="1936" t="str">
        <f ca="1">项目基本情况!K4</f>
        <v>郑燚（注册号：1120070131)、王鹏（注册号：1120050019)</v>
      </c>
    </row>
    <row r="47" spans="1:9">
      <c r="A47" s="1014"/>
      <c r="B47" s="1014" t="str">
        <f>项目基本情况!K5</f>
        <v/>
      </c>
    </row>
    <row r="48" spans="1:9">
      <c r="A48" s="1014" t="s">
        <v>818</v>
      </c>
      <c r="B48" s="1014"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1"/>
      <c r="C1" s="241"/>
      <c r="D1" s="241"/>
      <c r="E1" s="241"/>
      <c r="F1" s="241"/>
      <c r="G1" s="1375">
        <f>MATCH(B1,'数据-取费表'!A6:A16,0)+5</f>
        <v>7</v>
      </c>
    </row>
    <row r="2" spans="1:9" s="243" customFormat="1" ht="18" customHeight="1">
      <c r="A2" s="244" t="s">
        <v>2326</v>
      </c>
      <c r="B2" s="245">
        <f ca="1">IF(D2="——",C52,C52-E2)</f>
        <v>78</v>
      </c>
      <c r="C2" s="242" t="s">
        <v>2327</v>
      </c>
      <c r="D2" s="2542" t="s">
        <v>70</v>
      </c>
      <c r="E2" s="1436" t="e">
        <f ca="1">SUMIF(INDIRECT("'"&amp;G2&amp;"'"&amp;"!A:A"),"承租人权益价值",INDIRECT("'"&amp;G2&amp;"'"&amp;"!c:c"))</f>
        <v>#REF!</v>
      </c>
      <c r="F2" s="2543" t="s">
        <v>2327</v>
      </c>
      <c r="G2" s="2544"/>
    </row>
    <row r="3" spans="1:9" s="243" customFormat="1" ht="18" customHeight="1" thickBot="1">
      <c r="A3" s="246" t="s">
        <v>2328</v>
      </c>
      <c r="B3" s="247">
        <f ca="1">ROUND(B2*10000/(IF(B1="",'数据-汇总表'!E3,INDIRECT("'数据-取费表'!k"&amp;$G$1))),0)</f>
        <v>5851</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1</v>
      </c>
      <c r="D5" s="254" t="s">
        <v>2333</v>
      </c>
      <c r="E5" s="255" t="s">
        <v>2334</v>
      </c>
      <c r="F5" s="255" t="s">
        <v>2335</v>
      </c>
      <c r="G5" s="256"/>
    </row>
    <row r="6" spans="1:9" s="257" customFormat="1" ht="13.5" customHeight="1">
      <c r="A6" s="949" t="s">
        <v>2336</v>
      </c>
      <c r="B6" s="258" t="s">
        <v>2337</v>
      </c>
      <c r="C6" s="259"/>
      <c r="D6" s="260"/>
      <c r="E6" s="261"/>
      <c r="F6" s="261"/>
      <c r="G6" s="262"/>
    </row>
    <row r="7" spans="1:9" s="257" customFormat="1" ht="13.5" customHeight="1">
      <c r="A7" s="949" t="s">
        <v>2338</v>
      </c>
      <c r="B7" s="258" t="s">
        <v>2339</v>
      </c>
      <c r="C7" s="263">
        <f>ROUND(C6*F7,0)</f>
        <v>0</v>
      </c>
      <c r="D7" s="263"/>
      <c r="E7" s="261"/>
      <c r="F7" s="264">
        <f>'数据-取费表'!B48+'数据-取费表'!B49</f>
        <v>3.0499999999999999E-2</v>
      </c>
      <c r="G7" s="262"/>
    </row>
    <row r="8" spans="1:9" s="266" customFormat="1">
      <c r="A8" s="949" t="s">
        <v>2340</v>
      </c>
      <c r="B8" s="258" t="s">
        <v>2341</v>
      </c>
      <c r="C8" s="263">
        <f>IF(G8="已包含在土地购买价格中","0",IF(B1="",'数据-取费表'!B29,IF(G9="全部缴纳",C9+C10,H9)))</f>
        <v>1</v>
      </c>
      <c r="D8" s="265"/>
      <c r="E8" s="263"/>
      <c r="F8" s="264"/>
      <c r="G8" s="2545"/>
    </row>
    <row r="9" spans="1:9" s="257" customFormat="1" ht="13.5" customHeight="1">
      <c r="A9" s="950" t="s">
        <v>800</v>
      </c>
      <c r="B9" s="267" t="s">
        <v>2342</v>
      </c>
      <c r="C9" s="268">
        <f ca="1">ROUND(D9*E9/10000,0)</f>
        <v>0</v>
      </c>
      <c r="D9" s="1032">
        <f ca="1">IF(B1="",'数据-汇总表'!E5,IF(INDIRECT("'数据-取费表'!c"&amp;$G$1)="住宅",INDIRECT("'数据-取费表'!k"&amp;$G$1),0))</f>
        <v>0</v>
      </c>
      <c r="E9" s="268">
        <f>'数据-取费表'!B27</f>
        <v>105</v>
      </c>
      <c r="F9" s="264"/>
      <c r="G9" s="2546"/>
      <c r="H9" s="1386"/>
      <c r="I9" s="2547" t="s">
        <v>2343</v>
      </c>
    </row>
    <row r="10" spans="1:9" s="257" customFormat="1" ht="13.5" customHeight="1">
      <c r="A10" s="950" t="s">
        <v>801</v>
      </c>
      <c r="B10" s="267" t="s">
        <v>2344</v>
      </c>
      <c r="C10" s="268">
        <f ca="1">ROUND(D10*E10/10000,0)</f>
        <v>1</v>
      </c>
      <c r="D10" s="1032">
        <f ca="1">IF(B1="",'数据-汇总表'!E6,IF(INDIRECT("'数据-取费表'!c"&amp;$G$1)="住宅",INDIRECT("'数据-取费表'!s"&amp;$G$1),INDIRECT("'数据-取费表'!k"&amp;$G$1)+INDIRECT("'数据-取费表'!s"&amp;$G$1)))</f>
        <v>133.31</v>
      </c>
      <c r="E10" s="268">
        <f>'数据-取费表'!B28</f>
        <v>105</v>
      </c>
      <c r="F10" s="264"/>
      <c r="G10" s="269"/>
    </row>
    <row r="11" spans="1:9" s="257" customFormat="1" ht="13.5" hidden="1" customHeight="1">
      <c r="A11" s="270" t="s">
        <v>7</v>
      </c>
      <c r="B11" s="258" t="s">
        <v>2345</v>
      </c>
      <c r="C11" s="254"/>
      <c r="D11" s="1034"/>
      <c r="E11" s="261"/>
      <c r="F11" s="261"/>
      <c r="G11" s="262"/>
    </row>
    <row r="12" spans="1:9" s="257" customFormat="1" ht="13.5" hidden="1" customHeight="1">
      <c r="A12" s="270" t="s">
        <v>8</v>
      </c>
      <c r="B12" s="258" t="s">
        <v>2346</v>
      </c>
      <c r="C12" s="254">
        <v>0</v>
      </c>
      <c r="D12" s="1034"/>
      <c r="E12" s="271"/>
      <c r="F12" s="264">
        <v>3.0499999999999999E-2</v>
      </c>
      <c r="G12" s="262"/>
    </row>
    <row r="13" spans="1:9" s="257" customFormat="1" ht="13.5" hidden="1" customHeight="1">
      <c r="A13" s="270" t="s">
        <v>9</v>
      </c>
      <c r="B13" s="258" t="s">
        <v>2347</v>
      </c>
      <c r="C13" s="254"/>
      <c r="D13" s="1034"/>
      <c r="E13" s="261"/>
      <c r="F13" s="261"/>
      <c r="G13" s="262"/>
    </row>
    <row r="14" spans="1:9" s="257" customFormat="1" ht="13.5" hidden="1" customHeight="1">
      <c r="A14" s="270" t="s">
        <v>10</v>
      </c>
      <c r="B14" s="258" t="s">
        <v>2348</v>
      </c>
      <c r="C14" s="254"/>
      <c r="D14" s="1034"/>
      <c r="E14" s="261"/>
      <c r="F14" s="261"/>
      <c r="G14" s="262" t="s">
        <v>2349</v>
      </c>
    </row>
    <row r="15" spans="1:9" s="257" customFormat="1" ht="13.5" hidden="1" customHeight="1">
      <c r="A15" s="270" t="s">
        <v>11</v>
      </c>
      <c r="B15" s="258" t="s">
        <v>2350</v>
      </c>
      <c r="C15" s="263"/>
      <c r="D15" s="1034"/>
      <c r="E15" s="261"/>
      <c r="F15" s="261"/>
      <c r="G15" s="262" t="s">
        <v>2351</v>
      </c>
    </row>
    <row r="16" spans="1:9" s="257" customFormat="1" ht="13.5" hidden="1" customHeight="1">
      <c r="A16" s="270" t="s">
        <v>12</v>
      </c>
      <c r="B16" s="258" t="s">
        <v>2348</v>
      </c>
      <c r="C16" s="263"/>
      <c r="D16" s="1034"/>
      <c r="E16" s="261"/>
      <c r="F16" s="261"/>
      <c r="G16" s="262"/>
    </row>
    <row r="17" spans="1:7" s="257" customFormat="1" ht="13.5" hidden="1" customHeight="1">
      <c r="A17" s="270" t="s">
        <v>13</v>
      </c>
      <c r="B17" s="258" t="s">
        <v>2352</v>
      </c>
      <c r="C17" s="272"/>
      <c r="D17" s="1035"/>
      <c r="E17" s="272"/>
      <c r="F17" s="272"/>
      <c r="G17" s="262" t="s">
        <v>2351</v>
      </c>
    </row>
    <row r="18" spans="1:7" s="257" customFormat="1" ht="13.5" hidden="1" customHeight="1">
      <c r="A18" s="270" t="s">
        <v>14</v>
      </c>
      <c r="B18" s="258" t="s">
        <v>2353</v>
      </c>
      <c r="C18" s="263">
        <v>0</v>
      </c>
      <c r="D18" s="1034"/>
      <c r="E18" s="261"/>
      <c r="F18" s="264">
        <v>3.0499999999999999E-2</v>
      </c>
      <c r="G18" s="262" t="s">
        <v>2354</v>
      </c>
    </row>
    <row r="19" spans="1:7" s="266" customFormat="1" ht="13.5" customHeight="1">
      <c r="A19" s="298" t="s">
        <v>2355</v>
      </c>
      <c r="B19" s="253" t="s">
        <v>2356</v>
      </c>
      <c r="C19" s="254">
        <f ca="1">IF(G19="已包含在土地取得成本中","0",ROUND(D19*E19/10000,0))</f>
        <v>3</v>
      </c>
      <c r="D19" s="1036">
        <f ca="1">D9+D10</f>
        <v>133.31</v>
      </c>
      <c r="E19" s="254">
        <f>'数据-取费表'!B31</f>
        <v>200</v>
      </c>
      <c r="F19" s="274"/>
      <c r="G19" s="2545"/>
    </row>
    <row r="20" spans="1:7" s="257" customFormat="1" ht="13.5" customHeight="1">
      <c r="A20" s="298" t="s">
        <v>2357</v>
      </c>
      <c r="B20" s="253" t="s">
        <v>2358</v>
      </c>
      <c r="C20" s="275">
        <f ca="1">ROUND((C5+C19)*F20,0)</f>
        <v>0</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0</v>
      </c>
      <c r="D22" s="278">
        <f ca="1">C26</f>
        <v>1E-3</v>
      </c>
      <c r="E22" s="279" t="s">
        <v>2362</v>
      </c>
      <c r="F22" s="280">
        <f ca="1">'数据-取费表'!B40</f>
        <v>4.7500000000000001E-2</v>
      </c>
      <c r="G22" s="277" t="str">
        <f>IF('数据-取费表'!B22&lt;=1,"单利计息","复利计息")</f>
        <v>复利计息</v>
      </c>
    </row>
    <row r="23" spans="1:7" s="257" customFormat="1" ht="13.5" customHeight="1">
      <c r="A23" s="951" t="s">
        <v>2366</v>
      </c>
      <c r="B23" s="258" t="s">
        <v>2367</v>
      </c>
      <c r="C23" s="1351">
        <f ca="1">ROUND(IF('数据-取费表'!B22&lt;=1,C5*F22*'数据-取费表'!B23,C5*(POWER((1+F22),'数据-取费表'!B23)-1)),0)</f>
        <v>0</v>
      </c>
      <c r="D23" s="281"/>
      <c r="E23" s="281"/>
      <c r="F23" s="282"/>
      <c r="G23" s="283" t="s">
        <v>2368</v>
      </c>
    </row>
    <row r="24" spans="1:7" s="257" customFormat="1" ht="13.5" customHeight="1">
      <c r="A24" s="951"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51" t="s">
        <v>2372</v>
      </c>
      <c r="B25" s="258" t="s">
        <v>2373</v>
      </c>
      <c r="C25" s="1351">
        <f ca="1">ROUND(IF('数据-取费表'!B22&lt;=1,C20*F22*'数据-取费表'!B23/2,C20*(POWER((1+F22),'数据-取费表'!B23/2)-1)),0)</f>
        <v>0</v>
      </c>
      <c r="D25" s="281"/>
      <c r="E25" s="284"/>
      <c r="F25" s="282"/>
      <c r="G25" s="285" t="s">
        <v>2374</v>
      </c>
    </row>
    <row r="26" spans="1:7" s="257" customFormat="1">
      <c r="A26" s="951"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1</v>
      </c>
      <c r="D27" s="278">
        <f ca="1">C29</f>
        <v>3.0000000000000001E-3</v>
      </c>
      <c r="E27" s="279" t="s">
        <v>2378</v>
      </c>
      <c r="F27" s="289">
        <f ca="1">IF(B1="",'数据-取费表'!Q16,INDIRECT("'数据-取费表'!q"&amp;$G$1))</f>
        <v>0.15</v>
      </c>
      <c r="G27" s="290" t="s">
        <v>2379</v>
      </c>
    </row>
    <row r="28" spans="1:7" s="257" customFormat="1" ht="13.5" customHeight="1">
      <c r="A28" s="951" t="s">
        <v>791</v>
      </c>
      <c r="B28" s="291" t="s">
        <v>2380</v>
      </c>
      <c r="C28" s="292">
        <f ca="1">ROUND((C5+C19+C20)*F27*'数据-取费表'!B21/'数据-取费表'!B20,0)</f>
        <v>1</v>
      </c>
      <c r="D28" s="278"/>
      <c r="E28" s="279"/>
      <c r="F28" s="289"/>
      <c r="G28" s="290"/>
    </row>
    <row r="29" spans="1:7" s="257" customFormat="1" ht="13.5" customHeight="1">
      <c r="A29" s="951"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5</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60</v>
      </c>
      <c r="D33" s="275"/>
      <c r="E33" s="255"/>
      <c r="F33" s="284"/>
      <c r="G33" s="277"/>
    </row>
    <row r="34" spans="1:7" s="301" customFormat="1" ht="13.5" customHeight="1">
      <c r="A34" s="951" t="s">
        <v>791</v>
      </c>
      <c r="B34" s="258" t="s">
        <v>2389</v>
      </c>
      <c r="C34" s="263">
        <f ca="1">IF(B1="",IF(F34=100%,'数据-取费表'!M16,'数据-取费表'!O16),IF(F34=100%,INDIRECT("'数据-取费表'!m"&amp;$G$1)+INDIRECT("'数据-取费表'!t"&amp;$G$1),INDIRECT("'数据-取费表'!o"&amp;$G$1)+INDIRECT("'数据-取费表'!aq"&amp;$G$1)))</f>
        <v>53</v>
      </c>
      <c r="D34" s="260"/>
      <c r="E34" s="263"/>
      <c r="F34" s="300">
        <f ca="1">IF('数据-取费表'!B24=0,1,IF(B1="",'数据-取费表'!N16,INDIRECT("'数据-取费表'!n"&amp;$G$1)))</f>
        <v>1</v>
      </c>
      <c r="G34" s="262" t="s">
        <v>2390</v>
      </c>
    </row>
    <row r="35" spans="1:7" ht="13.5" customHeight="1">
      <c r="A35" s="951" t="s">
        <v>796</v>
      </c>
      <c r="B35" s="258" t="s">
        <v>2391</v>
      </c>
      <c r="C35" s="263">
        <f ca="1">ROUND(C34*F35,0)</f>
        <v>3</v>
      </c>
      <c r="D35" s="263"/>
      <c r="E35" s="263"/>
      <c r="F35" s="302">
        <f>'数据-取费表'!B33</f>
        <v>0.05</v>
      </c>
      <c r="G35" s="262" t="s">
        <v>2392</v>
      </c>
    </row>
    <row r="36" spans="1:7" ht="24">
      <c r="A36" s="951"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1" t="s">
        <v>798</v>
      </c>
      <c r="B37" s="258" t="s">
        <v>2395</v>
      </c>
      <c r="C37" s="292">
        <f ca="1">ROUND(E37*D37*F34/10000,0)</f>
        <v>3</v>
      </c>
      <c r="D37" s="260">
        <f ca="1">D19</f>
        <v>133.31</v>
      </c>
      <c r="E37" s="292">
        <f>'数据-取费表'!B35</f>
        <v>200</v>
      </c>
      <c r="F37" s="302"/>
      <c r="G37" s="304" t="s">
        <v>2396</v>
      </c>
    </row>
    <row r="38" spans="1:7" ht="13.5" customHeight="1">
      <c r="A38" s="951" t="s">
        <v>799</v>
      </c>
      <c r="B38" s="258" t="s">
        <v>2397</v>
      </c>
      <c r="C38" s="263">
        <f ca="1">ROUND(C34*F38,0)</f>
        <v>1</v>
      </c>
      <c r="D38" s="263"/>
      <c r="E38" s="263"/>
      <c r="F38" s="302">
        <f>'数据-取费表'!B36</f>
        <v>1.4999999999999999E-2</v>
      </c>
      <c r="G38" s="262" t="s">
        <v>2392</v>
      </c>
    </row>
    <row r="39" spans="1:7" s="257" customFormat="1" ht="13.5" customHeight="1">
      <c r="A39" s="298" t="s">
        <v>2398</v>
      </c>
      <c r="B39" s="253" t="s">
        <v>2399</v>
      </c>
      <c r="C39" s="275">
        <f ca="1">ROUND(C33*F20,0)</f>
        <v>1</v>
      </c>
      <c r="D39" s="275"/>
      <c r="E39" s="275"/>
      <c r="F39" s="276"/>
      <c r="G39" s="277" t="s">
        <v>2400</v>
      </c>
    </row>
    <row r="40" spans="1:7" s="257" customFormat="1" ht="13.5" customHeight="1">
      <c r="A40" s="298" t="s">
        <v>2401</v>
      </c>
      <c r="B40" s="253" t="s">
        <v>2402</v>
      </c>
      <c r="C40" s="1723">
        <f>F21</f>
        <v>0.02</v>
      </c>
      <c r="D40" s="279" t="s">
        <v>2403</v>
      </c>
      <c r="E40" s="275"/>
      <c r="F40" s="276"/>
      <c r="G40" s="277" t="s">
        <v>2404</v>
      </c>
    </row>
    <row r="41" spans="1:7" s="257" customFormat="1" ht="13.5" customHeight="1">
      <c r="A41" s="298" t="s">
        <v>2405</v>
      </c>
      <c r="B41" s="253" t="s">
        <v>2406</v>
      </c>
      <c r="C41" s="275">
        <f ca="1">ROUND(SUM(C42:C43),0)</f>
        <v>3</v>
      </c>
      <c r="D41" s="278">
        <f ca="1">C44</f>
        <v>1E-3</v>
      </c>
      <c r="E41" s="279" t="s">
        <v>2403</v>
      </c>
      <c r="F41" s="280"/>
      <c r="G41" s="277" t="str">
        <f>IF('数据-取费表'!B22&lt;=1,"单利计息","复利计息")</f>
        <v>复利计息</v>
      </c>
    </row>
    <row r="42" spans="1:7" ht="13.5" customHeight="1">
      <c r="A42" s="951" t="s">
        <v>791</v>
      </c>
      <c r="B42" s="258" t="s">
        <v>2407</v>
      </c>
      <c r="C42" s="281">
        <f ca="1">ROUND(IF('数据-取费表'!B22&lt;=1,C33*F22*'数据-取费表'!B21/2,C33*(POWER((1+F22),'数据-取费表'!B21/2)-1)),0)</f>
        <v>3</v>
      </c>
      <c r="D42" s="281"/>
      <c r="E42" s="281"/>
      <c r="F42" s="282"/>
      <c r="G42" s="3210" t="s">
        <v>2408</v>
      </c>
    </row>
    <row r="43" spans="1:7" ht="13.5" customHeight="1">
      <c r="A43" s="951" t="s">
        <v>792</v>
      </c>
      <c r="B43" s="258" t="s">
        <v>2409</v>
      </c>
      <c r="C43" s="281">
        <f ca="1">ROUND(IF('数据-取费表'!B22&lt;=1,C39*F22*'数据-取费表'!B21/2,C39*(POWER((1+F22),'数据-取费表'!B21/2)-1)),0)</f>
        <v>0</v>
      </c>
      <c r="D43" s="281"/>
      <c r="E43" s="281"/>
      <c r="F43" s="282"/>
      <c r="G43" s="3211"/>
    </row>
    <row r="44" spans="1:7" ht="13.5" customHeight="1">
      <c r="A44" s="951" t="s">
        <v>793</v>
      </c>
      <c r="B44" s="258" t="s">
        <v>2410</v>
      </c>
      <c r="C44" s="281">
        <f ca="1">ROUND(IF('数据-取费表'!B22&lt;=1,C40*F22*'数据-取费表'!B21/2,C40*(POWER((1+F22),'数据-取费表'!B21/2)-1)),4)</f>
        <v>1E-3</v>
      </c>
      <c r="D44" s="281"/>
      <c r="E44" s="281"/>
      <c r="F44" s="282"/>
      <c r="G44" s="3212"/>
    </row>
    <row r="45" spans="1:7" s="257" customFormat="1" ht="13.5" customHeight="1">
      <c r="A45" s="298" t="s">
        <v>2411</v>
      </c>
      <c r="B45" s="287" t="s">
        <v>2377</v>
      </c>
      <c r="C45" s="288">
        <f ca="1">C46</f>
        <v>9</v>
      </c>
      <c r="D45" s="278">
        <f ca="1">C47</f>
        <v>3.0000000000000001E-3</v>
      </c>
      <c r="E45" s="279" t="s">
        <v>2403</v>
      </c>
      <c r="F45" s="289"/>
      <c r="G45" s="290" t="s">
        <v>2412</v>
      </c>
    </row>
    <row r="46" spans="1:7" s="257" customFormat="1" ht="13.5" customHeight="1">
      <c r="A46" s="951" t="s">
        <v>791</v>
      </c>
      <c r="B46" s="291" t="s">
        <v>2413</v>
      </c>
      <c r="C46" s="292">
        <f ca="1">ROUND((C33+C39)*F27,0)</f>
        <v>9</v>
      </c>
      <c r="D46" s="306"/>
      <c r="E46" s="279"/>
      <c r="F46" s="289"/>
      <c r="G46" s="290"/>
    </row>
    <row r="47" spans="1:7" s="257" customFormat="1" ht="13.5" customHeight="1">
      <c r="A47" s="951" t="s">
        <v>792</v>
      </c>
      <c r="B47" s="291" t="s">
        <v>2414</v>
      </c>
      <c r="C47" s="281">
        <f ca="1">ROUND(C40*F27,4)</f>
        <v>3.0000000000000001E-3</v>
      </c>
      <c r="D47" s="306"/>
      <c r="E47" s="279"/>
      <c r="F47" s="289"/>
      <c r="G47" s="290"/>
    </row>
    <row r="48" spans="1:7" s="257" customFormat="1" ht="13.5" customHeight="1">
      <c r="A48" s="298" t="s">
        <v>2376</v>
      </c>
      <c r="B48" s="253" t="s">
        <v>2415</v>
      </c>
      <c r="C48" s="1723">
        <f>ROUND(F30/(1+'数据-取费表'!C42),4)</f>
        <v>5.33E-2</v>
      </c>
      <c r="D48" s="279" t="s">
        <v>2403</v>
      </c>
      <c r="E48" s="275"/>
      <c r="F48" s="280"/>
      <c r="G48" s="277" t="s">
        <v>2416</v>
      </c>
    </row>
    <row r="49" spans="1:7" ht="16.5" customHeight="1">
      <c r="A49" s="298" t="s">
        <v>2382</v>
      </c>
      <c r="B49" s="253" t="s">
        <v>2417</v>
      </c>
      <c r="C49" s="275">
        <f ca="1">ROUND((C33+C39+C41+C45)/(1-C40-D41-D45-C48),0)</f>
        <v>79</v>
      </c>
      <c r="D49" s="275"/>
      <c r="E49" s="275"/>
      <c r="F49" s="307"/>
      <c r="G49" s="277" t="s">
        <v>2418</v>
      </c>
    </row>
    <row r="50" spans="1:7" s="301" customFormat="1" ht="24">
      <c r="A50" s="298" t="s">
        <v>2419</v>
      </c>
      <c r="B50" s="253" t="s">
        <v>2420</v>
      </c>
      <c r="C50" s="275"/>
      <c r="D50" s="275"/>
      <c r="E50" s="275"/>
      <c r="F50" s="307">
        <f>IF('数据-取费表'!B24=0,'数据-取费表'!N16,1)</f>
        <v>0.93</v>
      </c>
      <c r="G50" s="290" t="s">
        <v>2421</v>
      </c>
    </row>
    <row r="51" spans="1:7" ht="16.5" customHeight="1">
      <c r="A51" s="298" t="s">
        <v>2422</v>
      </c>
      <c r="B51" s="253" t="s">
        <v>2423</v>
      </c>
      <c r="C51" s="275">
        <f ca="1">ROUND(C49*F50,0)</f>
        <v>73</v>
      </c>
      <c r="D51" s="275"/>
      <c r="E51" s="275"/>
      <c r="F51" s="307"/>
      <c r="G51" s="277" t="s">
        <v>2424</v>
      </c>
    </row>
    <row r="52" spans="1:7" s="251" customFormat="1" ht="16.5" thickBot="1">
      <c r="A52" s="308" t="s">
        <v>2425</v>
      </c>
      <c r="B52" s="309"/>
      <c r="C52" s="310">
        <f ca="1">C31+C51</f>
        <v>78</v>
      </c>
      <c r="D52" s="309"/>
      <c r="E52" s="309"/>
      <c r="F52" s="309"/>
      <c r="G52" s="311"/>
    </row>
    <row r="55" spans="1:7" ht="15">
      <c r="B55" s="313" t="s">
        <v>2426</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1"/>
      <c r="C1" s="2548" t="s">
        <v>2427</v>
      </c>
      <c r="D1" s="241"/>
      <c r="E1" s="241"/>
      <c r="F1" s="241"/>
      <c r="G1" s="1375">
        <f>MATCH(B1,'数据-取费表'!A6:A16,0)+5</f>
        <v>7</v>
      </c>
      <c r="H1" s="1278" t="str">
        <f>IF(ISERROR(FIND("住宅",B1)),"非住宅","住宅")</f>
        <v>非住宅</v>
      </c>
    </row>
    <row r="2" spans="1:8" s="243" customFormat="1" ht="18" customHeight="1">
      <c r="A2" s="244" t="s">
        <v>2326</v>
      </c>
      <c r="B2" s="245">
        <f ca="1">ROUND(IF(D2="——",C52/10000,C52/10000-E2),0)</f>
        <v>79</v>
      </c>
      <c r="C2" s="242" t="s">
        <v>2327</v>
      </c>
      <c r="D2" s="2542" t="s">
        <v>70</v>
      </c>
      <c r="E2" s="1436" t="e">
        <f ca="1">SUMIF(INDIRECT("'"&amp;G2&amp;"'"&amp;"!A:A"),"承租人权益价值",INDIRECT("'"&amp;G2&amp;"'"&amp;"!c:c"))</f>
        <v>#REF!</v>
      </c>
      <c r="F2" s="2543" t="s">
        <v>2327</v>
      </c>
      <c r="G2" s="2544"/>
    </row>
    <row r="3" spans="1:8" s="243" customFormat="1" ht="18" customHeight="1" thickBot="1">
      <c r="A3" s="246" t="s">
        <v>2328</v>
      </c>
      <c r="B3" s="247">
        <f ca="1">ROUND(B2*10000/(IF(B1="",'数据-汇总表'!E3,INDIRECT("'数据-取费表'!k"&amp;$G$1))),0)</f>
        <v>5926</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13998</v>
      </c>
      <c r="D5" s="254" t="s">
        <v>2333</v>
      </c>
      <c r="E5" s="255" t="s">
        <v>2334</v>
      </c>
      <c r="F5" s="255" t="s">
        <v>2335</v>
      </c>
      <c r="G5" s="256"/>
    </row>
    <row r="6" spans="1:8" s="257" customFormat="1" ht="13.5" customHeight="1">
      <c r="A6" s="949" t="s">
        <v>2336</v>
      </c>
      <c r="B6" s="258" t="s">
        <v>2337</v>
      </c>
      <c r="C6" s="259"/>
      <c r="D6" s="260"/>
      <c r="E6" s="261"/>
      <c r="F6" s="261"/>
      <c r="G6" s="262"/>
    </row>
    <row r="7" spans="1:8" s="257" customFormat="1" ht="13.5" customHeight="1">
      <c r="A7" s="949" t="s">
        <v>2338</v>
      </c>
      <c r="B7" s="258" t="s">
        <v>2339</v>
      </c>
      <c r="C7" s="263">
        <f>ROUND(C6*F7,0)</f>
        <v>0</v>
      </c>
      <c r="D7" s="263"/>
      <c r="E7" s="261"/>
      <c r="F7" s="264">
        <f>'数据-取费表'!B48+'数据-取费表'!B49</f>
        <v>3.0499999999999999E-2</v>
      </c>
      <c r="G7" s="262"/>
    </row>
    <row r="8" spans="1:8" s="266" customFormat="1">
      <c r="A8" s="949" t="s">
        <v>2340</v>
      </c>
      <c r="B8" s="258" t="s">
        <v>2341</v>
      </c>
      <c r="C8" s="263">
        <f ca="1">IF(G8="已包含在土地购买价格中",0,C9+C10)</f>
        <v>13998</v>
      </c>
      <c r="D8" s="265"/>
      <c r="E8" s="263"/>
      <c r="F8" s="264"/>
      <c r="G8" s="2545"/>
    </row>
    <row r="9" spans="1:8" s="257" customFormat="1" ht="13.5" customHeight="1">
      <c r="A9" s="950" t="s">
        <v>800</v>
      </c>
      <c r="B9" s="267" t="s">
        <v>2342</v>
      </c>
      <c r="C9" s="268">
        <f ca="1">ROUND(D9*E9,0)</f>
        <v>0</v>
      </c>
      <c r="D9" s="1032">
        <f ca="1">IF(B1="",'数据-汇总表'!E5,IF(INDIRECT("'数据-取费表'!c"&amp;$G$1)="住宅",INDIRECT("'数据-取费表'!k"&amp;$G$1),0))</f>
        <v>0</v>
      </c>
      <c r="E9" s="268">
        <f>'数据-取费表'!B27</f>
        <v>105</v>
      </c>
      <c r="F9" s="264"/>
      <c r="G9" s="269"/>
    </row>
    <row r="10" spans="1:8" s="257" customFormat="1" ht="13.5" customHeight="1">
      <c r="A10" s="950" t="s">
        <v>801</v>
      </c>
      <c r="B10" s="267" t="s">
        <v>2344</v>
      </c>
      <c r="C10" s="268">
        <f ca="1">ROUND(D10*E10,0)</f>
        <v>13998</v>
      </c>
      <c r="D10" s="1032">
        <f ca="1">IF(B1="",'数据-汇总表'!E6,IF(INDIRECT("'数据-取费表'!c"&amp;$G$1)="住宅",INDIRECT("'数据-取费表'!s"&amp;$G$1),INDIRECT("'数据-取费表'!k"&amp;$G$1)+INDIRECT("'数据-取费表'!s"&amp;$G$1)))</f>
        <v>133.31</v>
      </c>
      <c r="E10" s="268">
        <f>'数据-取费表'!B28</f>
        <v>105</v>
      </c>
      <c r="F10" s="264"/>
      <c r="G10" s="269"/>
    </row>
    <row r="11" spans="1:8" s="257" customFormat="1" ht="13.5" hidden="1" customHeight="1">
      <c r="A11" s="270" t="s">
        <v>7</v>
      </c>
      <c r="B11" s="258" t="s">
        <v>2345</v>
      </c>
      <c r="C11" s="254"/>
      <c r="D11" s="1034"/>
      <c r="E11" s="261"/>
      <c r="F11" s="261"/>
      <c r="G11" s="262"/>
    </row>
    <row r="12" spans="1:8" s="257" customFormat="1" ht="13.5" hidden="1" customHeight="1">
      <c r="A12" s="270" t="s">
        <v>8</v>
      </c>
      <c r="B12" s="258" t="s">
        <v>2428</v>
      </c>
      <c r="C12" s="254">
        <v>0</v>
      </c>
      <c r="D12" s="1034"/>
      <c r="E12" s="271"/>
      <c r="F12" s="264">
        <v>3.0499999999999999E-2</v>
      </c>
      <c r="G12" s="262"/>
    </row>
    <row r="13" spans="1:8" s="257" customFormat="1" ht="13.5" hidden="1" customHeight="1">
      <c r="A13" s="270" t="s">
        <v>9</v>
      </c>
      <c r="B13" s="258" t="s">
        <v>2429</v>
      </c>
      <c r="C13" s="254"/>
      <c r="D13" s="1034"/>
      <c r="E13" s="261"/>
      <c r="F13" s="261"/>
      <c r="G13" s="262"/>
    </row>
    <row r="14" spans="1:8" s="257" customFormat="1" ht="13.5" hidden="1" customHeight="1">
      <c r="A14" s="270" t="s">
        <v>10</v>
      </c>
      <c r="B14" s="258" t="s">
        <v>2341</v>
      </c>
      <c r="C14" s="254"/>
      <c r="D14" s="1034"/>
      <c r="E14" s="261"/>
      <c r="F14" s="261"/>
      <c r="G14" s="262" t="s">
        <v>2430</v>
      </c>
    </row>
    <row r="15" spans="1:8" s="257" customFormat="1" ht="13.5" hidden="1" customHeight="1">
      <c r="A15" s="270" t="s">
        <v>11</v>
      </c>
      <c r="B15" s="258" t="s">
        <v>2431</v>
      </c>
      <c r="C15" s="263"/>
      <c r="D15" s="1034"/>
      <c r="E15" s="261"/>
      <c r="F15" s="261"/>
      <c r="G15" s="262" t="s">
        <v>2432</v>
      </c>
    </row>
    <row r="16" spans="1:8" s="257" customFormat="1" ht="13.5" hidden="1" customHeight="1">
      <c r="A16" s="270" t="s">
        <v>12</v>
      </c>
      <c r="B16" s="258" t="s">
        <v>2341</v>
      </c>
      <c r="C16" s="263"/>
      <c r="D16" s="1034"/>
      <c r="E16" s="261"/>
      <c r="F16" s="261"/>
      <c r="G16" s="262"/>
    </row>
    <row r="17" spans="1:7" s="257" customFormat="1" ht="13.5" hidden="1" customHeight="1">
      <c r="A17" s="270" t="s">
        <v>13</v>
      </c>
      <c r="B17" s="258" t="s">
        <v>2433</v>
      </c>
      <c r="C17" s="272"/>
      <c r="D17" s="1035"/>
      <c r="E17" s="272"/>
      <c r="F17" s="272"/>
      <c r="G17" s="262" t="s">
        <v>2432</v>
      </c>
    </row>
    <row r="18" spans="1:7" s="257" customFormat="1" ht="13.5" hidden="1" customHeight="1">
      <c r="A18" s="270" t="s">
        <v>14</v>
      </c>
      <c r="B18" s="258" t="s">
        <v>2434</v>
      </c>
      <c r="C18" s="263">
        <v>0</v>
      </c>
      <c r="D18" s="1034"/>
      <c r="E18" s="261"/>
      <c r="F18" s="264">
        <v>3.0499999999999999E-2</v>
      </c>
      <c r="G18" s="262" t="s">
        <v>2435</v>
      </c>
    </row>
    <row r="19" spans="1:7" s="266" customFormat="1" ht="13.5" customHeight="1">
      <c r="A19" s="298" t="s">
        <v>2436</v>
      </c>
      <c r="B19" s="253" t="s">
        <v>2437</v>
      </c>
      <c r="C19" s="254">
        <f ca="1">IF(G19="已包含在土地取得成本中","0",ROUND(D19*E19,0))</f>
        <v>26662</v>
      </c>
      <c r="D19" s="1036">
        <f ca="1">D9+D10</f>
        <v>133.31</v>
      </c>
      <c r="E19" s="254">
        <f>'数据-取费表'!B31</f>
        <v>200</v>
      </c>
      <c r="F19" s="274"/>
      <c r="G19" s="2545"/>
    </row>
    <row r="20" spans="1:7" s="257" customFormat="1" ht="13.5" customHeight="1">
      <c r="A20" s="298" t="s">
        <v>2438</v>
      </c>
      <c r="B20" s="253" t="s">
        <v>2439</v>
      </c>
      <c r="C20" s="275">
        <f ca="1">ROUND((C5+C19)*F20,0)</f>
        <v>813</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3993</v>
      </c>
      <c r="D22" s="278">
        <f ca="1">C26</f>
        <v>1E-3</v>
      </c>
      <c r="E22" s="279" t="s">
        <v>2443</v>
      </c>
      <c r="F22" s="280">
        <f ca="1">'数据-取费表'!B40</f>
        <v>4.7500000000000001E-2</v>
      </c>
      <c r="G22" s="277" t="str">
        <f>IF('数据-取费表'!B22&lt;=1,"单利计息","复利计息")</f>
        <v>复利计息</v>
      </c>
    </row>
    <row r="23" spans="1:7" s="257" customFormat="1" ht="13.5" customHeight="1">
      <c r="A23" s="951" t="s">
        <v>2336</v>
      </c>
      <c r="B23" s="258" t="s">
        <v>2447</v>
      </c>
      <c r="C23" s="1377">
        <f ca="1">ROUND(IF('数据-取费表'!B22&lt;=1,C5*F22*'数据-取费表'!B22,C5*(POWER((1+F22),'数据-取费表'!B22)-1)),0)</f>
        <v>1361</v>
      </c>
      <c r="D23" s="281"/>
      <c r="E23" s="281"/>
      <c r="F23" s="282"/>
      <c r="G23" s="283" t="s">
        <v>2448</v>
      </c>
    </row>
    <row r="24" spans="1:7" s="257" customFormat="1" ht="13.5" customHeight="1">
      <c r="A24" s="951" t="s">
        <v>2338</v>
      </c>
      <c r="B24" s="258" t="s">
        <v>2449</v>
      </c>
      <c r="C24" s="1377">
        <f ca="1">ROUND(IF('数据-取费表'!B22&lt;=1,C19*F22*('数据-取费表'!B19/2+'数据-取费表'!B20),C19*(POWER((1+F22),('数据-取费表'!B19/2+'数据-取费表'!B20))-1)),0)</f>
        <v>2593</v>
      </c>
      <c r="D24" s="281"/>
      <c r="E24" s="281"/>
      <c r="F24" s="282"/>
      <c r="G24" s="283" t="s">
        <v>2450</v>
      </c>
    </row>
    <row r="25" spans="1:7" s="257" customFormat="1" ht="24">
      <c r="A25" s="951" t="s">
        <v>2340</v>
      </c>
      <c r="B25" s="258" t="s">
        <v>2451</v>
      </c>
      <c r="C25" s="1377">
        <f ca="1">ROUND(IF('数据-取费表'!B22&lt;=1,C20*F22*'数据-取费表'!B22/2,C20*(POWER((1+F22),'数据-取费表'!B22/2)-1)),0)</f>
        <v>39</v>
      </c>
      <c r="D25" s="281"/>
      <c r="E25" s="284"/>
      <c r="F25" s="282"/>
      <c r="G25" s="285" t="s">
        <v>2452</v>
      </c>
    </row>
    <row r="26" spans="1:7" s="257" customFormat="1">
      <c r="A26" s="951"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6221</v>
      </c>
      <c r="D27" s="278">
        <f ca="1">C29</f>
        <v>3.0000000000000001E-3</v>
      </c>
      <c r="E27" s="279" t="s">
        <v>2378</v>
      </c>
      <c r="F27" s="289">
        <f ca="1">IF(B1="",'数据-取费表'!Q16,INDIRECT("'数据-取费表'!q"&amp;$G$1))</f>
        <v>0.15</v>
      </c>
      <c r="G27" s="290" t="s">
        <v>2379</v>
      </c>
    </row>
    <row r="28" spans="1:7" s="257" customFormat="1" ht="13.5" customHeight="1">
      <c r="A28" s="951" t="s">
        <v>791</v>
      </c>
      <c r="B28" s="291" t="s">
        <v>2380</v>
      </c>
      <c r="C28" s="292">
        <f ca="1">ROUND((C5+C19+C20)*F27,0)</f>
        <v>6221</v>
      </c>
      <c r="D28" s="278"/>
      <c r="E28" s="279"/>
      <c r="F28" s="289"/>
      <c r="G28" s="290"/>
    </row>
    <row r="29" spans="1:7" s="257" customFormat="1" ht="13.5" customHeight="1">
      <c r="A29" s="951"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56017</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594563</v>
      </c>
      <c r="D33" s="275"/>
      <c r="E33" s="255"/>
      <c r="F33" s="284"/>
      <c r="G33" s="277"/>
    </row>
    <row r="34" spans="1:7" s="301" customFormat="1" ht="13.5" customHeight="1">
      <c r="A34" s="951" t="s">
        <v>791</v>
      </c>
      <c r="B34" s="258" t="s">
        <v>2389</v>
      </c>
      <c r="C34" s="263">
        <f ca="1">ROUND(IF(B1="",SUMPRODUCT('数据-取费表'!K6:K14,'数据-取费表'!L6:L14),INDIRECT("'数据-取费表'!l"&amp;$G$1)*INDIRECT("'数据-取费表'!k"&amp;$G$1)+'数据-取费表'!L14*INDIRECT("'数据-取费表'!S"&amp;$G$1)),0)</f>
        <v>533240</v>
      </c>
      <c r="D34" s="260"/>
      <c r="E34" s="263"/>
      <c r="F34" s="300"/>
      <c r="G34" s="262"/>
    </row>
    <row r="35" spans="1:7" ht="13.5" customHeight="1">
      <c r="A35" s="951" t="s">
        <v>796</v>
      </c>
      <c r="B35" s="258" t="s">
        <v>2391</v>
      </c>
      <c r="C35" s="263">
        <f ca="1">ROUND(C34*F35,0)</f>
        <v>26662</v>
      </c>
      <c r="D35" s="263"/>
      <c r="E35" s="263"/>
      <c r="F35" s="302">
        <f>'数据-取费表'!B33</f>
        <v>0.05</v>
      </c>
      <c r="G35" s="262" t="s">
        <v>2392</v>
      </c>
    </row>
    <row r="36" spans="1:7" ht="24">
      <c r="A36" s="951"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1" t="s">
        <v>798</v>
      </c>
      <c r="B37" s="258" t="s">
        <v>2395</v>
      </c>
      <c r="C37" s="292">
        <f ca="1">ROUND(E37*D37,0)</f>
        <v>26662</v>
      </c>
      <c r="D37" s="260">
        <f ca="1">D19</f>
        <v>133.31</v>
      </c>
      <c r="E37" s="292">
        <f>'数据-取费表'!B35</f>
        <v>200</v>
      </c>
      <c r="F37" s="302"/>
      <c r="G37" s="304"/>
    </row>
    <row r="38" spans="1:7" ht="13.5" customHeight="1">
      <c r="A38" s="951" t="s">
        <v>799</v>
      </c>
      <c r="B38" s="258" t="s">
        <v>2397</v>
      </c>
      <c r="C38" s="263">
        <f ca="1">ROUND(C34*F38,0)</f>
        <v>7999</v>
      </c>
      <c r="D38" s="263"/>
      <c r="E38" s="263"/>
      <c r="F38" s="302">
        <f>'数据-取费表'!B36</f>
        <v>1.4999999999999999E-2</v>
      </c>
      <c r="G38" s="262" t="s">
        <v>2392</v>
      </c>
    </row>
    <row r="39" spans="1:7" s="257" customFormat="1" ht="13.5" customHeight="1">
      <c r="A39" s="298" t="s">
        <v>2398</v>
      </c>
      <c r="B39" s="253" t="s">
        <v>2399</v>
      </c>
      <c r="C39" s="275">
        <f ca="1">ROUND(C33*F20,0)</f>
        <v>11891</v>
      </c>
      <c r="D39" s="275"/>
      <c r="E39" s="275"/>
      <c r="F39" s="276"/>
      <c r="G39" s="277" t="s">
        <v>2400</v>
      </c>
    </row>
    <row r="40" spans="1:7" s="257" customFormat="1" ht="13.5" customHeight="1">
      <c r="A40" s="298" t="s">
        <v>2401</v>
      </c>
      <c r="B40" s="253" t="s">
        <v>2402</v>
      </c>
      <c r="C40" s="1723">
        <f>F21</f>
        <v>0.02</v>
      </c>
      <c r="D40" s="279" t="s">
        <v>2403</v>
      </c>
      <c r="E40" s="275"/>
      <c r="F40" s="276"/>
      <c r="G40" s="277" t="s">
        <v>2404</v>
      </c>
    </row>
    <row r="41" spans="1:7" s="257" customFormat="1" ht="13.5" customHeight="1">
      <c r="A41" s="298" t="s">
        <v>2405</v>
      </c>
      <c r="B41" s="253" t="s">
        <v>2406</v>
      </c>
      <c r="C41" s="275">
        <f ca="1">ROUND(SUM(C42:C43),0)</f>
        <v>28807</v>
      </c>
      <c r="D41" s="278">
        <f ca="1">C44</f>
        <v>1E-3</v>
      </c>
      <c r="E41" s="279" t="s">
        <v>2403</v>
      </c>
      <c r="F41" s="280"/>
      <c r="G41" s="277" t="str">
        <f>IF('数据-取费表'!B22&lt;=1,"单利计息","复利计息")</f>
        <v>复利计息</v>
      </c>
    </row>
    <row r="42" spans="1:7" ht="13.5" customHeight="1">
      <c r="A42" s="951" t="s">
        <v>791</v>
      </c>
      <c r="B42" s="258" t="s">
        <v>2407</v>
      </c>
      <c r="C42" s="281">
        <f ca="1">ROUND(IF('数据-取费表'!B22&lt;=1,C33*F22*'数据-取费表'!B20/2,C33*(POWER((1+F22),'数据-取费表'!B20/2)-1)),0)</f>
        <v>28242</v>
      </c>
      <c r="D42" s="281"/>
      <c r="E42" s="281"/>
      <c r="F42" s="282"/>
      <c r="G42" s="3210" t="s">
        <v>2455</v>
      </c>
    </row>
    <row r="43" spans="1:7" ht="13.5" customHeight="1">
      <c r="A43" s="951" t="s">
        <v>792</v>
      </c>
      <c r="B43" s="258" t="s">
        <v>2409</v>
      </c>
      <c r="C43" s="281">
        <f ca="1">ROUND(IF('数据-取费表'!B22&lt;=1,C39*F22*'数据-取费表'!B20/2,C39*(POWER((1+F22),'数据-取费表'!B20/2)-1)),0)</f>
        <v>565</v>
      </c>
      <c r="D43" s="281"/>
      <c r="E43" s="281"/>
      <c r="F43" s="282"/>
      <c r="G43" s="3211"/>
    </row>
    <row r="44" spans="1:7" ht="13.5" customHeight="1">
      <c r="A44" s="951" t="s">
        <v>793</v>
      </c>
      <c r="B44" s="258" t="s">
        <v>2410</v>
      </c>
      <c r="C44" s="281">
        <f ca="1">ROUND(IF('数据-取费表'!B22&lt;=1,C40*F22*'数据-取费表'!B20/2,C40*(POWER((1+F22),'数据-取费表'!B20/2)-1)),4)</f>
        <v>1E-3</v>
      </c>
      <c r="D44" s="281"/>
      <c r="E44" s="281"/>
      <c r="F44" s="282"/>
      <c r="G44" s="3212"/>
    </row>
    <row r="45" spans="1:7" s="257" customFormat="1" ht="13.5" customHeight="1">
      <c r="A45" s="298" t="s">
        <v>2411</v>
      </c>
      <c r="B45" s="287" t="s">
        <v>2377</v>
      </c>
      <c r="C45" s="288">
        <f ca="1">C46</f>
        <v>90968</v>
      </c>
      <c r="D45" s="278">
        <f ca="1">C47</f>
        <v>3.0000000000000001E-3</v>
      </c>
      <c r="E45" s="279" t="s">
        <v>2403</v>
      </c>
      <c r="F45" s="289"/>
      <c r="G45" s="290" t="s">
        <v>2412</v>
      </c>
    </row>
    <row r="46" spans="1:7" s="257" customFormat="1" ht="13.5" customHeight="1">
      <c r="A46" s="951" t="s">
        <v>791</v>
      </c>
      <c r="B46" s="291" t="s">
        <v>2413</v>
      </c>
      <c r="C46" s="292">
        <f ca="1">ROUND((C33+C39)*F27,0)</f>
        <v>90968</v>
      </c>
      <c r="D46" s="306"/>
      <c r="E46" s="279"/>
      <c r="F46" s="289"/>
      <c r="G46" s="290"/>
    </row>
    <row r="47" spans="1:7" s="257" customFormat="1" ht="13.5" customHeight="1">
      <c r="A47" s="951"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787069</v>
      </c>
      <c r="D49" s="275"/>
      <c r="E49" s="275"/>
      <c r="F49" s="307"/>
      <c r="G49" s="277" t="s">
        <v>2418</v>
      </c>
    </row>
    <row r="50" spans="1:7" s="301" customFormat="1">
      <c r="A50" s="298" t="s">
        <v>2419</v>
      </c>
      <c r="B50" s="253" t="s">
        <v>2420</v>
      </c>
      <c r="C50" s="275"/>
      <c r="D50" s="275"/>
      <c r="E50" s="275"/>
      <c r="F50" s="307">
        <f>IF('数据-取费表'!B24=0,'数据-取费表'!N16,1)</f>
        <v>0.93</v>
      </c>
      <c r="G50" s="290"/>
    </row>
    <row r="51" spans="1:7" ht="16.5" customHeight="1">
      <c r="A51" s="298" t="s">
        <v>2422</v>
      </c>
      <c r="B51" s="253" t="s">
        <v>2457</v>
      </c>
      <c r="C51" s="275">
        <f ca="1">ROUND(C49*F50,0)</f>
        <v>731974</v>
      </c>
      <c r="D51" s="275"/>
      <c r="E51" s="275"/>
      <c r="F51" s="307"/>
      <c r="G51" s="277" t="s">
        <v>2424</v>
      </c>
    </row>
    <row r="52" spans="1:7" s="251" customFormat="1" ht="16.5" thickBot="1">
      <c r="A52" s="308" t="s">
        <v>2425</v>
      </c>
      <c r="B52" s="309"/>
      <c r="C52" s="310">
        <f ca="1">C31+C51</f>
        <v>787991</v>
      </c>
      <c r="D52" s="309"/>
      <c r="E52" s="309"/>
      <c r="F52" s="309"/>
      <c r="G52" s="311"/>
    </row>
    <row r="55" spans="1:7" ht="15">
      <c r="B55" s="313" t="s">
        <v>2426</v>
      </c>
      <c r="C55" s="314"/>
    </row>
    <row r="56" spans="1:7">
      <c r="B56" s="316" t="s">
        <v>1513</v>
      </c>
      <c r="C56" s="318">
        <f ca="1">1-C57</f>
        <v>7.0999999999999952E-2</v>
      </c>
    </row>
    <row r="57" spans="1:7">
      <c r="B57" s="316" t="s">
        <v>1514</v>
      </c>
      <c r="C57" s="317">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2458</v>
      </c>
      <c r="B1" s="1577"/>
      <c r="C1" s="1578"/>
      <c r="D1" s="1576"/>
      <c r="E1" s="319"/>
      <c r="F1" s="319"/>
      <c r="G1" s="1577"/>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9" t="s">
        <v>2464</v>
      </c>
      <c r="D5" s="2549" t="s">
        <v>2465</v>
      </c>
      <c r="E5" s="2549" t="s">
        <v>2466</v>
      </c>
      <c r="F5" s="2549"/>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2470</v>
      </c>
      <c r="B8" s="176"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1334</v>
      </c>
      <c r="B11" s="972" t="s">
        <v>2479</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1335</v>
      </c>
      <c r="B12" s="972" t="s">
        <v>2480</v>
      </c>
      <c r="C12" s="24">
        <f ca="1">ROUND(C11*F12,0)</f>
        <v>0</v>
      </c>
      <c r="D12" s="973"/>
      <c r="E12" s="374"/>
      <c r="F12" s="976">
        <f>'数据-取费表'!B33</f>
        <v>0.05</v>
      </c>
      <c r="G12" s="8" t="s">
        <v>2481</v>
      </c>
      <c r="H12" s="968"/>
      <c r="I12" s="968"/>
      <c r="J12" s="968"/>
      <c r="K12" s="969"/>
    </row>
    <row r="13" spans="1:33" s="975" customFormat="1" ht="13.5" customHeight="1">
      <c r="A13" s="971" t="s">
        <v>1336</v>
      </c>
      <c r="B13" s="972" t="s">
        <v>2482</v>
      </c>
      <c r="C13" s="24">
        <f ca="1">ROUND(IF(C1="",SUMIF('数据-取费表'!C:C,"住宅",'数据-取费表'!P:P)*F13,IF(INDIRECT("'数据-取费表'!c"&amp;$K$1)="住宅",INDIRECT("'数据-取费表'!P"&amp;$K$1)*F13,0)),0)</f>
        <v>0</v>
      </c>
      <c r="D13" s="1033"/>
      <c r="E13" s="374"/>
      <c r="F13" s="976">
        <f>'数据-取费表'!B34</f>
        <v>0</v>
      </c>
      <c r="G13" s="8" t="s">
        <v>2483</v>
      </c>
      <c r="H13" s="968"/>
      <c r="I13" s="968"/>
      <c r="J13" s="968"/>
      <c r="K13" s="969"/>
    </row>
    <row r="14" spans="1:33" s="977" customFormat="1" ht="13.5" customHeight="1">
      <c r="A14" s="971" t="s">
        <v>1337</v>
      </c>
      <c r="B14" s="972" t="s">
        <v>2484</v>
      </c>
      <c r="C14" s="24">
        <f ca="1">ROUND(D14*E14*F11/10000,0)</f>
        <v>0</v>
      </c>
      <c r="D14" s="1033">
        <f ca="1">IF(C1="",'数据-汇总表'!E3,INDIRECT("'数据-取费表'!K"&amp;$K$1)+INDIRECT("'数据-取费表'!S"&amp;$K$1))</f>
        <v>133.31</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2486</v>
      </c>
      <c r="C15" s="983">
        <f ca="1">ROUND(C11*F15,0)</f>
        <v>0</v>
      </c>
      <c r="D15" s="978"/>
      <c r="E15" s="983"/>
      <c r="F15" s="984">
        <f>'数据-取费表'!B36</f>
        <v>1.4999999999999999E-2</v>
      </c>
      <c r="G15" s="139"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39"/>
      <c r="H16" s="1574"/>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133.31</v>
      </c>
      <c r="E17" s="24">
        <f>'数据-取费表'!B32</f>
        <v>0</v>
      </c>
      <c r="F17" s="978"/>
      <c r="G17" s="139" t="s">
        <v>2490</v>
      </c>
      <c r="H17" s="1574"/>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2491</v>
      </c>
      <c r="C18" s="24">
        <f ca="1">C19+C20-IF(C1="",'数据-取费表'!B29,IF(G18="已全部缴纳",C19+C20,H18))</f>
        <v>0</v>
      </c>
      <c r="D18" s="1033"/>
      <c r="E18" s="24"/>
      <c r="F18" s="976"/>
      <c r="G18" s="2551"/>
      <c r="H18" s="1573"/>
      <c r="I18" s="2552"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105</v>
      </c>
      <c r="F19" s="976"/>
      <c r="G19" s="15"/>
      <c r="H19" s="1575"/>
      <c r="I19" s="981"/>
      <c r="J19" s="981"/>
      <c r="K19" s="982"/>
    </row>
    <row r="20" spans="1:33" s="975" customFormat="1" ht="13.5" customHeight="1">
      <c r="A20" s="971" t="s">
        <v>806</v>
      </c>
      <c r="B20" s="972" t="s">
        <v>2494</v>
      </c>
      <c r="C20" s="24">
        <f ca="1">ROUND(D20*E20/10000,0)</f>
        <v>1</v>
      </c>
      <c r="D20" s="1033">
        <f ca="1">IF(C1="",'数据-汇总表'!E6,IF(INDIRECT("'数据-取费表'!c"&amp;$K$1)="住宅",INDIRECT("'数据-取费表'!s"&amp;$K$1),INDIRECT("'数据-取费表'!k"&amp;$K$1)+INDIRECT("'数据-取费表'!s"&amp;$K$1)))</f>
        <v>133.31</v>
      </c>
      <c r="E20" s="24">
        <f>'数据-取费表'!B28</f>
        <v>105</v>
      </c>
      <c r="F20" s="976"/>
      <c r="G20" s="15"/>
      <c r="H20" s="981"/>
      <c r="I20" s="981"/>
      <c r="J20" s="981"/>
      <c r="K20" s="982"/>
    </row>
    <row r="21" spans="1:33" s="975" customFormat="1" ht="13.5" customHeight="1">
      <c r="A21" s="961" t="s">
        <v>802</v>
      </c>
      <c r="B21" s="985" t="s">
        <v>2495</v>
      </c>
      <c r="C21" s="986">
        <f ca="1">C16+C17+C18</f>
        <v>0</v>
      </c>
      <c r="D21" s="987"/>
      <c r="E21" s="324"/>
      <c r="F21" s="324"/>
      <c r="G21" s="139" t="s">
        <v>2496</v>
      </c>
      <c r="H21" s="979"/>
      <c r="I21" s="979"/>
      <c r="J21" s="979"/>
      <c r="K21" s="980"/>
    </row>
    <row r="22" spans="1:33" s="975" customFormat="1" ht="13.5" customHeight="1">
      <c r="A22" s="961" t="s">
        <v>2468</v>
      </c>
      <c r="B22" s="985" t="s">
        <v>2497</v>
      </c>
      <c r="C22" s="986">
        <f ca="1">ROUND(C21*F22,0)</f>
        <v>0</v>
      </c>
      <c r="D22" s="324"/>
      <c r="E22" s="324"/>
      <c r="F22" s="988">
        <f>'数据-取费表'!B37</f>
        <v>0.02</v>
      </c>
      <c r="G22" s="8" t="s">
        <v>2498</v>
      </c>
      <c r="H22" s="968"/>
      <c r="I22" s="968"/>
      <c r="J22" s="968"/>
      <c r="K22" s="969"/>
    </row>
    <row r="23" spans="1:33" s="975" customFormat="1" ht="13.5" customHeight="1">
      <c r="A23" s="961" t="s">
        <v>2470</v>
      </c>
      <c r="B23" s="985" t="s">
        <v>2499</v>
      </c>
      <c r="C23" s="986">
        <f ca="1">ROUND(C4*F23*F11,0)</f>
        <v>0</v>
      </c>
      <c r="D23" s="324"/>
      <c r="E23" s="324"/>
      <c r="F23" s="988">
        <f>'数据-取费表'!B38</f>
        <v>0.02</v>
      </c>
      <c r="G23" s="8" t="s">
        <v>2500</v>
      </c>
      <c r="H23" s="968"/>
      <c r="I23" s="968"/>
      <c r="J23" s="968"/>
      <c r="K23" s="969"/>
    </row>
    <row r="24" spans="1:33" s="975" customFormat="1" ht="13.5" customHeight="1">
      <c r="A24" s="961" t="s">
        <v>2501</v>
      </c>
      <c r="B24" s="985" t="s">
        <v>2502</v>
      </c>
      <c r="C24" s="323">
        <f>ROUND(F24/(1+'数据-取费表'!C42),4)</f>
        <v>2.9000000000000001E-2</v>
      </c>
      <c r="D24" s="324" t="s">
        <v>15</v>
      </c>
      <c r="E24" s="324"/>
      <c r="F24" s="988">
        <f>'数据-取费表'!B48+'数据-取费表'!B49</f>
        <v>3.0499999999999999E-2</v>
      </c>
      <c r="G24" s="8" t="s">
        <v>2503</v>
      </c>
      <c r="H24" s="990"/>
      <c r="I24" s="990"/>
      <c r="J24" s="990"/>
      <c r="K24" s="991"/>
    </row>
    <row r="25" spans="1:33" s="975" customFormat="1" ht="13.5" customHeight="1">
      <c r="A25" s="961" t="s">
        <v>2504</v>
      </c>
      <c r="B25" s="987"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3">
        <f ca="1">ROUND(IF('数据-取费表'!B22&lt;=1,(1+C24)*F25*'数据-取费表'!B24,(1+C24)*(POWER((1+F25),'数据-取费表'!B24)-1)),4)</f>
        <v>0</v>
      </c>
      <c r="D26" s="327"/>
      <c r="E26" s="328"/>
      <c r="F26" s="329"/>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4">
        <f ca="1">ROUND(IF('数据-取费表'!B22&lt;=1,(C21+C22+C23)*F25*'数据-取费表'!B24/2,(C21+C22+C23)*(POWER((1+F25),'数据-取费表'!B24/2)-1)),0)</f>
        <v>0</v>
      </c>
      <c r="D27" s="327"/>
      <c r="E27" s="328"/>
      <c r="F27" s="329"/>
      <c r="G27" s="2553" t="str">
        <f>IF('数据-取费表'!B22&lt;=1,"（1）-（3）项×年利率×建设期÷2","（1）-（3）项×((1+年利率)^(建设期÷2)-1)")</f>
        <v>（1）-（3）项×((1+年利率)^(建设期÷2)-1)</v>
      </c>
      <c r="H27" s="979"/>
      <c r="I27" s="979"/>
      <c r="J27" s="979"/>
      <c r="K27" s="980"/>
    </row>
    <row r="28" spans="1:33" s="332" customFormat="1" ht="13.5" customHeight="1">
      <c r="A28" s="961" t="s">
        <v>2508</v>
      </c>
      <c r="B28" s="2554" t="s">
        <v>2509</v>
      </c>
      <c r="C28" s="330">
        <f ca="1">C30</f>
        <v>0</v>
      </c>
      <c r="D28" s="323">
        <f ca="1">C29</f>
        <v>0</v>
      </c>
      <c r="E28" s="325" t="s">
        <v>15</v>
      </c>
      <c r="F28" s="331">
        <f ca="1">IF(C1="",'数据-取费表'!Q16,INDIRECT("'数据-取费表'!q"&amp;$K$1))</f>
        <v>0.15</v>
      </c>
      <c r="G28" s="989"/>
      <c r="H28" s="990"/>
      <c r="I28" s="990"/>
      <c r="J28" s="990"/>
      <c r="K28" s="991"/>
    </row>
    <row r="29" spans="1:33" s="334" customFormat="1" ht="13.5" customHeight="1">
      <c r="A29" s="971" t="s">
        <v>803</v>
      </c>
      <c r="B29" s="994" t="s">
        <v>2510</v>
      </c>
      <c r="C29" s="327">
        <f ca="1">ROUND((1+C24)*F28*'数据-取费表'!B24/'数据-取费表'!B20,4)</f>
        <v>0</v>
      </c>
      <c r="D29" s="327"/>
      <c r="E29" s="328"/>
      <c r="F29" s="333"/>
      <c r="G29" s="139" t="s">
        <v>2511</v>
      </c>
      <c r="H29" s="979"/>
      <c r="I29" s="979"/>
      <c r="J29" s="979"/>
      <c r="K29" s="980"/>
    </row>
    <row r="30" spans="1:33" s="334" customFormat="1" ht="13.5" customHeight="1">
      <c r="A30" s="971" t="s">
        <v>804</v>
      </c>
      <c r="B30" s="994" t="s">
        <v>2512</v>
      </c>
      <c r="C30" s="335">
        <f ca="1">ROUND((C21+C22+C23)*F28,0)</f>
        <v>0</v>
      </c>
      <c r="D30" s="327"/>
      <c r="E30" s="328"/>
      <c r="F30" s="333"/>
      <c r="G30" s="139"/>
      <c r="H30" s="979"/>
      <c r="I30" s="979"/>
      <c r="J30" s="979"/>
      <c r="K30" s="980"/>
    </row>
    <row r="31" spans="1:33" s="975" customFormat="1" ht="13.5" customHeight="1" thickBot="1">
      <c r="A31" s="2555"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7" t="s">
        <v>2528</v>
      </c>
      <c r="C1" s="1630" t="s">
        <v>2529</v>
      </c>
      <c r="D1" s="1617"/>
      <c r="E1" s="2578"/>
      <c r="F1" s="2579" t="s">
        <v>2530</v>
      </c>
      <c r="G1" s="1627" t="s">
        <v>2531</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81"/>
      <c r="D2" s="1361" t="e">
        <f ca="1">SUMIF(INDIRECT("'"&amp;F2&amp;"'"&amp;"!A:A"),"承租人权益价值",INDIRECT("'"&amp;F2&amp;"'"&amp;"!c:c"))</f>
        <v>#REF!</v>
      </c>
      <c r="E2" s="2582" t="s">
        <v>2532</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1395</v>
      </c>
      <c r="B3" s="398" t="e">
        <f ca="1">IF(C2="——",C49,ROUND(B2*10000/D3,0))</f>
        <v>#DIV/0!</v>
      </c>
      <c r="C3" s="399" t="s">
        <v>2533</v>
      </c>
      <c r="D3" s="398">
        <f>IF(D1="",'数据-汇总表'!E3,SUMIF('数据-汇总表'!$C19:$C33,D1,'数据-汇总表'!$E19:$E33))</f>
        <v>133.31</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78"/>
    </row>
    <row r="4" spans="1:29" ht="15">
      <c r="A4" s="400" t="s">
        <v>2534</v>
      </c>
      <c r="B4" s="401"/>
      <c r="C4" s="3231" t="s">
        <v>2535</v>
      </c>
      <c r="D4" s="3232"/>
      <c r="E4" s="3233" t="s">
        <v>2536</v>
      </c>
      <c r="F4" s="3234"/>
      <c r="G4" s="3231" t="s">
        <v>2537</v>
      </c>
      <c r="H4" s="3232"/>
      <c r="I4" s="3231" t="s">
        <v>2538</v>
      </c>
      <c r="J4" s="3232"/>
      <c r="K4" s="2591" t="s">
        <v>2539</v>
      </c>
      <c r="L4" s="1130"/>
      <c r="M4" s="1131"/>
      <c r="N4" s="1131"/>
      <c r="O4" s="1131"/>
      <c r="P4" s="3235" t="s">
        <v>2540</v>
      </c>
      <c r="Q4" s="3236"/>
      <c r="R4" s="3218" t="s">
        <v>2536</v>
      </c>
      <c r="S4" s="3219"/>
      <c r="T4" s="3218" t="s">
        <v>2537</v>
      </c>
      <c r="U4" s="3219"/>
      <c r="V4" s="3243" t="s">
        <v>2538</v>
      </c>
      <c r="W4" s="3243"/>
      <c r="X4" s="1808"/>
      <c r="Y4" s="3218" t="s">
        <v>2540</v>
      </c>
      <c r="Z4" s="3219"/>
      <c r="AA4" s="3213" t="s">
        <v>2536</v>
      </c>
      <c r="AB4" s="3213" t="s">
        <v>2537</v>
      </c>
      <c r="AC4" s="3213" t="s">
        <v>2538</v>
      </c>
    </row>
    <row r="5" spans="1:29" ht="15">
      <c r="A5" s="403"/>
      <c r="B5" s="404"/>
      <c r="C5" s="3224" t="s">
        <v>2541</v>
      </c>
      <c r="D5" s="3225"/>
      <c r="E5" s="3222" t="s">
        <v>2542</v>
      </c>
      <c r="F5" s="3223"/>
      <c r="G5" s="3224" t="s">
        <v>2543</v>
      </c>
      <c r="H5" s="3225"/>
      <c r="I5" s="3224" t="s">
        <v>2544</v>
      </c>
      <c r="J5" s="3225"/>
      <c r="K5" s="2592"/>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2545</v>
      </c>
      <c r="D6" s="3227"/>
      <c r="E6" s="3228" t="s">
        <v>2545</v>
      </c>
      <c r="F6" s="3229"/>
      <c r="G6" s="3226" t="s">
        <v>2545</v>
      </c>
      <c r="H6" s="3227"/>
      <c r="I6" s="3226" t="s">
        <v>2545</v>
      </c>
      <c r="J6" s="3227"/>
      <c r="K6" s="2592"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SUMIF(58:58,YEAR(E7)&amp;"-"&amp;MONTH(E7),59:59)</f>
        <v>0</v>
      </c>
      <c r="G7" s="411"/>
      <c r="H7" s="410">
        <f>SUMIF(58:58,YEAR(G7)&amp;"-"&amp;MONTH(G7),59:59)</f>
        <v>0</v>
      </c>
      <c r="I7" s="411"/>
      <c r="J7" s="410">
        <f>SUMIF(58:58,YEAR(I7)&amp;"-"&amp;MONTH(I7),59:59)</f>
        <v>0</v>
      </c>
      <c r="K7" s="2593"/>
      <c r="L7" s="1132"/>
      <c r="M7" s="1133"/>
      <c r="N7" s="1133"/>
      <c r="O7" s="1133"/>
      <c r="P7" s="3216" t="s">
        <v>2548</v>
      </c>
      <c r="Q7" s="3244"/>
      <c r="R7" s="767" t="s">
        <v>23</v>
      </c>
      <c r="S7" s="768">
        <f t="shared" ref="S7:S15" si="0">F7</f>
        <v>0</v>
      </c>
      <c r="T7" s="767" t="s">
        <v>23</v>
      </c>
      <c r="U7" s="768">
        <f t="shared" ref="U7:U15" si="1">H7</f>
        <v>0</v>
      </c>
      <c r="V7" s="767" t="s">
        <v>23</v>
      </c>
      <c r="W7" s="768">
        <f t="shared" ref="W7:W15" si="2">J7</f>
        <v>0</v>
      </c>
      <c r="X7" s="769"/>
      <c r="Y7" s="3216" t="s">
        <v>2548</v>
      </c>
      <c r="Z7" s="3217"/>
      <c r="AA7" s="770" t="e">
        <f>D7/F7</f>
        <v>#DIV/0!</v>
      </c>
      <c r="AB7" s="770" t="e">
        <f>D7/H7</f>
        <v>#DIV/0!</v>
      </c>
      <c r="AC7" s="770" t="e">
        <f>D7/J7</f>
        <v>#DIV/0!</v>
      </c>
    </row>
    <row r="8" spans="1:29" s="117" customFormat="1" ht="15.75" thickBot="1">
      <c r="A8" s="407" t="s">
        <v>2549</v>
      </c>
      <c r="B8" s="408"/>
      <c r="C8" s="413" t="s">
        <v>2550</v>
      </c>
      <c r="D8" s="410">
        <v>100</v>
      </c>
      <c r="E8" s="2594"/>
      <c r="F8" s="412">
        <f>SUMIF(61:61,E8,62:62)-SUMIF(61:61,C8,62:62)+100</f>
        <v>0</v>
      </c>
      <c r="G8" s="413"/>
      <c r="H8" s="410">
        <f>SUMIF(61:61,G8,62:62)-SUMIF(61:61,C8,62:62)+100</f>
        <v>0</v>
      </c>
      <c r="I8" s="2594"/>
      <c r="J8" s="410">
        <f>SUMIF(61:61,I8,62:62)-SUMIF(61:61,C8,62:62)+100</f>
        <v>0</v>
      </c>
      <c r="K8" s="2593"/>
      <c r="L8" s="1132"/>
      <c r="M8" s="1133"/>
      <c r="N8" s="1133"/>
      <c r="O8" s="1133"/>
      <c r="P8" s="3216" t="s">
        <v>2551</v>
      </c>
      <c r="Q8" s="3217"/>
      <c r="R8" s="767" t="s">
        <v>23</v>
      </c>
      <c r="S8" s="768">
        <f t="shared" si="0"/>
        <v>0</v>
      </c>
      <c r="T8" s="767" t="s">
        <v>23</v>
      </c>
      <c r="U8" s="768">
        <f t="shared" si="1"/>
        <v>0</v>
      </c>
      <c r="V8" s="767" t="s">
        <v>23</v>
      </c>
      <c r="W8" s="768">
        <f t="shared" si="2"/>
        <v>0</v>
      </c>
      <c r="X8" s="769"/>
      <c r="Y8" s="3216" t="s">
        <v>2551</v>
      </c>
      <c r="Z8" s="3217"/>
      <c r="AA8" s="770" t="e">
        <f t="shared" ref="AA8:AA19" si="3">D8/F8</f>
        <v>#DIV/0!</v>
      </c>
      <c r="AB8" s="770" t="e">
        <f t="shared" ref="AB8:AB19" si="4">D8/H8</f>
        <v>#DIV/0!</v>
      </c>
      <c r="AC8" s="770"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3"/>
      <c r="L9" s="1132"/>
      <c r="M9" s="1133"/>
      <c r="N9" s="1133"/>
      <c r="O9" s="1133"/>
      <c r="P9" s="3230"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30"/>
      <c r="Q11" s="1790" t="str">
        <f t="shared" si="6"/>
        <v>容积率</v>
      </c>
      <c r="R11" s="767" t="s">
        <v>21</v>
      </c>
      <c r="S11" s="768" t="e">
        <f t="shared" si="0"/>
        <v>#N/A</v>
      </c>
      <c r="T11" s="767" t="s">
        <v>21</v>
      </c>
      <c r="U11" s="768" t="e">
        <f t="shared" si="1"/>
        <v>#N/A</v>
      </c>
      <c r="V11" s="767" t="s">
        <v>21</v>
      </c>
      <c r="W11" s="768" t="e">
        <f t="shared" si="2"/>
        <v>#N/A</v>
      </c>
      <c r="X11" s="769"/>
      <c r="Y11" s="3085"/>
      <c r="Z11" s="55" t="str">
        <f t="shared" si="7"/>
        <v>容积率</v>
      </c>
      <c r="AA11" s="770" t="e">
        <f t="shared" si="3"/>
        <v>#N/A</v>
      </c>
      <c r="AB11" s="770" t="e">
        <f t="shared" si="4"/>
        <v>#N/A</v>
      </c>
      <c r="AC11" s="770" t="e">
        <f t="shared" si="5"/>
        <v>#N/A</v>
      </c>
    </row>
    <row r="12" spans="1:29" s="117"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2"/>
      <c r="M12" s="1133"/>
      <c r="N12" s="1133"/>
      <c r="O12" s="1133"/>
      <c r="P12" s="3230"/>
      <c r="Q12" s="1790">
        <f t="shared" si="6"/>
        <v>111</v>
      </c>
      <c r="R12" s="767" t="s">
        <v>21</v>
      </c>
      <c r="S12" s="768">
        <f t="shared" si="0"/>
        <v>100</v>
      </c>
      <c r="T12" s="767" t="s">
        <v>21</v>
      </c>
      <c r="U12" s="768">
        <f t="shared" si="1"/>
        <v>100</v>
      </c>
      <c r="V12" s="767" t="s">
        <v>21</v>
      </c>
      <c r="W12" s="768">
        <f t="shared" si="2"/>
        <v>100</v>
      </c>
      <c r="X12" s="769"/>
      <c r="Y12" s="3085"/>
      <c r="Z12" s="55">
        <f t="shared" si="7"/>
        <v>111</v>
      </c>
      <c r="AA12" s="770">
        <f>D12/F12</f>
        <v>1</v>
      </c>
      <c r="AB12" s="770">
        <f>D12/H12</f>
        <v>1</v>
      </c>
      <c r="AC12" s="770">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40"/>
      <c r="M13" s="1131"/>
      <c r="N13" s="1131"/>
      <c r="O13" s="1131"/>
      <c r="P13" s="3230"/>
      <c r="Q13" s="1790">
        <f t="shared" si="6"/>
        <v>111</v>
      </c>
      <c r="R13" s="767" t="s">
        <v>21</v>
      </c>
      <c r="S13" s="768">
        <f t="shared" si="0"/>
        <v>100</v>
      </c>
      <c r="T13" s="767" t="s">
        <v>21</v>
      </c>
      <c r="U13" s="768">
        <f t="shared" si="1"/>
        <v>100</v>
      </c>
      <c r="V13" s="767" t="s">
        <v>21</v>
      </c>
      <c r="W13" s="768">
        <f t="shared" si="2"/>
        <v>100</v>
      </c>
      <c r="X13" s="769"/>
      <c r="Y13" s="3085"/>
      <c r="Z13" s="55">
        <f t="shared" si="7"/>
        <v>111</v>
      </c>
      <c r="AA13" s="770">
        <f t="shared" si="3"/>
        <v>1</v>
      </c>
      <c r="AB13" s="770">
        <f t="shared" si="4"/>
        <v>1</v>
      </c>
      <c r="AC13" s="770">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40"/>
      <c r="M14" s="1131"/>
      <c r="N14" s="1131"/>
      <c r="O14" s="1131"/>
      <c r="P14" s="3230"/>
      <c r="Q14" s="1790">
        <f t="shared" si="6"/>
        <v>111</v>
      </c>
      <c r="R14" s="767" t="s">
        <v>21</v>
      </c>
      <c r="S14" s="768">
        <f t="shared" si="0"/>
        <v>100</v>
      </c>
      <c r="T14" s="767" t="s">
        <v>21</v>
      </c>
      <c r="U14" s="768">
        <f t="shared" si="1"/>
        <v>100</v>
      </c>
      <c r="V14" s="767" t="s">
        <v>21</v>
      </c>
      <c r="W14" s="768">
        <f t="shared" si="2"/>
        <v>100</v>
      </c>
      <c r="X14" s="769"/>
      <c r="Y14" s="3085"/>
      <c r="Z14" s="55">
        <f t="shared" si="7"/>
        <v>111</v>
      </c>
      <c r="AA14" s="770">
        <f t="shared" si="3"/>
        <v>1</v>
      </c>
      <c r="AB14" s="770">
        <f t="shared" si="4"/>
        <v>1</v>
      </c>
      <c r="AC14" s="770">
        <f t="shared" si="5"/>
        <v>1</v>
      </c>
    </row>
    <row r="15" spans="1:29" ht="99.75">
      <c r="A15" s="439" t="s">
        <v>2558</v>
      </c>
      <c r="B15" s="69" t="s">
        <v>2086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57" t="s">
        <v>2559</v>
      </c>
      <c r="Q15" s="1805" t="str">
        <f t="shared" si="6"/>
        <v>居住社区成熟度</v>
      </c>
      <c r="R15" s="771" t="s">
        <v>21</v>
      </c>
      <c r="S15" s="772">
        <f t="shared" si="0"/>
        <v>100</v>
      </c>
      <c r="T15" s="771" t="s">
        <v>21</v>
      </c>
      <c r="U15" s="772">
        <f t="shared" si="1"/>
        <v>100</v>
      </c>
      <c r="V15" s="771" t="s">
        <v>21</v>
      </c>
      <c r="W15" s="772">
        <f t="shared" si="2"/>
        <v>100</v>
      </c>
      <c r="X15" s="1808"/>
      <c r="Y15" s="3250" t="s">
        <v>2559</v>
      </c>
      <c r="Z15" s="1809" t="str">
        <f t="shared" si="7"/>
        <v>居住社区成熟度</v>
      </c>
      <c r="AA15" s="1806">
        <f t="shared" si="3"/>
        <v>1</v>
      </c>
      <c r="AB15" s="1806">
        <f t="shared" si="4"/>
        <v>1</v>
      </c>
      <c r="AC15" s="1806">
        <f t="shared" si="5"/>
        <v>1</v>
      </c>
    </row>
    <row r="16" spans="1:29" ht="15">
      <c r="A16" s="427"/>
      <c r="B16" s="445"/>
      <c r="C16" s="446"/>
      <c r="D16" s="447"/>
      <c r="E16" s="2599"/>
      <c r="F16" s="447"/>
      <c r="G16" s="2600"/>
      <c r="H16" s="449"/>
      <c r="I16" s="2600"/>
      <c r="J16" s="447"/>
      <c r="K16" s="2601"/>
      <c r="L16" s="1140"/>
      <c r="M16" s="1131"/>
      <c r="N16" s="1131"/>
      <c r="O16" s="1131"/>
      <c r="P16" s="3258"/>
      <c r="Q16" s="1805"/>
      <c r="R16" s="771"/>
      <c r="S16" s="772"/>
      <c r="T16" s="771"/>
      <c r="U16" s="772"/>
      <c r="V16" s="771"/>
      <c r="W16" s="772"/>
      <c r="X16" s="1808"/>
      <c r="Y16" s="3251"/>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58"/>
      <c r="Q17" s="1805" t="str">
        <f>B17</f>
        <v>交通便捷度</v>
      </c>
      <c r="R17" s="771" t="s">
        <v>21</v>
      </c>
      <c r="S17" s="772">
        <f>F17</f>
        <v>100</v>
      </c>
      <c r="T17" s="771" t="s">
        <v>21</v>
      </c>
      <c r="U17" s="772">
        <f>H17</f>
        <v>100</v>
      </c>
      <c r="V17" s="771" t="s">
        <v>21</v>
      </c>
      <c r="W17" s="772">
        <f>J17</f>
        <v>100</v>
      </c>
      <c r="X17" s="1808"/>
      <c r="Y17" s="3251"/>
      <c r="Z17" s="1809" t="str">
        <f>Q17</f>
        <v>交通便捷度</v>
      </c>
      <c r="AA17" s="1806">
        <f t="shared" si="3"/>
        <v>1</v>
      </c>
      <c r="AB17" s="1806">
        <f t="shared" si="4"/>
        <v>1</v>
      </c>
      <c r="AC17" s="1806">
        <f t="shared" si="5"/>
        <v>1</v>
      </c>
    </row>
    <row r="18" spans="1:29" ht="15">
      <c r="A18" s="427"/>
      <c r="B18" s="455"/>
      <c r="C18" s="2603"/>
      <c r="D18" s="449"/>
      <c r="E18" s="2604"/>
      <c r="F18" s="449"/>
      <c r="G18" s="2605"/>
      <c r="H18" s="447"/>
      <c r="I18" s="2605"/>
      <c r="J18" s="447"/>
      <c r="K18" s="2601"/>
      <c r="L18" s="1140"/>
      <c r="M18" s="1131"/>
      <c r="N18" s="1131"/>
      <c r="O18" s="1131"/>
      <c r="P18" s="3258"/>
      <c r="Q18" s="1805"/>
      <c r="R18" s="771"/>
      <c r="S18" s="772"/>
      <c r="T18" s="771"/>
      <c r="U18" s="772"/>
      <c r="V18" s="771"/>
      <c r="W18" s="772"/>
      <c r="X18" s="1808"/>
      <c r="Y18" s="3251"/>
      <c r="Z18" s="1809"/>
      <c r="AA18" s="1806">
        <v>1</v>
      </c>
      <c r="AB18" s="1806">
        <v>1</v>
      </c>
      <c r="AC18" s="1806">
        <v>1</v>
      </c>
    </row>
    <row r="19" spans="1:29" ht="42.75">
      <c r="A19" s="427"/>
      <c r="B19" s="450" t="s">
        <v>2096</v>
      </c>
      <c r="C19" s="260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58"/>
      <c r="Q19" s="1805" t="str">
        <f>B19</f>
        <v>公共配套设施</v>
      </c>
      <c r="R19" s="771" t="s">
        <v>21</v>
      </c>
      <c r="S19" s="772">
        <f>F19</f>
        <v>100</v>
      </c>
      <c r="T19" s="771" t="s">
        <v>21</v>
      </c>
      <c r="U19" s="772">
        <f>H19</f>
        <v>100</v>
      </c>
      <c r="V19" s="771" t="s">
        <v>21</v>
      </c>
      <c r="W19" s="772">
        <f>J19</f>
        <v>100</v>
      </c>
      <c r="X19" s="1808"/>
      <c r="Y19" s="3251"/>
      <c r="Z19" s="1809" t="str">
        <f>Q19</f>
        <v>公共配套设施</v>
      </c>
      <c r="AA19" s="1806">
        <f t="shared" si="3"/>
        <v>1</v>
      </c>
      <c r="AB19" s="1806">
        <f t="shared" si="4"/>
        <v>1</v>
      </c>
      <c r="AC19" s="1806">
        <f t="shared" si="5"/>
        <v>1</v>
      </c>
    </row>
    <row r="20" spans="1:29" ht="15">
      <c r="A20" s="427"/>
      <c r="B20" s="455"/>
      <c r="C20" s="446"/>
      <c r="D20" s="447"/>
      <c r="E20" s="2599"/>
      <c r="F20" s="447"/>
      <c r="G20" s="2600"/>
      <c r="H20" s="447"/>
      <c r="I20" s="2600"/>
      <c r="J20" s="447"/>
      <c r="K20" s="2601"/>
      <c r="L20" s="1140"/>
      <c r="M20" s="1131"/>
      <c r="N20" s="1131"/>
      <c r="O20" s="1131"/>
      <c r="P20" s="3258"/>
      <c r="Q20" s="1805"/>
      <c r="R20" s="771"/>
      <c r="S20" s="772"/>
      <c r="T20" s="771"/>
      <c r="U20" s="772"/>
      <c r="V20" s="771"/>
      <c r="W20" s="772"/>
      <c r="X20" s="1808"/>
      <c r="Y20" s="3251"/>
      <c r="Z20" s="1809"/>
      <c r="AA20" s="1806">
        <v>1</v>
      </c>
      <c r="AB20" s="1806">
        <v>1</v>
      </c>
      <c r="AC20" s="1806">
        <v>1</v>
      </c>
    </row>
    <row r="21" spans="1:29" ht="28.5">
      <c r="A21" s="427"/>
      <c r="B21" s="1380" t="s">
        <v>2099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58"/>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7"/>
      <c r="G22" s="2606"/>
      <c r="H22" s="447"/>
      <c r="I22" s="446"/>
      <c r="J22" s="447"/>
      <c r="K22" s="2607"/>
      <c r="L22" s="1140"/>
      <c r="M22" s="1131"/>
      <c r="N22" s="1131"/>
      <c r="O22" s="1131"/>
      <c r="P22" s="3258"/>
      <c r="Q22" s="1805"/>
      <c r="R22" s="771"/>
      <c r="S22" s="772"/>
      <c r="T22" s="771"/>
      <c r="U22" s="772"/>
      <c r="V22" s="771"/>
      <c r="W22" s="772"/>
      <c r="X22" s="1808"/>
      <c r="Y22" s="3251"/>
      <c r="Z22" s="1809"/>
      <c r="AA22" s="1806">
        <v>1</v>
      </c>
      <c r="AB22" s="1806">
        <v>1</v>
      </c>
      <c r="AC22" s="1806">
        <v>1</v>
      </c>
    </row>
    <row r="23" spans="1:29" ht="57">
      <c r="A23" s="427"/>
      <c r="B23" s="450" t="s">
        <v>2103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58"/>
      <c r="Q23" s="1805" t="str">
        <f>B23</f>
        <v>自然及人文环境</v>
      </c>
      <c r="R23" s="771" t="s">
        <v>21</v>
      </c>
      <c r="S23" s="772">
        <f>F23</f>
        <v>100</v>
      </c>
      <c r="T23" s="771" t="s">
        <v>21</v>
      </c>
      <c r="U23" s="772">
        <f>H23</f>
        <v>100</v>
      </c>
      <c r="V23" s="771" t="s">
        <v>21</v>
      </c>
      <c r="W23" s="772">
        <f>J23</f>
        <v>100</v>
      </c>
      <c r="X23" s="1808"/>
      <c r="Y23" s="3251"/>
      <c r="Z23" s="1809" t="str">
        <f>Q23</f>
        <v>自然及人文环境</v>
      </c>
      <c r="AA23" s="1806">
        <f>D23/F23</f>
        <v>1</v>
      </c>
      <c r="AB23" s="1806">
        <f>D23/H23</f>
        <v>1</v>
      </c>
      <c r="AC23" s="1806">
        <f>D23/J23</f>
        <v>1</v>
      </c>
    </row>
    <row r="24" spans="1:29" ht="15">
      <c r="A24" s="427"/>
      <c r="B24" s="455"/>
      <c r="C24" s="446"/>
      <c r="D24" s="447"/>
      <c r="E24" s="2599"/>
      <c r="F24" s="447"/>
      <c r="G24" s="2600"/>
      <c r="H24" s="447"/>
      <c r="I24" s="2600"/>
      <c r="J24" s="447"/>
      <c r="K24" s="2601"/>
      <c r="L24" s="1140"/>
      <c r="M24" s="1131"/>
      <c r="N24" s="1131"/>
      <c r="O24" s="1131"/>
      <c r="P24" s="3258"/>
      <c r="Q24" s="1805"/>
      <c r="R24" s="771"/>
      <c r="S24" s="772"/>
      <c r="T24" s="771"/>
      <c r="U24" s="772"/>
      <c r="V24" s="771"/>
      <c r="W24" s="772"/>
      <c r="X24" s="1808"/>
      <c r="Y24" s="3251"/>
      <c r="Z24" s="1809"/>
      <c r="AA24" s="1806">
        <v>1</v>
      </c>
      <c r="AB24" s="1806">
        <v>1</v>
      </c>
      <c r="AC24" s="1806">
        <v>1</v>
      </c>
    </row>
    <row r="25" spans="1:29" ht="15">
      <c r="A25" s="427"/>
      <c r="B25" s="421" t="s">
        <v>2560</v>
      </c>
      <c r="C25" s="459"/>
      <c r="D25" s="434">
        <v>100</v>
      </c>
      <c r="E25" s="2608"/>
      <c r="F25" s="434">
        <f>SUMIF(86:86,E25,87:87)-SUMIF(86:86,C25,87:87)+100</f>
        <v>100</v>
      </c>
      <c r="G25" s="2609"/>
      <c r="H25" s="434">
        <f>SUMIF(86:86,G25,87:87)-SUMIF(86:86,C25,87:87)+100</f>
        <v>100</v>
      </c>
      <c r="I25" s="2609"/>
      <c r="J25" s="434">
        <f>SUMIF(86:86,I25,87:87)-SUMIF(86:86,C25,87:87)+100</f>
        <v>100</v>
      </c>
      <c r="K25" s="425"/>
      <c r="L25" s="1140"/>
      <c r="M25" s="1131"/>
      <c r="N25" s="1131"/>
      <c r="O25" s="1131"/>
      <c r="P25" s="3258"/>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51"/>
      <c r="Z25" s="1809" t="str">
        <f>Q25</f>
        <v>楼层-1</v>
      </c>
      <c r="AA25" s="1806">
        <f t="shared" ref="AA25:AA46" si="15">D25/F25</f>
        <v>1</v>
      </c>
      <c r="AB25" s="1806">
        <f t="shared" ref="AB25:AB46" si="16">D25/H25</f>
        <v>1</v>
      </c>
      <c r="AC25" s="1806">
        <f t="shared" ref="AC25:AC46" si="17">D25/J25</f>
        <v>1</v>
      </c>
    </row>
    <row r="26" spans="1:29" ht="15">
      <c r="A26" s="427"/>
      <c r="B26" s="421" t="s">
        <v>2561</v>
      </c>
      <c r="C26" s="459"/>
      <c r="D26" s="434">
        <v>100</v>
      </c>
      <c r="E26" s="2608"/>
      <c r="F26" s="434">
        <f>SUMIF(88:88,E26,89:89)-SUMIF(88:88,C26,89:89)+100</f>
        <v>100</v>
      </c>
      <c r="G26" s="2609"/>
      <c r="H26" s="434">
        <f>SUMIF(88:88,G26,89:89)-SUMIF(88:88,C26,89:89)+100</f>
        <v>100</v>
      </c>
      <c r="I26" s="2609"/>
      <c r="J26" s="434">
        <f>SUMIF(88:88,I26,89:89)-SUMIF(88:88,C26,89:89)+100</f>
        <v>100</v>
      </c>
      <c r="K26" s="425"/>
      <c r="L26" s="1140"/>
      <c r="M26" s="1131"/>
      <c r="N26" s="1131"/>
      <c r="O26" s="1131"/>
      <c r="P26" s="3258"/>
      <c r="Q26" s="1805" t="str">
        <f t="shared" si="11"/>
        <v>朝向</v>
      </c>
      <c r="R26" s="771" t="s">
        <v>21</v>
      </c>
      <c r="S26" s="772">
        <f t="shared" si="12"/>
        <v>100</v>
      </c>
      <c r="T26" s="771" t="s">
        <v>21</v>
      </c>
      <c r="U26" s="772">
        <f t="shared" si="13"/>
        <v>100</v>
      </c>
      <c r="V26" s="771" t="s">
        <v>21</v>
      </c>
      <c r="W26" s="772">
        <f t="shared" si="14"/>
        <v>100</v>
      </c>
      <c r="X26" s="1808"/>
      <c r="Y26" s="3251"/>
      <c r="Z26" s="1809" t="str">
        <f>Q26</f>
        <v>朝向</v>
      </c>
      <c r="AA26" s="1806">
        <f t="shared" si="15"/>
        <v>1</v>
      </c>
      <c r="AB26" s="1806">
        <f t="shared" si="16"/>
        <v>1</v>
      </c>
      <c r="AC26" s="1806">
        <f t="shared" si="17"/>
        <v>1</v>
      </c>
    </row>
    <row r="27" spans="1:29" s="117"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6"/>
      <c r="L27" s="1132"/>
      <c r="M27" s="1133"/>
      <c r="N27" s="1133"/>
      <c r="O27" s="1133"/>
      <c r="P27" s="3258"/>
      <c r="Q27" s="1790">
        <f t="shared" si="11"/>
        <v>111</v>
      </c>
      <c r="R27" s="767" t="s">
        <v>21</v>
      </c>
      <c r="S27" s="768">
        <f t="shared" si="12"/>
        <v>100</v>
      </c>
      <c r="T27" s="767" t="s">
        <v>21</v>
      </c>
      <c r="U27" s="768">
        <f t="shared" si="13"/>
        <v>100</v>
      </c>
      <c r="V27" s="767" t="s">
        <v>21</v>
      </c>
      <c r="W27" s="768">
        <f t="shared" si="14"/>
        <v>100</v>
      </c>
      <c r="X27" s="769"/>
      <c r="Y27" s="3251"/>
      <c r="Z27" s="55">
        <f>Q27</f>
        <v>111</v>
      </c>
      <c r="AA27" s="1806">
        <f t="shared" si="15"/>
        <v>1</v>
      </c>
      <c r="AB27" s="1806">
        <f t="shared" si="16"/>
        <v>1</v>
      </c>
      <c r="AC27" s="1806">
        <f t="shared" si="17"/>
        <v>1</v>
      </c>
    </row>
    <row r="28" spans="1:29" ht="15">
      <c r="A28" s="427"/>
      <c r="B28" s="1382">
        <v>111</v>
      </c>
      <c r="C28" s="433"/>
      <c r="D28" s="434">
        <v>100</v>
      </c>
      <c r="E28" s="433"/>
      <c r="F28" s="434">
        <f>SUMIF(92:92,E28,93:93)-SUMIF(92:92,C28,93:93)+100</f>
        <v>100</v>
      </c>
      <c r="G28" s="2610"/>
      <c r="H28" s="434">
        <f>SUMIF(92:92,G28,93:93)-SUMIF(92:92,C28,93:93)+100</f>
        <v>100</v>
      </c>
      <c r="I28" s="433"/>
      <c r="J28" s="434">
        <f>SUMIF(92:92,I28,93:93)-SUMIF(92:92,C28,93:93)+100</f>
        <v>100</v>
      </c>
      <c r="K28" s="2596"/>
      <c r="L28" s="1140"/>
      <c r="M28" s="1131"/>
      <c r="N28" s="1131"/>
      <c r="O28" s="1131"/>
      <c r="P28" s="3258"/>
      <c r="Q28" s="1805">
        <f t="shared" si="11"/>
        <v>111</v>
      </c>
      <c r="R28" s="771" t="s">
        <v>21</v>
      </c>
      <c r="S28" s="772">
        <f t="shared" si="12"/>
        <v>100</v>
      </c>
      <c r="T28" s="771" t="s">
        <v>21</v>
      </c>
      <c r="U28" s="772">
        <f t="shared" si="13"/>
        <v>100</v>
      </c>
      <c r="V28" s="771" t="s">
        <v>21</v>
      </c>
      <c r="W28" s="772">
        <f t="shared" si="14"/>
        <v>100</v>
      </c>
      <c r="X28" s="1808"/>
      <c r="Y28" s="3251"/>
      <c r="Z28" s="1809">
        <f t="shared" ref="Z28:Z46" si="18">Q28</f>
        <v>111</v>
      </c>
      <c r="AA28" s="1806">
        <f t="shared" si="15"/>
        <v>1</v>
      </c>
      <c r="AB28" s="1806">
        <f t="shared" si="16"/>
        <v>1</v>
      </c>
      <c r="AC28" s="1806">
        <f t="shared" si="17"/>
        <v>1</v>
      </c>
    </row>
    <row r="29" spans="1:29" ht="15">
      <c r="A29" s="427"/>
      <c r="B29" s="1382">
        <v>111</v>
      </c>
      <c r="C29" s="433"/>
      <c r="D29" s="434">
        <v>100</v>
      </c>
      <c r="E29" s="433"/>
      <c r="F29" s="434">
        <f>SUMIF(94:94,E29,95:95)-SUMIF(94:94,C29,95:95)+100</f>
        <v>100</v>
      </c>
      <c r="G29" s="2610"/>
      <c r="H29" s="434">
        <f>SUMIF(94:94,G29,95:95)-SUMIF(94:94,C29,95:95)+100</f>
        <v>100</v>
      </c>
      <c r="I29" s="433"/>
      <c r="J29" s="434">
        <f>SUMIF(94:94,I29,95:95)-SUMIF(94:94,C29,95:95)+100</f>
        <v>100</v>
      </c>
      <c r="K29" s="2596"/>
      <c r="L29" s="1140"/>
      <c r="M29" s="1131"/>
      <c r="N29" s="1131"/>
      <c r="O29" s="1131"/>
      <c r="P29" s="3258"/>
      <c r="Q29" s="1805">
        <f t="shared" si="11"/>
        <v>111</v>
      </c>
      <c r="R29" s="771" t="s">
        <v>21</v>
      </c>
      <c r="S29" s="772">
        <f t="shared" si="12"/>
        <v>100</v>
      </c>
      <c r="T29" s="771" t="s">
        <v>21</v>
      </c>
      <c r="U29" s="772">
        <f t="shared" si="13"/>
        <v>100</v>
      </c>
      <c r="V29" s="771" t="s">
        <v>21</v>
      </c>
      <c r="W29" s="772">
        <f t="shared" si="14"/>
        <v>100</v>
      </c>
      <c r="X29" s="1808"/>
      <c r="Y29" s="3251"/>
      <c r="Z29" s="1809">
        <f t="shared" si="18"/>
        <v>111</v>
      </c>
      <c r="AA29" s="1806">
        <f t="shared" si="15"/>
        <v>1</v>
      </c>
      <c r="AB29" s="1806">
        <f t="shared" si="16"/>
        <v>1</v>
      </c>
      <c r="AC29" s="1806">
        <f t="shared" si="17"/>
        <v>1</v>
      </c>
    </row>
    <row r="30" spans="1:29" ht="15">
      <c r="A30" s="427"/>
      <c r="B30" s="1382">
        <v>111</v>
      </c>
      <c r="C30" s="433"/>
      <c r="D30" s="434">
        <v>100</v>
      </c>
      <c r="E30" s="433"/>
      <c r="F30" s="434">
        <f>SUMIF(96:96,E30,97:97)-SUMIF(96:96,C30,97:97)+100</f>
        <v>100</v>
      </c>
      <c r="G30" s="2610"/>
      <c r="H30" s="434">
        <f>SUMIF(96:96,G30,97:97)-SUMIF(96:96,C30,97:97)+100</f>
        <v>100</v>
      </c>
      <c r="I30" s="433"/>
      <c r="J30" s="434">
        <f>SUMIF(96:96,I30,97:97)-SUMIF(96:96,C30,97:97)+100</f>
        <v>100</v>
      </c>
      <c r="K30" s="2596"/>
      <c r="L30" s="1140"/>
      <c r="M30" s="1131"/>
      <c r="N30" s="1131"/>
      <c r="O30" s="1131"/>
      <c r="P30" s="3258"/>
      <c r="Q30" s="1805">
        <f t="shared" si="11"/>
        <v>111</v>
      </c>
      <c r="R30" s="771" t="s">
        <v>21</v>
      </c>
      <c r="S30" s="772">
        <f t="shared" si="12"/>
        <v>100</v>
      </c>
      <c r="T30" s="771" t="s">
        <v>21</v>
      </c>
      <c r="U30" s="772">
        <f t="shared" si="13"/>
        <v>100</v>
      </c>
      <c r="V30" s="771" t="s">
        <v>21</v>
      </c>
      <c r="W30" s="772">
        <f t="shared" si="14"/>
        <v>100</v>
      </c>
      <c r="X30" s="1808"/>
      <c r="Y30" s="3251"/>
      <c r="Z30" s="1809">
        <f t="shared" si="18"/>
        <v>111</v>
      </c>
      <c r="AA30" s="1806">
        <f t="shared" si="15"/>
        <v>1</v>
      </c>
      <c r="AB30" s="1806">
        <f t="shared" si="16"/>
        <v>1</v>
      </c>
      <c r="AC30" s="1806">
        <f t="shared" si="17"/>
        <v>1</v>
      </c>
    </row>
    <row r="31" spans="1:29" ht="15.75" thickBot="1">
      <c r="A31" s="435"/>
      <c r="B31" s="1382">
        <v>111</v>
      </c>
      <c r="C31" s="436"/>
      <c r="D31" s="437">
        <v>100</v>
      </c>
      <c r="E31" s="436"/>
      <c r="F31" s="437">
        <f>SUMIF(98:98,E31,99:99)-SUMIF(98:98,C31,99:99)+100</f>
        <v>100</v>
      </c>
      <c r="G31" s="2611"/>
      <c r="H31" s="437">
        <f>SUMIF(98:98,G31,99:99)-SUMIF(98:98,C31,99:99)+100</f>
        <v>100</v>
      </c>
      <c r="I31" s="436"/>
      <c r="J31" s="437">
        <f>SUMIF(98:98,I31,99:99)-SUMIF(98:98,C31,99:99)+100</f>
        <v>100</v>
      </c>
      <c r="K31" s="2596"/>
      <c r="L31" s="1140"/>
      <c r="M31" s="1131"/>
      <c r="N31" s="1131"/>
      <c r="O31" s="1131"/>
      <c r="P31" s="3258"/>
      <c r="Q31" s="1805">
        <f t="shared" si="11"/>
        <v>111</v>
      </c>
      <c r="R31" s="771" t="s">
        <v>21</v>
      </c>
      <c r="S31" s="772">
        <f t="shared" si="12"/>
        <v>100</v>
      </c>
      <c r="T31" s="771" t="s">
        <v>21</v>
      </c>
      <c r="U31" s="772">
        <f t="shared" si="13"/>
        <v>100</v>
      </c>
      <c r="V31" s="771" t="s">
        <v>21</v>
      </c>
      <c r="W31" s="772">
        <f t="shared" si="14"/>
        <v>100</v>
      </c>
      <c r="X31" s="1808"/>
      <c r="Y31" s="3251"/>
      <c r="Z31" s="1809">
        <f t="shared" si="18"/>
        <v>111</v>
      </c>
      <c r="AA31" s="1806">
        <f t="shared" si="15"/>
        <v>1</v>
      </c>
      <c r="AB31" s="1806">
        <f t="shared" si="16"/>
        <v>1</v>
      </c>
      <c r="AC31" s="1806">
        <f t="shared" si="17"/>
        <v>1</v>
      </c>
    </row>
    <row r="32" spans="1:29" ht="15">
      <c r="A32" s="439" t="s">
        <v>2562</v>
      </c>
      <c r="B32" s="71" t="s">
        <v>2563</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40"/>
      <c r="M32" s="1131"/>
      <c r="N32" s="1131"/>
      <c r="O32" s="1131"/>
      <c r="P32" s="3252" t="s">
        <v>2564</v>
      </c>
      <c r="Q32" s="1805" t="str">
        <f t="shared" si="11"/>
        <v>建筑类型</v>
      </c>
      <c r="R32" s="771" t="s">
        <v>21</v>
      </c>
      <c r="S32" s="772">
        <f t="shared" si="12"/>
        <v>100</v>
      </c>
      <c r="T32" s="771" t="s">
        <v>21</v>
      </c>
      <c r="U32" s="772">
        <f t="shared" si="13"/>
        <v>100</v>
      </c>
      <c r="V32" s="771" t="s">
        <v>21</v>
      </c>
      <c r="W32" s="772">
        <f t="shared" si="14"/>
        <v>100</v>
      </c>
      <c r="X32" s="1808"/>
      <c r="Y32" s="3255" t="s">
        <v>2564</v>
      </c>
      <c r="Z32" s="1809" t="str">
        <f t="shared" si="18"/>
        <v>建筑类型</v>
      </c>
      <c r="AA32" s="1806">
        <f t="shared" si="15"/>
        <v>1</v>
      </c>
      <c r="AB32" s="1806">
        <f t="shared" si="16"/>
        <v>1</v>
      </c>
      <c r="AC32" s="1806">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6"/>
      <c r="L33" s="1138"/>
      <c r="M33" s="1141"/>
      <c r="N33" s="1141"/>
      <c r="O33" s="1141"/>
      <c r="P33" s="3253"/>
      <c r="Q33" s="773" t="str">
        <f t="shared" si="11"/>
        <v>项目建筑规模</v>
      </c>
      <c r="R33" s="774" t="s">
        <v>21</v>
      </c>
      <c r="S33" s="775" t="e">
        <f t="shared" si="12"/>
        <v>#N/A</v>
      </c>
      <c r="T33" s="774" t="s">
        <v>21</v>
      </c>
      <c r="U33" s="775" t="e">
        <f t="shared" si="13"/>
        <v>#N/A</v>
      </c>
      <c r="V33" s="774" t="s">
        <v>21</v>
      </c>
      <c r="W33" s="775" t="e">
        <f t="shared" si="14"/>
        <v>#N/A</v>
      </c>
      <c r="X33" s="776"/>
      <c r="Y33" s="3255"/>
      <c r="Z33" s="777" t="str">
        <f t="shared" si="18"/>
        <v>项目建筑规模</v>
      </c>
      <c r="AA33" s="1806" t="e">
        <f t="shared" si="15"/>
        <v>#N/A</v>
      </c>
      <c r="AB33" s="1806" t="e">
        <f t="shared" si="16"/>
        <v>#N/A</v>
      </c>
      <c r="AC33" s="1806" t="e">
        <f t="shared" si="17"/>
        <v>#N/A</v>
      </c>
    </row>
    <row r="34" spans="1:29" ht="15">
      <c r="A34" s="471"/>
      <c r="B34" s="421" t="s">
        <v>2566</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40"/>
      <c r="M34" s="1131"/>
      <c r="N34" s="1131"/>
      <c r="O34" s="1131"/>
      <c r="P34" s="3253"/>
      <c r="Q34" s="1805" t="str">
        <f t="shared" si="11"/>
        <v>建筑结构</v>
      </c>
      <c r="R34" s="771" t="s">
        <v>21</v>
      </c>
      <c r="S34" s="772">
        <f t="shared" si="12"/>
        <v>100</v>
      </c>
      <c r="T34" s="771" t="s">
        <v>21</v>
      </c>
      <c r="U34" s="772">
        <f t="shared" si="13"/>
        <v>100</v>
      </c>
      <c r="V34" s="771" t="s">
        <v>21</v>
      </c>
      <c r="W34" s="772">
        <f t="shared" si="14"/>
        <v>100</v>
      </c>
      <c r="X34" s="1808"/>
      <c r="Y34" s="3255"/>
      <c r="Z34" s="1809" t="str">
        <f t="shared" si="18"/>
        <v>建筑结构</v>
      </c>
      <c r="AA34" s="1806">
        <f t="shared" si="15"/>
        <v>1</v>
      </c>
      <c r="AB34" s="1806">
        <f t="shared" si="16"/>
        <v>1</v>
      </c>
      <c r="AC34" s="1806">
        <f t="shared" si="17"/>
        <v>1</v>
      </c>
    </row>
    <row r="35" spans="1:29" ht="15">
      <c r="A35" s="471"/>
      <c r="B35" s="421" t="s">
        <v>2567</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40"/>
      <c r="M35" s="1131"/>
      <c r="N35" s="1131"/>
      <c r="O35" s="1131"/>
      <c r="P35" s="3253"/>
      <c r="Q35" s="1805" t="str">
        <f t="shared" si="11"/>
        <v>建筑品质</v>
      </c>
      <c r="R35" s="771" t="s">
        <v>21</v>
      </c>
      <c r="S35" s="772">
        <f t="shared" si="12"/>
        <v>100</v>
      </c>
      <c r="T35" s="771" t="s">
        <v>21</v>
      </c>
      <c r="U35" s="772">
        <f t="shared" si="13"/>
        <v>100</v>
      </c>
      <c r="V35" s="771" t="s">
        <v>21</v>
      </c>
      <c r="W35" s="772">
        <f t="shared" si="14"/>
        <v>100</v>
      </c>
      <c r="X35" s="1808"/>
      <c r="Y35" s="3255"/>
      <c r="Z35" s="1809" t="str">
        <f t="shared" si="18"/>
        <v>建筑品质</v>
      </c>
      <c r="AA35" s="1806">
        <f t="shared" si="15"/>
        <v>1</v>
      </c>
      <c r="AB35" s="1806">
        <f t="shared" si="16"/>
        <v>1</v>
      </c>
      <c r="AC35" s="1806">
        <f t="shared" si="17"/>
        <v>1</v>
      </c>
    </row>
    <row r="36" spans="1:29" ht="15">
      <c r="A36" s="471"/>
      <c r="B36" s="421" t="s">
        <v>2568</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40"/>
      <c r="M36" s="1131"/>
      <c r="N36" s="1131"/>
      <c r="O36" s="1131"/>
      <c r="P36" s="3253"/>
      <c r="Q36" s="1805" t="str">
        <f t="shared" si="11"/>
        <v>公共部分装修</v>
      </c>
      <c r="R36" s="771" t="s">
        <v>21</v>
      </c>
      <c r="S36" s="772">
        <f t="shared" si="12"/>
        <v>100</v>
      </c>
      <c r="T36" s="771" t="s">
        <v>21</v>
      </c>
      <c r="U36" s="772">
        <f t="shared" si="13"/>
        <v>100</v>
      </c>
      <c r="V36" s="771" t="s">
        <v>21</v>
      </c>
      <c r="W36" s="772">
        <f t="shared" si="14"/>
        <v>100</v>
      </c>
      <c r="X36" s="1808"/>
      <c r="Y36" s="3255"/>
      <c r="Z36" s="1809" t="str">
        <f t="shared" si="18"/>
        <v>公共部分装修</v>
      </c>
      <c r="AA36" s="1806">
        <f t="shared" si="15"/>
        <v>1</v>
      </c>
      <c r="AB36" s="1806">
        <f t="shared" si="16"/>
        <v>1</v>
      </c>
      <c r="AC36" s="1806">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53"/>
      <c r="Q37" s="1790" t="str">
        <f t="shared" si="11"/>
        <v>成新度</v>
      </c>
      <c r="R37" s="767" t="s">
        <v>21</v>
      </c>
      <c r="S37" s="768" t="e">
        <f t="shared" si="12"/>
        <v>#N/A</v>
      </c>
      <c r="T37" s="767" t="s">
        <v>21</v>
      </c>
      <c r="U37" s="768" t="e">
        <f t="shared" si="13"/>
        <v>#N/A</v>
      </c>
      <c r="V37" s="767" t="s">
        <v>21</v>
      </c>
      <c r="W37" s="768" t="e">
        <f t="shared" si="14"/>
        <v>#N/A</v>
      </c>
      <c r="X37" s="769"/>
      <c r="Y37" s="3255"/>
      <c r="Z37" s="55" t="str">
        <f t="shared" si="18"/>
        <v>成新度</v>
      </c>
      <c r="AA37" s="770" t="e">
        <f t="shared" si="15"/>
        <v>#N/A</v>
      </c>
      <c r="AB37" s="770" t="e">
        <f t="shared" si="16"/>
        <v>#N/A</v>
      </c>
      <c r="AC37" s="770" t="e">
        <f t="shared" si="17"/>
        <v>#N/A</v>
      </c>
    </row>
    <row r="38" spans="1:29" ht="15">
      <c r="A38" s="471"/>
      <c r="B38" s="421" t="s">
        <v>2570</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40"/>
      <c r="M38" s="1131"/>
      <c r="N38" s="1131"/>
      <c r="O38" s="1131"/>
      <c r="P38" s="3253" t="s">
        <v>2564</v>
      </c>
      <c r="Q38" s="1805" t="str">
        <f t="shared" si="11"/>
        <v>物业管理</v>
      </c>
      <c r="R38" s="771" t="s">
        <v>21</v>
      </c>
      <c r="S38" s="772">
        <f t="shared" si="12"/>
        <v>100</v>
      </c>
      <c r="T38" s="771" t="s">
        <v>21</v>
      </c>
      <c r="U38" s="772">
        <f t="shared" si="13"/>
        <v>100</v>
      </c>
      <c r="V38" s="771" t="s">
        <v>21</v>
      </c>
      <c r="W38" s="772">
        <f t="shared" si="14"/>
        <v>100</v>
      </c>
      <c r="X38" s="1808"/>
      <c r="Y38" s="3255" t="s">
        <v>2564</v>
      </c>
      <c r="Z38" s="1809" t="str">
        <f t="shared" si="18"/>
        <v>物业管理</v>
      </c>
      <c r="AA38" s="1806">
        <f t="shared" si="15"/>
        <v>1</v>
      </c>
      <c r="AB38" s="1806">
        <f t="shared" si="16"/>
        <v>1</v>
      </c>
      <c r="AC38" s="1806">
        <f t="shared" si="17"/>
        <v>1</v>
      </c>
    </row>
    <row r="39" spans="1:29" ht="15">
      <c r="A39" s="471"/>
      <c r="B39" s="421" t="s">
        <v>2571</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40"/>
      <c r="M39" s="1131"/>
      <c r="N39" s="1131"/>
      <c r="O39" s="1131"/>
      <c r="P39" s="3253"/>
      <c r="Q39" s="1805" t="str">
        <f t="shared" si="11"/>
        <v>市政基础设施</v>
      </c>
      <c r="R39" s="771" t="s">
        <v>21</v>
      </c>
      <c r="S39" s="772">
        <f t="shared" si="12"/>
        <v>100</v>
      </c>
      <c r="T39" s="771" t="s">
        <v>21</v>
      </c>
      <c r="U39" s="772">
        <f t="shared" si="13"/>
        <v>100</v>
      </c>
      <c r="V39" s="771" t="s">
        <v>21</v>
      </c>
      <c r="W39" s="772">
        <f t="shared" si="14"/>
        <v>100</v>
      </c>
      <c r="X39" s="1808"/>
      <c r="Y39" s="3255"/>
      <c r="Z39" s="1809" t="str">
        <f t="shared" si="18"/>
        <v>市政基础设施</v>
      </c>
      <c r="AA39" s="1806">
        <f t="shared" si="15"/>
        <v>1</v>
      </c>
      <c r="AB39" s="1806">
        <f t="shared" si="16"/>
        <v>1</v>
      </c>
      <c r="AC39" s="1806">
        <f t="shared" si="17"/>
        <v>1</v>
      </c>
    </row>
    <row r="40" spans="1:29" ht="15">
      <c r="A40" s="471"/>
      <c r="B40" s="421" t="s">
        <v>2572</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40"/>
      <c r="M40" s="1131"/>
      <c r="N40" s="1131"/>
      <c r="O40" s="1131"/>
      <c r="P40" s="3253"/>
      <c r="Q40" s="1805" t="str">
        <f t="shared" si="11"/>
        <v>房型</v>
      </c>
      <c r="R40" s="771" t="s">
        <v>21</v>
      </c>
      <c r="S40" s="772">
        <f t="shared" si="12"/>
        <v>100</v>
      </c>
      <c r="T40" s="771" t="s">
        <v>21</v>
      </c>
      <c r="U40" s="772">
        <f t="shared" si="13"/>
        <v>100</v>
      </c>
      <c r="V40" s="771" t="s">
        <v>21</v>
      </c>
      <c r="W40" s="772">
        <f t="shared" si="14"/>
        <v>100</v>
      </c>
      <c r="X40" s="1808"/>
      <c r="Y40" s="3255"/>
      <c r="Z40" s="1809" t="str">
        <f t="shared" si="18"/>
        <v>房型</v>
      </c>
      <c r="AA40" s="1806">
        <f t="shared" si="15"/>
        <v>1</v>
      </c>
      <c r="AB40" s="1806">
        <f t="shared" si="16"/>
        <v>1</v>
      </c>
      <c r="AC40" s="1806">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8"/>
      <c r="M41" s="1141"/>
      <c r="N41" s="1141"/>
      <c r="O41" s="1141"/>
      <c r="P41" s="3253"/>
      <c r="Q41" s="773" t="str">
        <f t="shared" si="11"/>
        <v>单套/主力户型建筑面积</v>
      </c>
      <c r="R41" s="774" t="s">
        <v>21</v>
      </c>
      <c r="S41" s="775">
        <f t="shared" si="12"/>
        <v>100</v>
      </c>
      <c r="T41" s="774" t="s">
        <v>21</v>
      </c>
      <c r="U41" s="775">
        <f t="shared" si="13"/>
        <v>100</v>
      </c>
      <c r="V41" s="774" t="s">
        <v>21</v>
      </c>
      <c r="W41" s="775">
        <f t="shared" si="14"/>
        <v>100</v>
      </c>
      <c r="X41" s="776"/>
      <c r="Y41" s="3255"/>
      <c r="Z41" s="777" t="str">
        <f t="shared" si="18"/>
        <v>单套/主力户型建筑面积</v>
      </c>
      <c r="AA41" s="1806">
        <f t="shared" si="15"/>
        <v>1</v>
      </c>
      <c r="AB41" s="1806">
        <f t="shared" si="16"/>
        <v>1</v>
      </c>
      <c r="AC41" s="1806">
        <f t="shared" si="17"/>
        <v>1</v>
      </c>
    </row>
    <row r="42" spans="1:29" ht="15">
      <c r="A42" s="471"/>
      <c r="B42" s="421" t="s">
        <v>2574</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40"/>
      <c r="M42" s="1131"/>
      <c r="N42" s="1131"/>
      <c r="O42" s="1131"/>
      <c r="P42" s="3253"/>
      <c r="Q42" s="1805" t="str">
        <f t="shared" si="11"/>
        <v>内部装修</v>
      </c>
      <c r="R42" s="771" t="s">
        <v>21</v>
      </c>
      <c r="S42" s="772">
        <f t="shared" si="12"/>
        <v>100</v>
      </c>
      <c r="T42" s="771" t="s">
        <v>21</v>
      </c>
      <c r="U42" s="772">
        <f t="shared" si="13"/>
        <v>100</v>
      </c>
      <c r="V42" s="771" t="s">
        <v>21</v>
      </c>
      <c r="W42" s="772">
        <f t="shared" si="14"/>
        <v>100</v>
      </c>
      <c r="X42" s="1808"/>
      <c r="Y42" s="3255"/>
      <c r="Z42" s="1809" t="str">
        <f t="shared" si="18"/>
        <v>内部装修</v>
      </c>
      <c r="AA42" s="1806">
        <f t="shared" si="15"/>
        <v>1</v>
      </c>
      <c r="AB42" s="1806">
        <f t="shared" si="16"/>
        <v>1</v>
      </c>
      <c r="AC42" s="1806">
        <f t="shared" si="17"/>
        <v>1</v>
      </c>
    </row>
    <row r="43" spans="1:29" ht="15">
      <c r="A43" s="471"/>
      <c r="B43" s="421" t="s">
        <v>2575</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40"/>
      <c r="M43" s="1131"/>
      <c r="N43" s="1131"/>
      <c r="O43" s="1131"/>
      <c r="P43" s="3253"/>
      <c r="Q43" s="1805" t="str">
        <f t="shared" si="11"/>
        <v>内部装修维护情况</v>
      </c>
      <c r="R43" s="771" t="s">
        <v>21</v>
      </c>
      <c r="S43" s="772">
        <f t="shared" si="12"/>
        <v>100</v>
      </c>
      <c r="T43" s="771" t="s">
        <v>21</v>
      </c>
      <c r="U43" s="772">
        <f t="shared" si="13"/>
        <v>100</v>
      </c>
      <c r="V43" s="771" t="s">
        <v>21</v>
      </c>
      <c r="W43" s="772">
        <f t="shared" si="14"/>
        <v>100</v>
      </c>
      <c r="X43" s="1808"/>
      <c r="Y43" s="3255"/>
      <c r="Z43" s="1809" t="str">
        <f t="shared" si="18"/>
        <v>内部装修维护情况</v>
      </c>
      <c r="AA43" s="1806">
        <f t="shared" si="15"/>
        <v>1</v>
      </c>
      <c r="AB43" s="1806">
        <f t="shared" si="16"/>
        <v>1</v>
      </c>
      <c r="AC43" s="1806">
        <f t="shared" si="17"/>
        <v>1</v>
      </c>
    </row>
    <row r="44" spans="1:29" s="117"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2"/>
      <c r="M44" s="1133"/>
      <c r="N44" s="1133"/>
      <c r="O44" s="1133"/>
      <c r="P44" s="3253"/>
      <c r="Q44" s="1790">
        <f t="shared" si="11"/>
        <v>111</v>
      </c>
      <c r="R44" s="767" t="s">
        <v>21</v>
      </c>
      <c r="S44" s="768">
        <f t="shared" si="12"/>
        <v>100</v>
      </c>
      <c r="T44" s="767" t="s">
        <v>21</v>
      </c>
      <c r="U44" s="768">
        <f t="shared" si="13"/>
        <v>100</v>
      </c>
      <c r="V44" s="767" t="s">
        <v>21</v>
      </c>
      <c r="W44" s="768">
        <f t="shared" si="14"/>
        <v>100</v>
      </c>
      <c r="X44" s="769"/>
      <c r="Y44" s="3255"/>
      <c r="Z44" s="55">
        <f t="shared" si="18"/>
        <v>111</v>
      </c>
      <c r="AA44" s="770">
        <f t="shared" si="15"/>
        <v>1</v>
      </c>
      <c r="AB44" s="770">
        <f t="shared" si="16"/>
        <v>1</v>
      </c>
      <c r="AC44" s="770">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40"/>
      <c r="M45" s="1131"/>
      <c r="N45" s="1131"/>
      <c r="O45" s="1131"/>
      <c r="P45" s="3253"/>
      <c r="Q45" s="1805">
        <f t="shared" si="11"/>
        <v>111</v>
      </c>
      <c r="R45" s="771" t="s">
        <v>21</v>
      </c>
      <c r="S45" s="772">
        <f t="shared" si="12"/>
        <v>100</v>
      </c>
      <c r="T45" s="771" t="s">
        <v>21</v>
      </c>
      <c r="U45" s="772">
        <f t="shared" si="13"/>
        <v>100</v>
      </c>
      <c r="V45" s="771" t="s">
        <v>21</v>
      </c>
      <c r="W45" s="772">
        <f t="shared" si="14"/>
        <v>100</v>
      </c>
      <c r="X45" s="1808"/>
      <c r="Y45" s="3255"/>
      <c r="Z45" s="1809">
        <f t="shared" si="18"/>
        <v>111</v>
      </c>
      <c r="AA45" s="1806">
        <f t="shared" si="15"/>
        <v>1</v>
      </c>
      <c r="AB45" s="1806">
        <f t="shared" si="16"/>
        <v>1</v>
      </c>
      <c r="AC45" s="1806">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40"/>
      <c r="M46" s="1131"/>
      <c r="N46" s="1131"/>
      <c r="O46" s="1131"/>
      <c r="P46" s="3254"/>
      <c r="Q46" s="1805">
        <f t="shared" si="11"/>
        <v>111</v>
      </c>
      <c r="R46" s="771" t="s">
        <v>20</v>
      </c>
      <c r="S46" s="772">
        <f t="shared" si="12"/>
        <v>100</v>
      </c>
      <c r="T46" s="771" t="s">
        <v>20</v>
      </c>
      <c r="U46" s="772">
        <f t="shared" si="13"/>
        <v>100</v>
      </c>
      <c r="V46" s="771" t="s">
        <v>20</v>
      </c>
      <c r="W46" s="772">
        <f t="shared" si="14"/>
        <v>100</v>
      </c>
      <c r="X46" s="1808"/>
      <c r="Y46" s="3256"/>
      <c r="Z46" s="1809">
        <f t="shared" si="18"/>
        <v>111</v>
      </c>
      <c r="AA46" s="1806">
        <f t="shared" si="15"/>
        <v>1</v>
      </c>
      <c r="AB46" s="1806">
        <f t="shared" si="16"/>
        <v>1</v>
      </c>
      <c r="AC46" s="1806">
        <f t="shared" si="17"/>
        <v>1</v>
      </c>
    </row>
    <row r="47" spans="1:29" ht="15">
      <c r="A47" s="478" t="s">
        <v>2576</v>
      </c>
      <c r="B47" s="479"/>
      <c r="C47" s="1403" t="s">
        <v>19</v>
      </c>
      <c r="D47" s="1404"/>
      <c r="E47" s="1405"/>
      <c r="F47" s="1406"/>
      <c r="G47" s="1407"/>
      <c r="H47" s="1408"/>
      <c r="I47" s="1405"/>
      <c r="J47" s="1408"/>
      <c r="K47" s="2616"/>
      <c r="L47" s="1143"/>
      <c r="M47" s="1144"/>
      <c r="N47" s="1131"/>
      <c r="O47" s="1144"/>
      <c r="P47" s="3248" t="str">
        <f>A47</f>
        <v>成交单价（元/平方米）</v>
      </c>
      <c r="Q47" s="3248"/>
      <c r="R47" s="3249">
        <f>E47</f>
        <v>0</v>
      </c>
      <c r="S47" s="3249"/>
      <c r="T47" s="3249">
        <f>G47</f>
        <v>0</v>
      </c>
      <c r="U47" s="3249"/>
      <c r="V47" s="3249">
        <f>I47</f>
        <v>0</v>
      </c>
      <c r="W47" s="3249"/>
      <c r="X47" s="756"/>
      <c r="Y47" s="778"/>
      <c r="Z47" s="756"/>
      <c r="AA47" s="756"/>
      <c r="AB47" s="756"/>
      <c r="AC47" s="756"/>
    </row>
    <row r="48" spans="1:29" ht="15.75" thickBot="1">
      <c r="A48" s="485" t="s">
        <v>2577</v>
      </c>
      <c r="B48" s="486"/>
      <c r="C48" s="1409" t="e">
        <f>R49</f>
        <v>#DIV/0!</v>
      </c>
      <c r="D48" s="1410"/>
      <c r="E48" s="1411" t="e">
        <f>R48</f>
        <v>#DIV/0!</v>
      </c>
      <c r="F48" s="1411"/>
      <c r="G48" s="1409" t="e">
        <f>T48</f>
        <v>#DIV/0!</v>
      </c>
      <c r="H48" s="1410"/>
      <c r="I48" s="1411" t="e">
        <f>V48</f>
        <v>#DIV/0!</v>
      </c>
      <c r="J48" s="1410"/>
      <c r="K48" s="2617"/>
      <c r="L48" s="1143"/>
      <c r="M48" s="1144"/>
      <c r="N48" s="1144"/>
      <c r="O48" s="1144"/>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6"/>
      <c r="Y48" s="756"/>
      <c r="Z48" s="756"/>
      <c r="AA48" s="756"/>
      <c r="AB48" s="756"/>
      <c r="AC48" s="756"/>
    </row>
    <row r="49" spans="1:29" ht="15.75" thickBot="1">
      <c r="A49" s="491" t="s">
        <v>2578</v>
      </c>
      <c r="B49" s="492"/>
      <c r="C49" s="1412" t="e">
        <f>R49</f>
        <v>#DIV/0!</v>
      </c>
      <c r="D49" s="1413"/>
      <c r="E49" s="1413"/>
      <c r="F49" s="1413"/>
      <c r="G49" s="1413"/>
      <c r="H49" s="1413"/>
      <c r="I49" s="1413"/>
      <c r="J49" s="1413"/>
      <c r="K49" s="2618"/>
      <c r="L49" s="1143"/>
      <c r="M49" s="1144"/>
      <c r="N49" s="1144"/>
      <c r="O49" s="1144"/>
      <c r="P49" s="3245" t="str">
        <f>A49</f>
        <v>估价对象XX用房的比较价值（楼面单价，元/平方米）</v>
      </c>
      <c r="Q49" s="3246"/>
      <c r="R49" s="3247" t="e">
        <f>IF(F1="售价",ROUND(AVERAGE(R48:V48),0),ROUND(AVERAGE(R48:V48),1))</f>
        <v>#DIV/0!</v>
      </c>
      <c r="S49" s="3247"/>
      <c r="T49" s="3247"/>
      <c r="U49" s="3247"/>
      <c r="V49" s="3247"/>
      <c r="W49" s="324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0"/>
    </row>
    <row r="55" spans="1:29" s="501"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0" t="s">
        <v>2582</v>
      </c>
      <c r="B57" s="756"/>
      <c r="C57" s="761"/>
      <c r="D57" s="761"/>
      <c r="E57" s="761"/>
      <c r="F57" s="762"/>
      <c r="G57" s="762"/>
      <c r="H57" s="761"/>
      <c r="I57" s="761"/>
      <c r="J57" s="761"/>
      <c r="K57" s="1160"/>
      <c r="L57" s="1161"/>
      <c r="M57" s="1159"/>
      <c r="N57" s="1159"/>
      <c r="O57" s="1159"/>
      <c r="P57" s="2621"/>
      <c r="Q57" s="503"/>
    </row>
    <row r="58" spans="1:29" s="507" customFormat="1" ht="15">
      <c r="A58" s="504" t="s">
        <v>2583</v>
      </c>
      <c r="B58" s="505"/>
      <c r="C58" s="1572" t="str">
        <f>YEAR(C7)&amp;"-"&amp;MONTH(C7)</f>
        <v>2018-9</v>
      </c>
      <c r="D58" s="1571">
        <f>EDATE(C58,-1)</f>
        <v>43313</v>
      </c>
      <c r="E58" s="1571">
        <f>EDATE(D58,-1)</f>
        <v>43282</v>
      </c>
      <c r="F58" s="1571">
        <f t="shared" ref="F58:O58" si="19">EDATE(E58,-1)</f>
        <v>43252</v>
      </c>
      <c r="G58" s="1571">
        <f t="shared" si="19"/>
        <v>43221</v>
      </c>
      <c r="H58" s="1571">
        <f t="shared" si="19"/>
        <v>43191</v>
      </c>
      <c r="I58" s="1571">
        <f t="shared" si="19"/>
        <v>43160</v>
      </c>
      <c r="J58" s="1571">
        <f t="shared" si="19"/>
        <v>43132</v>
      </c>
      <c r="K58" s="1571">
        <f t="shared" si="19"/>
        <v>43101</v>
      </c>
      <c r="L58" s="1571">
        <f t="shared" si="19"/>
        <v>43070</v>
      </c>
      <c r="M58" s="1571">
        <f t="shared" si="19"/>
        <v>43040</v>
      </c>
      <c r="N58" s="1571">
        <f t="shared" si="19"/>
        <v>43009</v>
      </c>
      <c r="O58" s="1571">
        <f t="shared" si="19"/>
        <v>42979</v>
      </c>
      <c r="P58" s="1566"/>
    </row>
    <row r="59" spans="1:29" s="117" customFormat="1" ht="15">
      <c r="A59" s="508"/>
      <c r="B59" s="2622"/>
      <c r="C59" s="1569">
        <v>100</v>
      </c>
      <c r="D59" s="510"/>
      <c r="E59" s="511"/>
      <c r="F59" s="511"/>
      <c r="G59" s="511"/>
      <c r="H59" s="511"/>
      <c r="I59" s="511"/>
      <c r="J59" s="511"/>
      <c r="K59" s="511"/>
      <c r="L59" s="511"/>
      <c r="M59" s="512"/>
      <c r="N59" s="511"/>
      <c r="O59" s="512"/>
      <c r="P59" s="2623"/>
    </row>
    <row r="60" spans="1:29" s="117" customFormat="1" ht="15.75" thickBot="1">
      <c r="A60" s="514" t="s">
        <v>2584</v>
      </c>
      <c r="B60" s="515"/>
      <c r="C60" s="516"/>
      <c r="D60" s="517"/>
      <c r="E60" s="517"/>
      <c r="F60" s="517"/>
      <c r="G60" s="517"/>
      <c r="H60" s="517"/>
      <c r="I60" s="517"/>
      <c r="J60" s="517"/>
      <c r="K60" s="517"/>
      <c r="L60" s="517"/>
      <c r="M60" s="518"/>
      <c r="N60" s="517"/>
      <c r="O60" s="518"/>
      <c r="P60" s="2623"/>
      <c r="Q60" s="503"/>
    </row>
    <row r="61" spans="1:29" s="117" customFormat="1" ht="15">
      <c r="A61" s="520" t="s">
        <v>2585</v>
      </c>
      <c r="B61" s="509"/>
      <c r="C61" s="521" t="s">
        <v>2586</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2587</v>
      </c>
      <c r="B63" s="527" t="s">
        <v>2553</v>
      </c>
      <c r="C63" s="528">
        <f>C9</f>
        <v>0</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2"/>
      <c r="O65" s="1152"/>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5"/>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5"/>
      <c r="Q67" s="503"/>
    </row>
    <row r="68" spans="1:17" ht="15">
      <c r="A68" s="533"/>
      <c r="B68" s="547"/>
      <c r="C68" s="548"/>
      <c r="D68" s="548"/>
      <c r="E68" s="548"/>
      <c r="F68" s="548"/>
      <c r="G68" s="548"/>
      <c r="H68" s="548"/>
      <c r="I68" s="548"/>
      <c r="J68" s="548"/>
      <c r="K68" s="549"/>
      <c r="L68" s="550"/>
      <c r="M68" s="551"/>
      <c r="N68" s="1152"/>
      <c r="O68" s="1152"/>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5"/>
      <c r="Q69" s="503"/>
    </row>
    <row r="70" spans="1:17" s="470" customFormat="1" ht="15.75" thickTop="1">
      <c r="A70" s="552"/>
      <c r="B70" s="537">
        <f>B12</f>
        <v>111</v>
      </c>
      <c r="C70" s="553"/>
      <c r="D70" s="553"/>
      <c r="E70" s="553"/>
      <c r="F70" s="553"/>
      <c r="G70" s="553"/>
      <c r="H70" s="554"/>
      <c r="I70" s="554"/>
      <c r="J70" s="554"/>
      <c r="K70" s="554"/>
      <c r="L70" s="555"/>
      <c r="M70" s="556"/>
      <c r="N70" s="1154"/>
      <c r="O70" s="1154"/>
      <c r="P70" s="2626"/>
      <c r="Q70" s="558"/>
    </row>
    <row r="71" spans="1:17" s="470" customFormat="1" ht="15.75" thickBot="1">
      <c r="A71" s="552"/>
      <c r="B71" s="542"/>
      <c r="C71" s="559"/>
      <c r="D71" s="535"/>
      <c r="E71" s="535"/>
      <c r="F71" s="535"/>
      <c r="G71" s="535"/>
      <c r="H71" s="535"/>
      <c r="I71" s="535"/>
      <c r="J71" s="535"/>
      <c r="K71" s="535"/>
      <c r="L71" s="535"/>
      <c r="M71" s="536"/>
      <c r="N71" s="1153"/>
      <c r="O71" s="1153"/>
      <c r="P71" s="2626"/>
      <c r="Q71" s="558"/>
    </row>
    <row r="72" spans="1:17" s="470" customFormat="1" ht="15.75" thickTop="1">
      <c r="A72" s="552"/>
      <c r="B72" s="537">
        <f>B13</f>
        <v>111</v>
      </c>
      <c r="C72" s="553"/>
      <c r="D72" s="553"/>
      <c r="E72" s="553"/>
      <c r="F72" s="553"/>
      <c r="G72" s="553"/>
      <c r="H72" s="554"/>
      <c r="I72" s="554"/>
      <c r="J72" s="554"/>
      <c r="K72" s="554"/>
      <c r="L72" s="555"/>
      <c r="M72" s="556"/>
      <c r="N72" s="1154"/>
      <c r="O72" s="1154"/>
      <c r="P72" s="2627"/>
      <c r="Q72" s="560"/>
    </row>
    <row r="73" spans="1:17" s="470" customFormat="1" ht="15.75" thickBot="1">
      <c r="A73" s="552"/>
      <c r="B73" s="542"/>
      <c r="C73" s="559"/>
      <c r="D73" s="559"/>
      <c r="E73" s="559"/>
      <c r="F73" s="559"/>
      <c r="G73" s="559"/>
      <c r="H73" s="561"/>
      <c r="I73" s="561"/>
      <c r="J73" s="561"/>
      <c r="K73" s="561"/>
      <c r="L73" s="561"/>
      <c r="M73" s="562"/>
      <c r="N73" s="1154"/>
      <c r="O73" s="1154"/>
      <c r="P73" s="2626"/>
      <c r="Q73" s="558"/>
    </row>
    <row r="74" spans="1:17" s="470" customFormat="1" ht="15.75" thickTop="1">
      <c r="A74" s="552"/>
      <c r="B74" s="545">
        <f>B14</f>
        <v>111</v>
      </c>
      <c r="C74" s="553"/>
      <c r="D74" s="553"/>
      <c r="E74" s="553"/>
      <c r="F74" s="553"/>
      <c r="G74" s="522"/>
      <c r="H74" s="563"/>
      <c r="I74" s="563"/>
      <c r="J74" s="563"/>
      <c r="K74" s="563"/>
      <c r="L74" s="564"/>
      <c r="M74" s="565"/>
      <c r="N74" s="1154"/>
      <c r="O74" s="1154"/>
      <c r="P74" s="2628"/>
      <c r="Q74" s="558"/>
    </row>
    <row r="75" spans="1:17" s="470" customFormat="1" ht="15.75" thickBot="1">
      <c r="A75" s="567"/>
      <c r="B75" s="568"/>
      <c r="C75" s="569"/>
      <c r="D75" s="569"/>
      <c r="E75" s="569"/>
      <c r="F75" s="569"/>
      <c r="G75" s="569"/>
      <c r="H75" s="570"/>
      <c r="I75" s="570"/>
      <c r="J75" s="570"/>
      <c r="K75" s="570"/>
      <c r="L75" s="570"/>
      <c r="M75" s="571"/>
      <c r="N75" s="1154"/>
      <c r="O75" s="1154"/>
      <c r="P75" s="2626"/>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2"/>
      <c r="O76" s="1152"/>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2"/>
      <c r="O78" s="1152"/>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2"/>
      <c r="O80" s="1152"/>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5"/>
      <c r="Q81" s="503"/>
    </row>
    <row r="82" spans="1:17" ht="15.75" thickTop="1">
      <c r="A82" s="533"/>
      <c r="B82" s="545" t="s">
        <v>2099</v>
      </c>
      <c r="C82" s="538" t="s">
        <v>2603</v>
      </c>
      <c r="D82" s="538" t="s">
        <v>2604</v>
      </c>
      <c r="E82" s="538" t="s">
        <v>2605</v>
      </c>
      <c r="F82" s="538" t="s">
        <v>2606</v>
      </c>
      <c r="G82" s="538" t="s">
        <v>2607</v>
      </c>
      <c r="H82" s="538"/>
      <c r="I82" s="538"/>
      <c r="J82" s="538"/>
      <c r="K82" s="538"/>
      <c r="L82" s="538"/>
      <c r="M82" s="1378"/>
      <c r="N82" s="1153"/>
      <c r="O82" s="1153"/>
      <c r="P82" s="2625"/>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3"/>
      <c r="O83" s="1153"/>
      <c r="P83" s="262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2"/>
      <c r="O84" s="1152"/>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5"/>
      <c r="Q85" s="503"/>
    </row>
    <row r="86" spans="1:17" s="117" customFormat="1" ht="15.75" thickTop="1">
      <c r="A86" s="578"/>
      <c r="B86" s="537" t="s">
        <v>2609</v>
      </c>
      <c r="C86" s="553"/>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5"/>
      <c r="Q87" s="503"/>
    </row>
    <row r="88" spans="1:17" s="117" customFormat="1" ht="15.75" thickTop="1">
      <c r="A88" s="578"/>
      <c r="B88" s="537" t="s">
        <v>2610</v>
      </c>
      <c r="C88" s="553"/>
      <c r="D88" s="553"/>
      <c r="E88" s="553"/>
      <c r="F88" s="2630"/>
      <c r="G88" s="553"/>
      <c r="H88" s="553"/>
      <c r="I88" s="553"/>
      <c r="J88" s="553"/>
      <c r="K88" s="553"/>
      <c r="L88" s="553"/>
      <c r="M88" s="580"/>
      <c r="N88" s="1151"/>
      <c r="O88" s="1151"/>
      <c r="P88" s="262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5"/>
      <c r="Q89" s="503"/>
    </row>
    <row r="90" spans="1:17" s="470" customFormat="1" ht="15.75" thickTop="1">
      <c r="A90" s="552"/>
      <c r="B90" s="537">
        <f>B27</f>
        <v>111</v>
      </c>
      <c r="C90" s="553"/>
      <c r="D90" s="553"/>
      <c r="E90" s="553"/>
      <c r="F90" s="553"/>
      <c r="G90" s="553"/>
      <c r="H90" s="554"/>
      <c r="I90" s="554"/>
      <c r="J90" s="554"/>
      <c r="K90" s="554"/>
      <c r="L90" s="555"/>
      <c r="M90" s="556"/>
      <c r="N90" s="1154"/>
      <c r="O90" s="1154"/>
      <c r="P90" s="2626"/>
      <c r="Q90" s="558"/>
    </row>
    <row r="91" spans="1:17" s="470" customFormat="1" ht="15.75" thickBot="1">
      <c r="A91" s="552"/>
      <c r="B91" s="542"/>
      <c r="C91" s="559"/>
      <c r="D91" s="559"/>
      <c r="E91" s="559"/>
      <c r="F91" s="559"/>
      <c r="G91" s="559"/>
      <c r="H91" s="561"/>
      <c r="I91" s="561"/>
      <c r="J91" s="561"/>
      <c r="K91" s="561"/>
      <c r="L91" s="561"/>
      <c r="M91" s="562"/>
      <c r="N91" s="1154"/>
      <c r="O91" s="1154"/>
      <c r="P91" s="2626"/>
      <c r="Q91" s="558"/>
    </row>
    <row r="92" spans="1:17" ht="15.75" thickTop="1">
      <c r="A92" s="533"/>
      <c r="B92" s="537">
        <f>B28</f>
        <v>111</v>
      </c>
      <c r="C92" s="553"/>
      <c r="D92" s="553"/>
      <c r="E92" s="553"/>
      <c r="F92" s="553"/>
      <c r="G92" s="582"/>
      <c r="H92" s="582"/>
      <c r="I92" s="582"/>
      <c r="J92" s="582"/>
      <c r="K92" s="583"/>
      <c r="L92" s="584"/>
      <c r="M92" s="585"/>
      <c r="N92" s="1152"/>
      <c r="O92" s="1152"/>
      <c r="P92" s="2625"/>
      <c r="Q92" s="503"/>
    </row>
    <row r="93" spans="1:17" ht="15.75" thickBot="1">
      <c r="A93" s="533"/>
      <c r="B93" s="542"/>
      <c r="C93" s="559"/>
      <c r="D93" s="535"/>
      <c r="E93" s="535"/>
      <c r="F93" s="535"/>
      <c r="G93" s="535"/>
      <c r="H93" s="535"/>
      <c r="I93" s="535"/>
      <c r="J93" s="535"/>
      <c r="K93" s="535"/>
      <c r="L93" s="535"/>
      <c r="M93" s="536"/>
      <c r="N93" s="1153"/>
      <c r="O93" s="1153"/>
      <c r="P93" s="2625"/>
      <c r="Q93" s="503"/>
    </row>
    <row r="94" spans="1:17" ht="15.75" thickTop="1">
      <c r="A94" s="533"/>
      <c r="B94" s="537">
        <f>B29</f>
        <v>111</v>
      </c>
      <c r="C94" s="553"/>
      <c r="D94" s="553"/>
      <c r="E94" s="553"/>
      <c r="F94" s="553"/>
      <c r="G94" s="582"/>
      <c r="H94" s="582"/>
      <c r="I94" s="582"/>
      <c r="J94" s="582"/>
      <c r="K94" s="583"/>
      <c r="L94" s="584"/>
      <c r="M94" s="585"/>
      <c r="N94" s="1152"/>
      <c r="O94" s="1152"/>
      <c r="P94" s="2625"/>
      <c r="Q94" s="503"/>
    </row>
    <row r="95" spans="1:17" ht="15.75" thickBot="1">
      <c r="A95" s="533"/>
      <c r="B95" s="542"/>
      <c r="C95" s="559"/>
      <c r="D95" s="559"/>
      <c r="E95" s="559"/>
      <c r="F95" s="559"/>
      <c r="G95" s="535"/>
      <c r="H95" s="535"/>
      <c r="I95" s="535"/>
      <c r="J95" s="535"/>
      <c r="K95" s="535"/>
      <c r="L95" s="535"/>
      <c r="M95" s="536"/>
      <c r="N95" s="1153"/>
      <c r="O95" s="1153"/>
      <c r="P95" s="2625"/>
      <c r="Q95" s="503"/>
    </row>
    <row r="96" spans="1:17" ht="15.75" thickTop="1">
      <c r="A96" s="533"/>
      <c r="B96" s="537">
        <f>B30</f>
        <v>111</v>
      </c>
      <c r="C96" s="553"/>
      <c r="D96" s="553"/>
      <c r="E96" s="553"/>
      <c r="F96" s="553"/>
      <c r="G96" s="582"/>
      <c r="H96" s="582"/>
      <c r="I96" s="582"/>
      <c r="J96" s="582"/>
      <c r="K96" s="583"/>
      <c r="L96" s="584"/>
      <c r="M96" s="585"/>
      <c r="N96" s="1152"/>
      <c r="O96" s="1152"/>
      <c r="P96" s="2625"/>
      <c r="Q96" s="503"/>
    </row>
    <row r="97" spans="1:17" ht="15.75" thickBot="1">
      <c r="A97" s="533"/>
      <c r="B97" s="542"/>
      <c r="C97" s="569"/>
      <c r="D97" s="569"/>
      <c r="E97" s="569"/>
      <c r="F97" s="569"/>
      <c r="G97" s="535"/>
      <c r="H97" s="535"/>
      <c r="I97" s="535"/>
      <c r="J97" s="535"/>
      <c r="K97" s="535"/>
      <c r="L97" s="535"/>
      <c r="M97" s="536"/>
      <c r="N97" s="1153"/>
      <c r="O97" s="1153"/>
      <c r="P97" s="2625"/>
      <c r="Q97" s="503"/>
    </row>
    <row r="98" spans="1:17" ht="15.75" thickTop="1">
      <c r="A98" s="533"/>
      <c r="B98" s="545">
        <f>B31</f>
        <v>111</v>
      </c>
      <c r="C98" s="586"/>
      <c r="D98" s="586"/>
      <c r="E98" s="586"/>
      <c r="F98" s="586"/>
      <c r="G98" s="586"/>
      <c r="H98" s="586"/>
      <c r="I98" s="586"/>
      <c r="J98" s="586"/>
      <c r="K98" s="587"/>
      <c r="L98" s="588"/>
      <c r="M98" s="589"/>
      <c r="N98" s="1152"/>
      <c r="O98" s="1152"/>
      <c r="P98" s="2625"/>
      <c r="Q98" s="503"/>
    </row>
    <row r="99" spans="1:17" ht="15.75" thickBot="1">
      <c r="A99" s="2631"/>
      <c r="B99" s="568"/>
      <c r="C99" s="590"/>
      <c r="D99" s="590"/>
      <c r="E99" s="590"/>
      <c r="F99" s="590"/>
      <c r="G99" s="590"/>
      <c r="H99" s="590"/>
      <c r="I99" s="590"/>
      <c r="J99" s="590"/>
      <c r="K99" s="590"/>
      <c r="L99" s="590"/>
      <c r="M99" s="591"/>
      <c r="N99" s="1153"/>
      <c r="O99" s="1153"/>
      <c r="P99" s="2625"/>
      <c r="Q99" s="503"/>
    </row>
    <row r="100" spans="1:17">
      <c r="A100" s="526" t="s">
        <v>2562</v>
      </c>
      <c r="B100" s="527" t="s">
        <v>2611</v>
      </c>
      <c r="C100" s="529"/>
      <c r="D100" s="529"/>
      <c r="E100" s="529"/>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5"/>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5"/>
      <c r="Q102" s="503"/>
    </row>
    <row r="103" spans="1:17" s="470" customFormat="1">
      <c r="A103" s="592"/>
      <c r="B103" s="593"/>
      <c r="C103" s="594"/>
      <c r="D103" s="594"/>
      <c r="E103" s="594"/>
      <c r="F103" s="594"/>
      <c r="G103" s="594"/>
      <c r="H103" s="594"/>
      <c r="I103" s="594"/>
      <c r="J103" s="595"/>
      <c r="K103" s="595"/>
      <c r="L103" s="596"/>
      <c r="M103" s="597"/>
      <c r="N103" s="1154"/>
      <c r="O103" s="1154"/>
      <c r="P103" s="2626"/>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6"/>
      <c r="Q104" s="558"/>
    </row>
    <row r="105" spans="1:17" ht="15" thickTop="1">
      <c r="A105" s="598"/>
      <c r="B105" s="537" t="s">
        <v>2613</v>
      </c>
      <c r="C105" s="553"/>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5"/>
      <c r="Q106" s="503"/>
    </row>
    <row r="107" spans="1:17" ht="15" thickTop="1">
      <c r="A107" s="598"/>
      <c r="B107" s="537" t="s">
        <v>2614</v>
      </c>
      <c r="C107" s="582"/>
      <c r="D107" s="582"/>
      <c r="E107" s="582"/>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5"/>
      <c r="Q108" s="503"/>
    </row>
    <row r="109" spans="1:17" ht="15" thickTop="1">
      <c r="A109" s="598"/>
      <c r="B109" s="537" t="s">
        <v>2615</v>
      </c>
      <c r="C109" s="553"/>
      <c r="D109" s="553"/>
      <c r="E109" s="553"/>
      <c r="F109" s="582"/>
      <c r="G109" s="582"/>
      <c r="H109" s="582"/>
      <c r="I109" s="582"/>
      <c r="J109" s="582"/>
      <c r="K109" s="583"/>
      <c r="L109" s="584"/>
      <c r="M109" s="585"/>
      <c r="N109" s="1152"/>
      <c r="O109" s="1152"/>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5"/>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6"/>
      <c r="Q113" s="558"/>
    </row>
    <row r="114" spans="1:17" ht="15" thickTop="1">
      <c r="A114" s="598"/>
      <c r="B114" s="537" t="s">
        <v>2616</v>
      </c>
      <c r="C114" s="553"/>
      <c r="D114" s="553"/>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5"/>
      <c r="Q115" s="503"/>
    </row>
    <row r="116" spans="1:17" ht="15" thickTop="1">
      <c r="A116" s="598"/>
      <c r="B116" s="537" t="s">
        <v>2617</v>
      </c>
      <c r="C116" s="553"/>
      <c r="D116" s="553"/>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5"/>
      <c r="Q117" s="503"/>
    </row>
    <row r="118" spans="1:17" ht="15" thickTop="1">
      <c r="A118" s="598"/>
      <c r="B118" s="537" t="s">
        <v>2618</v>
      </c>
      <c r="C118" s="582"/>
      <c r="D118" s="582"/>
      <c r="E118" s="582"/>
      <c r="F118" s="582"/>
      <c r="G118" s="582"/>
      <c r="H118" s="582"/>
      <c r="I118" s="582"/>
      <c r="J118" s="582"/>
      <c r="K118" s="583"/>
      <c r="L118" s="584"/>
      <c r="M118" s="585"/>
      <c r="N118" s="1152"/>
      <c r="O118" s="1152"/>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5"/>
      <c r="Q119" s="503"/>
    </row>
    <row r="120" spans="1:17" s="470" customFormat="1" ht="28.5" thickTop="1">
      <c r="A120" s="592"/>
      <c r="B120" s="537" t="s">
        <v>2573</v>
      </c>
      <c r="C120" s="553"/>
      <c r="D120" s="553"/>
      <c r="E120" s="553"/>
      <c r="F120" s="553"/>
      <c r="G120" s="553"/>
      <c r="H120" s="553"/>
      <c r="I120" s="553"/>
      <c r="J120" s="553"/>
      <c r="K120" s="553"/>
      <c r="L120" s="579"/>
      <c r="M120" s="580"/>
      <c r="N120" s="1154"/>
      <c r="O120" s="1154"/>
      <c r="P120" s="2626"/>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6"/>
      <c r="Q121" s="558"/>
    </row>
    <row r="122" spans="1:17" ht="15" thickTop="1">
      <c r="A122" s="598"/>
      <c r="B122" s="537" t="s">
        <v>2619</v>
      </c>
      <c r="C122" s="553"/>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2"/>
      <c r="O124" s="1152"/>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5"/>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6"/>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6"/>
      <c r="Q127" s="558"/>
    </row>
    <row r="128" spans="1:17" ht="15" thickTop="1">
      <c r="A128" s="598"/>
      <c r="B128" s="537">
        <f>B45</f>
        <v>111</v>
      </c>
      <c r="C128" s="553"/>
      <c r="D128" s="553"/>
      <c r="E128" s="553"/>
      <c r="F128" s="553"/>
      <c r="G128" s="582"/>
      <c r="H128" s="582"/>
      <c r="I128" s="582"/>
      <c r="J128" s="582"/>
      <c r="K128" s="583"/>
      <c r="L128" s="584"/>
      <c r="M128" s="585"/>
      <c r="N128" s="1152"/>
      <c r="O128" s="1152"/>
      <c r="P128" s="2625"/>
      <c r="Q128" s="503"/>
    </row>
    <row r="129" spans="1:17" ht="15.75" thickBot="1">
      <c r="A129" s="533"/>
      <c r="B129" s="542"/>
      <c r="C129" s="559"/>
      <c r="D129" s="559"/>
      <c r="E129" s="559"/>
      <c r="F129" s="559"/>
      <c r="G129" s="535"/>
      <c r="H129" s="535"/>
      <c r="I129" s="535"/>
      <c r="J129" s="535"/>
      <c r="K129" s="535"/>
      <c r="L129" s="535"/>
      <c r="M129" s="536"/>
      <c r="N129" s="1153"/>
      <c r="O129" s="1153"/>
      <c r="P129" s="2625"/>
      <c r="Q129" s="503"/>
    </row>
    <row r="130" spans="1:17" ht="15" thickTop="1">
      <c r="A130" s="598"/>
      <c r="B130" s="545">
        <f>B46</f>
        <v>111</v>
      </c>
      <c r="C130" s="553"/>
      <c r="D130" s="553"/>
      <c r="E130" s="553"/>
      <c r="F130" s="553"/>
      <c r="G130" s="586"/>
      <c r="H130" s="586"/>
      <c r="I130" s="586"/>
      <c r="J130" s="586"/>
      <c r="K130" s="522"/>
      <c r="L130" s="523"/>
      <c r="M130" s="589"/>
      <c r="N130" s="1152"/>
      <c r="O130" s="1152"/>
      <c r="P130" s="2625"/>
      <c r="Q130" s="503"/>
    </row>
    <row r="131" spans="1:17" ht="15.75" thickBot="1">
      <c r="A131" s="2631"/>
      <c r="B131" s="568"/>
      <c r="C131" s="569"/>
      <c r="D131" s="569"/>
      <c r="E131" s="569"/>
      <c r="F131" s="569"/>
      <c r="G131" s="590"/>
      <c r="H131" s="590"/>
      <c r="I131" s="590"/>
      <c r="J131" s="590"/>
      <c r="K131" s="590"/>
      <c r="L131" s="590"/>
      <c r="M131" s="591"/>
      <c r="N131" s="1153"/>
      <c r="O131" s="1153"/>
      <c r="P131" s="2625"/>
      <c r="Q131" s="503"/>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5" t="s">
        <v>2624</v>
      </c>
      <c r="D138" s="145" t="s">
        <v>2625</v>
      </c>
      <c r="E138" s="2640" t="s">
        <v>2626</v>
      </c>
      <c r="F138" s="2641" t="s">
        <v>2627</v>
      </c>
      <c r="G138" s="145" t="s">
        <v>2625</v>
      </c>
      <c r="H138" s="146" t="s">
        <v>2626</v>
      </c>
      <c r="I138" s="2642"/>
      <c r="J138" s="145" t="s">
        <v>2628</v>
      </c>
      <c r="K138" s="146" t="s">
        <v>2629</v>
      </c>
    </row>
    <row r="139" spans="1:17" ht="15">
      <c r="B139" s="1084">
        <v>6</v>
      </c>
      <c r="C139" s="1085">
        <v>96</v>
      </c>
      <c r="D139" s="2643" t="s">
        <v>2630</v>
      </c>
      <c r="E139" s="1086">
        <v>100</v>
      </c>
      <c r="F139" s="1087">
        <v>102.5</v>
      </c>
      <c r="G139" s="2643" t="s">
        <v>2630</v>
      </c>
      <c r="H139" s="1088">
        <v>105</v>
      </c>
      <c r="I139" s="2644" t="s">
        <v>2631</v>
      </c>
      <c r="J139" s="1085">
        <v>20</v>
      </c>
      <c r="K139" s="1089">
        <f>C145/(J139-2)</f>
        <v>4.0555555555555553E-3</v>
      </c>
    </row>
    <row r="140" spans="1:17" ht="15">
      <c r="B140" s="1090">
        <v>5</v>
      </c>
      <c r="C140" s="1091">
        <v>100</v>
      </c>
      <c r="D140" s="1091"/>
      <c r="E140" s="1092"/>
      <c r="F140" s="1093">
        <v>102</v>
      </c>
      <c r="G140" s="1091"/>
      <c r="H140" s="1094"/>
      <c r="I140" s="2645" t="s">
        <v>2632</v>
      </c>
      <c r="J140" s="314">
        <f>ROUNDUP((J139-1)/2,0)</f>
        <v>10</v>
      </c>
      <c r="K140" s="1095">
        <v>100</v>
      </c>
    </row>
    <row r="141" spans="1:17" ht="15">
      <c r="B141" s="1090">
        <v>4</v>
      </c>
      <c r="C141" s="1091">
        <v>102</v>
      </c>
      <c r="D141" s="1091"/>
      <c r="E141" s="1092"/>
      <c r="F141" s="1093">
        <v>101.5</v>
      </c>
      <c r="G141" s="1091"/>
      <c r="H141" s="1094"/>
      <c r="I141" s="2645" t="s">
        <v>2633</v>
      </c>
      <c r="J141" s="314">
        <v>1</v>
      </c>
      <c r="K141" s="1096">
        <f>ROUND(100+(J141-J140)*K139*100,1)</f>
        <v>96.4</v>
      </c>
    </row>
    <row r="142" spans="1:17" ht="15">
      <c r="B142" s="1090">
        <v>3</v>
      </c>
      <c r="C142" s="1091">
        <v>103</v>
      </c>
      <c r="D142" s="1091"/>
      <c r="E142" s="1092"/>
      <c r="F142" s="1093">
        <v>101</v>
      </c>
      <c r="G142" s="1091"/>
      <c r="H142" s="1094"/>
      <c r="I142" s="2645" t="s">
        <v>2634</v>
      </c>
      <c r="J142" s="314">
        <f>J139</f>
        <v>20</v>
      </c>
      <c r="K142" s="1097">
        <v>95</v>
      </c>
    </row>
    <row r="143" spans="1:17" ht="15">
      <c r="B143" s="1090">
        <v>2</v>
      </c>
      <c r="C143" s="1091">
        <v>100</v>
      </c>
      <c r="D143" s="1091"/>
      <c r="E143" s="1092"/>
      <c r="F143" s="1093">
        <v>100.5</v>
      </c>
      <c r="G143" s="1091"/>
      <c r="H143" s="1094"/>
      <c r="I143" s="2645" t="s">
        <v>2635</v>
      </c>
      <c r="J143" s="1091">
        <v>15</v>
      </c>
      <c r="K143" s="1096">
        <f>ROUND(100+(J143-J140)*K139*100,1)</f>
        <v>102</v>
      </c>
    </row>
    <row r="144" spans="1:17" ht="15">
      <c r="B144" s="1090">
        <v>1</v>
      </c>
      <c r="C144" s="1091">
        <v>98</v>
      </c>
      <c r="D144" s="2646" t="s">
        <v>2636</v>
      </c>
      <c r="E144" s="1092">
        <v>102</v>
      </c>
      <c r="F144" s="1098">
        <v>100</v>
      </c>
      <c r="G144" s="2646" t="s">
        <v>2636</v>
      </c>
      <c r="H144" s="1094">
        <v>105</v>
      </c>
      <c r="I144" s="2645" t="s">
        <v>2635</v>
      </c>
      <c r="J144" s="1091">
        <v>18</v>
      </c>
      <c r="K144" s="1096">
        <f>ROUND(100+(J144-J140)*K139*100,1)</f>
        <v>103.2</v>
      </c>
    </row>
    <row r="145" spans="2:11" ht="15.75" thickBot="1">
      <c r="B145" s="2647" t="s">
        <v>2637</v>
      </c>
      <c r="C145" s="1099">
        <f>ROUND(MAX(C139:C144)/MIN(C139:C144)-1,3)</f>
        <v>7.2999999999999995E-2</v>
      </c>
      <c r="D145" s="1100"/>
      <c r="E145" s="1100"/>
      <c r="F145" s="2648" t="s">
        <v>2638</v>
      </c>
      <c r="G145" s="2649"/>
      <c r="H145" s="2650"/>
      <c r="I145" s="2651" t="s">
        <v>2635</v>
      </c>
      <c r="J145" s="1101">
        <v>8</v>
      </c>
      <c r="K145" s="1102">
        <f>ROUND(100+(J145-J140)*K139*100,1)</f>
        <v>99.2</v>
      </c>
    </row>
    <row r="147" spans="2:11">
      <c r="B147" s="2632" t="s">
        <v>2639</v>
      </c>
    </row>
    <row r="148" spans="2:11">
      <c r="B148" s="263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32" zoomScale="90" zoomScaleNormal="90" workbookViewId="0">
      <selection activeCell="E11" sqref="E1:J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7" t="s">
        <v>2641</v>
      </c>
      <c r="C1" s="1630" t="s">
        <v>2529</v>
      </c>
      <c r="D1" s="1617">
        <v>106</v>
      </c>
      <c r="E1" s="2652"/>
      <c r="F1" s="2579" t="s">
        <v>3141</v>
      </c>
      <c r="G1" s="1627" t="s">
        <v>2642</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7" customFormat="1" ht="28.5" customHeight="1" thickTop="1">
      <c r="A2" s="1613" t="s">
        <v>2326</v>
      </c>
      <c r="B2" s="1414">
        <f>IF(C2="——",ROUND(C49*D3/10000,0),ROUND(C49*D3/10000,0)-D2)</f>
        <v>760</v>
      </c>
      <c r="C2" s="2581" t="s">
        <v>70</v>
      </c>
      <c r="D2" s="1361">
        <f ca="1">SUMIF(INDIRECT("'"&amp;F2&amp;"'"&amp;"!A:A"),"承租人权益价值",INDIRECT("'"&amp;F2&amp;"'"&amp;"!c:c"))</f>
        <v>0</v>
      </c>
      <c r="E2" s="2582" t="s">
        <v>2327</v>
      </c>
      <c r="F2" s="2583" t="s">
        <v>3184</v>
      </c>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7" customFormat="1" ht="28.5" customHeight="1" thickBot="1">
      <c r="A3" s="246" t="s">
        <v>2328</v>
      </c>
      <c r="B3" s="608">
        <f>IF(C2="——",C49,ROUND(B2*10000/D3,0))</f>
        <v>57033</v>
      </c>
      <c r="C3" s="399" t="s">
        <v>2643</v>
      </c>
      <c r="D3" s="398">
        <f>IF(D1="",'数据-汇总表'!E3,SUMIF('数据-汇总表'!$C19:$C33,D1,'数据-汇总表'!$E19:$E33))</f>
        <v>133.31</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43" t="s">
        <v>2647</v>
      </c>
      <c r="AC4" s="3213" t="s">
        <v>2648</v>
      </c>
    </row>
    <row r="5" spans="1:29" ht="15">
      <c r="A5" s="403"/>
      <c r="B5" s="404"/>
      <c r="C5" s="3224" t="s">
        <v>2541</v>
      </c>
      <c r="D5" s="3225"/>
      <c r="E5" s="3259" t="s">
        <v>3229</v>
      </c>
      <c r="F5" s="3223"/>
      <c r="G5" s="3260" t="s">
        <v>3230</v>
      </c>
      <c r="H5" s="3225"/>
      <c r="I5" s="3260" t="s">
        <v>3231</v>
      </c>
      <c r="J5" s="3225"/>
      <c r="K5" s="609"/>
      <c r="L5" s="1130"/>
      <c r="M5" s="1131"/>
      <c r="N5" s="1131"/>
      <c r="O5" s="1131"/>
      <c r="P5" s="3237"/>
      <c r="Q5" s="3238"/>
      <c r="R5" s="3220"/>
      <c r="S5" s="3221"/>
      <c r="T5" s="3220"/>
      <c r="U5" s="3221"/>
      <c r="V5" s="3243"/>
      <c r="W5" s="3243"/>
      <c r="X5" s="1808"/>
      <c r="Y5" s="3220"/>
      <c r="Z5" s="3221"/>
      <c r="AA5" s="3214"/>
      <c r="AB5" s="3243"/>
      <c r="AC5" s="3214"/>
    </row>
    <row r="6" spans="1:29" ht="15.75" thickBot="1">
      <c r="A6" s="405"/>
      <c r="B6" s="406"/>
      <c r="C6" s="3226" t="s">
        <v>2545</v>
      </c>
      <c r="D6" s="3227"/>
      <c r="E6" s="3261" t="s">
        <v>3228</v>
      </c>
      <c r="F6" s="3229"/>
      <c r="G6" s="3262" t="s">
        <v>3211</v>
      </c>
      <c r="H6" s="3227"/>
      <c r="I6" s="3262" t="s">
        <v>3232</v>
      </c>
      <c r="J6" s="3227"/>
      <c r="K6" s="609" t="s">
        <v>2546</v>
      </c>
      <c r="L6" s="1130"/>
      <c r="M6" s="1131"/>
      <c r="N6" s="1131"/>
      <c r="O6" s="1131"/>
      <c r="P6" s="3239"/>
      <c r="Q6" s="3240"/>
      <c r="R6" s="3220"/>
      <c r="S6" s="3221"/>
      <c r="T6" s="3241"/>
      <c r="U6" s="3242"/>
      <c r="V6" s="3243"/>
      <c r="W6" s="3243"/>
      <c r="X6" s="1808"/>
      <c r="Y6" s="3241"/>
      <c r="Z6" s="3242"/>
      <c r="AA6" s="3215"/>
      <c r="AB6" s="3243"/>
      <c r="AC6" s="3215"/>
    </row>
    <row r="7" spans="1:29" s="117" customFormat="1" ht="15.75" thickBot="1">
      <c r="A7" s="407" t="s">
        <v>2547</v>
      </c>
      <c r="B7" s="408"/>
      <c r="C7" s="409">
        <f>'数据-取费表'!B2</f>
        <v>43346</v>
      </c>
      <c r="D7" s="410">
        <v>100</v>
      </c>
      <c r="E7" s="411">
        <f>C7</f>
        <v>43346</v>
      </c>
      <c r="F7" s="412">
        <f>SUMIF(58:58,YEAR(E7)&amp;"-"&amp;MONTH(E7),59:59)</f>
        <v>100</v>
      </c>
      <c r="G7" s="411">
        <f>C7</f>
        <v>43346</v>
      </c>
      <c r="H7" s="410">
        <f>SUMIF(58:58,YEAR(G7)&amp;"-"&amp;MONTH(G7),59:59)</f>
        <v>100</v>
      </c>
      <c r="I7" s="411">
        <f>C7</f>
        <v>43346</v>
      </c>
      <c r="J7" s="410">
        <f>SUMIF(58:58,YEAR(I7)&amp;"-"&amp;MONTH(I7),59:59)</f>
        <v>100</v>
      </c>
      <c r="K7" s="610"/>
      <c r="L7" s="1132"/>
      <c r="M7" s="1133"/>
      <c r="N7" s="1133"/>
      <c r="O7" s="1133"/>
      <c r="P7" s="3216" t="s">
        <v>2548</v>
      </c>
      <c r="Q7" s="3244"/>
      <c r="R7" s="767" t="s">
        <v>17</v>
      </c>
      <c r="S7" s="768">
        <f t="shared" ref="S7:S15" si="0">F7</f>
        <v>100</v>
      </c>
      <c r="T7" s="767" t="s">
        <v>17</v>
      </c>
      <c r="U7" s="768">
        <f t="shared" ref="U7:U15" si="1">H7</f>
        <v>100</v>
      </c>
      <c r="V7" s="767" t="s">
        <v>17</v>
      </c>
      <c r="W7" s="768">
        <f t="shared" ref="W7:W15" si="2">J7</f>
        <v>100</v>
      </c>
      <c r="X7" s="769"/>
      <c r="Y7" s="3216" t="s">
        <v>2548</v>
      </c>
      <c r="Z7" s="3217"/>
      <c r="AA7" s="770">
        <f>D7/F7</f>
        <v>1</v>
      </c>
      <c r="AB7" s="770">
        <f>D7/H7</f>
        <v>1</v>
      </c>
      <c r="AC7" s="770">
        <f>D7/J7</f>
        <v>1</v>
      </c>
    </row>
    <row r="8" spans="1:29" s="117" customFormat="1" ht="15.75" thickBot="1">
      <c r="A8" s="407" t="s">
        <v>2549</v>
      </c>
      <c r="B8" s="408"/>
      <c r="C8" s="413" t="s">
        <v>2651</v>
      </c>
      <c r="D8" s="410">
        <v>100</v>
      </c>
      <c r="E8" s="413" t="s">
        <v>3143</v>
      </c>
      <c r="F8" s="412">
        <f>SUMIF(61:61,E8,62:62)-SUMIF(61:61,C8,62:62)+100</f>
        <v>100</v>
      </c>
      <c r="G8" s="413" t="s">
        <v>3143</v>
      </c>
      <c r="H8" s="410">
        <f>SUMIF(61:61,G8,62:62)-SUMIF(61:61,C8,62:62)+100</f>
        <v>100</v>
      </c>
      <c r="I8" s="413" t="s">
        <v>3143</v>
      </c>
      <c r="J8" s="410">
        <f>SUMIF(61:61,I8,62:62)-SUMIF(61:61,C8,62:62)+100</f>
        <v>100</v>
      </c>
      <c r="K8" s="610"/>
      <c r="L8" s="1132"/>
      <c r="M8" s="1133"/>
      <c r="N8" s="1133"/>
      <c r="O8" s="1133"/>
      <c r="P8" s="3216" t="s">
        <v>2551</v>
      </c>
      <c r="Q8" s="3217"/>
      <c r="R8" s="767" t="s">
        <v>17</v>
      </c>
      <c r="S8" s="768">
        <f t="shared" si="0"/>
        <v>100</v>
      </c>
      <c r="T8" s="767" t="s">
        <v>17</v>
      </c>
      <c r="U8" s="768">
        <f t="shared" si="1"/>
        <v>100</v>
      </c>
      <c r="V8" s="767" t="s">
        <v>17</v>
      </c>
      <c r="W8" s="768">
        <f t="shared" si="2"/>
        <v>100</v>
      </c>
      <c r="X8" s="769"/>
      <c r="Y8" s="3216" t="s">
        <v>2551</v>
      </c>
      <c r="Z8" s="3217"/>
      <c r="AA8" s="770">
        <f t="shared" ref="AA8:AA46" si="3">D8/F8</f>
        <v>1</v>
      </c>
      <c r="AB8" s="770">
        <f t="shared" ref="AB8:AB46" si="4">D8/H8</f>
        <v>1</v>
      </c>
      <c r="AC8" s="770">
        <f t="shared" ref="AC8:AC46" si="5">D8/J8</f>
        <v>1</v>
      </c>
    </row>
    <row r="9" spans="1:29" s="117" customFormat="1">
      <c r="A9" s="414" t="s">
        <v>2552</v>
      </c>
      <c r="B9" s="71" t="s">
        <v>2553</v>
      </c>
      <c r="C9" s="2947" t="s">
        <v>3142</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230"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29" s="426" customFormat="1" ht="27">
      <c r="A10" s="420"/>
      <c r="B10" s="421" t="s">
        <v>2556</v>
      </c>
      <c r="C10" s="422" t="s">
        <v>3179</v>
      </c>
      <c r="D10" s="135">
        <v>100</v>
      </c>
      <c r="E10" s="422" t="s">
        <v>3179</v>
      </c>
      <c r="F10" s="424">
        <f>SUMIF(65:65,E10,66:66)-SUMIF(65:65,C10,66:66)+100</f>
        <v>100</v>
      </c>
      <c r="G10" s="422" t="s">
        <v>3179</v>
      </c>
      <c r="H10" s="135">
        <f>SUMIF(65:65,G10,66:66)-SUMIF(65:65,C10,66:66)+100</f>
        <v>100</v>
      </c>
      <c r="I10" s="422" t="s">
        <v>3179</v>
      </c>
      <c r="J10" s="135">
        <f>SUMIF(65:65,I10,66:66)-SUMIF(65:65,C10,66:66)+100</f>
        <v>100</v>
      </c>
      <c r="K10" s="611">
        <v>1</v>
      </c>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75" thickBot="1">
      <c r="A11" s="427"/>
      <c r="B11" s="421" t="s">
        <v>2557</v>
      </c>
      <c r="C11" s="428">
        <f>'数据-汇总表'!I6</f>
        <v>14.46</v>
      </c>
      <c r="D11" s="135">
        <v>100</v>
      </c>
      <c r="E11" s="429">
        <v>3.25</v>
      </c>
      <c r="F11" s="424">
        <f>LOOKUP(E11,68:68,69:69)-LOOKUP(C11,68:68,69:69)+100</f>
        <v>100</v>
      </c>
      <c r="G11" s="428">
        <v>5</v>
      </c>
      <c r="H11" s="135">
        <f>LOOKUP(G11,68:68,69:69)-LOOKUP(C11,68:68,69:69)+100</f>
        <v>100</v>
      </c>
      <c r="I11" s="428">
        <v>4.37</v>
      </c>
      <c r="J11" s="135">
        <f>LOOKUP(I11,68:68,69:69)-LOOKUP(C11,68:68,69:69)+100</f>
        <v>100</v>
      </c>
      <c r="K11" s="611">
        <v>0</v>
      </c>
      <c r="L11" s="1138"/>
      <c r="M11" s="1131"/>
      <c r="N11" s="1131"/>
      <c r="O11" s="1131"/>
      <c r="P11" s="3230"/>
      <c r="Q11" s="1790" t="str">
        <f t="shared" si="6"/>
        <v>容积率</v>
      </c>
      <c r="R11" s="767" t="s">
        <v>17</v>
      </c>
      <c r="S11" s="768">
        <f t="shared" si="0"/>
        <v>100</v>
      </c>
      <c r="T11" s="767" t="s">
        <v>17</v>
      </c>
      <c r="U11" s="768">
        <f t="shared" si="1"/>
        <v>100</v>
      </c>
      <c r="V11" s="767" t="s">
        <v>17</v>
      </c>
      <c r="W11" s="768">
        <f t="shared" si="2"/>
        <v>100</v>
      </c>
      <c r="X11" s="769"/>
      <c r="Y11" s="3085"/>
      <c r="Z11" s="55" t="str">
        <f t="shared" si="7"/>
        <v>容积率</v>
      </c>
      <c r="AA11" s="770">
        <f t="shared" si="3"/>
        <v>1</v>
      </c>
      <c r="AB11" s="770">
        <f t="shared" si="4"/>
        <v>1</v>
      </c>
      <c r="AC11" s="770">
        <f t="shared" si="5"/>
        <v>1</v>
      </c>
    </row>
    <row r="12" spans="1:29" s="117" customFormat="1" ht="15" hidden="1">
      <c r="A12" s="430"/>
      <c r="B12" s="2595"/>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30"/>
      <c r="Q12" s="1790">
        <f t="shared" si="6"/>
        <v>0</v>
      </c>
      <c r="R12" s="767" t="s">
        <v>17</v>
      </c>
      <c r="S12" s="768">
        <f t="shared" si="0"/>
        <v>100</v>
      </c>
      <c r="T12" s="767" t="s">
        <v>17</v>
      </c>
      <c r="U12" s="768">
        <f t="shared" si="1"/>
        <v>100</v>
      </c>
      <c r="V12" s="767" t="s">
        <v>17</v>
      </c>
      <c r="W12" s="768">
        <f t="shared" si="2"/>
        <v>100</v>
      </c>
      <c r="X12" s="769"/>
      <c r="Y12" s="3085"/>
      <c r="Z12" s="55">
        <f t="shared" si="7"/>
        <v>0</v>
      </c>
      <c r="AA12" s="770">
        <f>D12/F12</f>
        <v>1</v>
      </c>
      <c r="AB12" s="770">
        <f>D12/H12</f>
        <v>1</v>
      </c>
      <c r="AC12" s="770">
        <f>D12/J12</f>
        <v>1</v>
      </c>
    </row>
    <row r="13" spans="1:29" ht="15" hidden="1">
      <c r="A13" s="427"/>
      <c r="B13" s="2595"/>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30"/>
      <c r="Q13" s="1790">
        <f t="shared" si="6"/>
        <v>0</v>
      </c>
      <c r="R13" s="767" t="s">
        <v>17</v>
      </c>
      <c r="S13" s="768">
        <f t="shared" si="0"/>
        <v>100</v>
      </c>
      <c r="T13" s="767" t="s">
        <v>17</v>
      </c>
      <c r="U13" s="768">
        <f t="shared" si="1"/>
        <v>100</v>
      </c>
      <c r="V13" s="767" t="s">
        <v>17</v>
      </c>
      <c r="W13" s="768">
        <f t="shared" si="2"/>
        <v>100</v>
      </c>
      <c r="X13" s="769"/>
      <c r="Y13" s="3085"/>
      <c r="Z13" s="55">
        <f t="shared" si="7"/>
        <v>0</v>
      </c>
      <c r="AA13" s="770">
        <f t="shared" si="3"/>
        <v>1</v>
      </c>
      <c r="AB13" s="770">
        <f t="shared" si="4"/>
        <v>1</v>
      </c>
      <c r="AC13" s="770">
        <f t="shared" si="5"/>
        <v>1</v>
      </c>
    </row>
    <row r="14" spans="1:29" ht="15.75" hidden="1" thickBot="1">
      <c r="A14" s="435"/>
      <c r="B14" s="2597"/>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30"/>
      <c r="Q14" s="1790">
        <f t="shared" si="6"/>
        <v>0</v>
      </c>
      <c r="R14" s="767" t="s">
        <v>17</v>
      </c>
      <c r="S14" s="768">
        <f t="shared" si="0"/>
        <v>100</v>
      </c>
      <c r="T14" s="767" t="s">
        <v>17</v>
      </c>
      <c r="U14" s="768">
        <f t="shared" si="1"/>
        <v>100</v>
      </c>
      <c r="V14" s="767" t="s">
        <v>17</v>
      </c>
      <c r="W14" s="768">
        <f t="shared" si="2"/>
        <v>100</v>
      </c>
      <c r="X14" s="769"/>
      <c r="Y14" s="3085"/>
      <c r="Z14" s="55">
        <f t="shared" si="7"/>
        <v>0</v>
      </c>
      <c r="AA14" s="770">
        <f t="shared" si="3"/>
        <v>1</v>
      </c>
      <c r="AB14" s="770">
        <f t="shared" si="4"/>
        <v>1</v>
      </c>
      <c r="AC14" s="770">
        <f t="shared" si="5"/>
        <v>1</v>
      </c>
    </row>
    <row r="15" spans="1:29" ht="71.25">
      <c r="A15" s="439" t="s">
        <v>2558</v>
      </c>
      <c r="B15" s="69" t="s">
        <v>2652</v>
      </c>
      <c r="C15" s="2598" t="str">
        <f>估价对象房地状况!C4</f>
        <v>估价对象位于XX商圈，周边商业氛围成熟，人流量大，商业繁华度好</v>
      </c>
      <c r="D15" s="440">
        <v>100</v>
      </c>
      <c r="E15" s="441"/>
      <c r="F15" s="442">
        <f>SUMIF(76:76,E16,77:77)-SUMIF(76:76,C16,77:77)+100</f>
        <v>95</v>
      </c>
      <c r="G15" s="441"/>
      <c r="H15" s="440">
        <f>SUMIF(76:76,G16,77:77)-SUMIF(76:76,C16,77:77)+100</f>
        <v>90</v>
      </c>
      <c r="I15" s="441"/>
      <c r="J15" s="440">
        <f>SUMIF(76:76,I16,77:77)-SUMIF(76:76,C16,77:77)+100</f>
        <v>95</v>
      </c>
      <c r="K15" s="613">
        <v>5</v>
      </c>
      <c r="L15" s="1140"/>
      <c r="M15" s="1131"/>
      <c r="N15" s="1131"/>
      <c r="O15" s="1131"/>
      <c r="P15" s="3257" t="s">
        <v>2559</v>
      </c>
      <c r="Q15" s="1805" t="str">
        <f t="shared" si="6"/>
        <v>商业繁华度</v>
      </c>
      <c r="R15" s="771" t="s">
        <v>17</v>
      </c>
      <c r="S15" s="772">
        <f t="shared" si="0"/>
        <v>95</v>
      </c>
      <c r="T15" s="771" t="s">
        <v>17</v>
      </c>
      <c r="U15" s="772">
        <f t="shared" si="1"/>
        <v>90</v>
      </c>
      <c r="V15" s="771" t="s">
        <v>17</v>
      </c>
      <c r="W15" s="772">
        <f t="shared" si="2"/>
        <v>95</v>
      </c>
      <c r="X15" s="1808"/>
      <c r="Y15" s="3250" t="s">
        <v>2559</v>
      </c>
      <c r="Z15" s="1809" t="str">
        <f t="shared" si="7"/>
        <v>商业繁华度</v>
      </c>
      <c r="AA15" s="1806">
        <f t="shared" si="3"/>
        <v>1.0526315789473684</v>
      </c>
      <c r="AB15" s="1806">
        <f t="shared" si="4"/>
        <v>1.1111111111111112</v>
      </c>
      <c r="AC15" s="1806">
        <f t="shared" si="5"/>
        <v>1.0526315789473684</v>
      </c>
    </row>
    <row r="16" spans="1:29" ht="15">
      <c r="A16" s="427"/>
      <c r="B16" s="445"/>
      <c r="C16" s="446" t="s">
        <v>3186</v>
      </c>
      <c r="D16" s="447"/>
      <c r="E16" s="446" t="s">
        <v>3188</v>
      </c>
      <c r="F16" s="448"/>
      <c r="G16" s="446" t="s">
        <v>3189</v>
      </c>
      <c r="H16" s="449"/>
      <c r="I16" s="446" t="s">
        <v>3188</v>
      </c>
      <c r="J16" s="447"/>
      <c r="K16" s="614"/>
      <c r="L16" s="1140"/>
      <c r="M16" s="1131"/>
      <c r="N16" s="1131"/>
      <c r="O16" s="1131"/>
      <c r="P16" s="3258"/>
      <c r="Q16" s="1805"/>
      <c r="R16" s="771"/>
      <c r="S16" s="772"/>
      <c r="T16" s="771"/>
      <c r="U16" s="772"/>
      <c r="V16" s="771"/>
      <c r="W16" s="772"/>
      <c r="X16" s="1808"/>
      <c r="Y16" s="3251"/>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1"/>
      <c r="F17" s="452">
        <f>SUMIF(78:78,E18,79:79)-SUMIF(78:78,C18,79:79)+100</f>
        <v>97</v>
      </c>
      <c r="G17" s="451"/>
      <c r="H17" s="454">
        <f>SUMIF(78:78,G18,79:79)-SUMIF(78:78,C18,79:79)+100</f>
        <v>97</v>
      </c>
      <c r="I17" s="451"/>
      <c r="J17" s="454">
        <f>SUMIF(78:78,I18,79:79)-SUMIF(78:78,C18,79:79)+100</f>
        <v>97</v>
      </c>
      <c r="K17" s="613">
        <v>3</v>
      </c>
      <c r="L17" s="1140"/>
      <c r="M17" s="1131"/>
      <c r="N17" s="1131"/>
      <c r="O17" s="1131"/>
      <c r="P17" s="3258"/>
      <c r="Q17" s="1805" t="str">
        <f>B17</f>
        <v>交通便捷度</v>
      </c>
      <c r="R17" s="771" t="s">
        <v>17</v>
      </c>
      <c r="S17" s="772">
        <f>F17</f>
        <v>97</v>
      </c>
      <c r="T17" s="771" t="s">
        <v>17</v>
      </c>
      <c r="U17" s="772">
        <f>H17</f>
        <v>97</v>
      </c>
      <c r="V17" s="771" t="s">
        <v>17</v>
      </c>
      <c r="W17" s="772">
        <f>J17</f>
        <v>97</v>
      </c>
      <c r="X17" s="1808"/>
      <c r="Y17" s="3251"/>
      <c r="Z17" s="1809" t="str">
        <f>Q17</f>
        <v>交通便捷度</v>
      </c>
      <c r="AA17" s="1806">
        <f t="shared" si="3"/>
        <v>1.0309278350515463</v>
      </c>
      <c r="AB17" s="1806">
        <f t="shared" si="4"/>
        <v>1.0309278350515463</v>
      </c>
      <c r="AC17" s="1806">
        <f t="shared" si="5"/>
        <v>1.0309278350515463</v>
      </c>
    </row>
    <row r="18" spans="1:29" ht="15">
      <c r="A18" s="427"/>
      <c r="B18" s="455"/>
      <c r="C18" s="2603" t="s">
        <v>3186</v>
      </c>
      <c r="D18" s="449"/>
      <c r="E18" s="2605" t="s">
        <v>3188</v>
      </c>
      <c r="F18" s="452"/>
      <c r="G18" s="2605" t="s">
        <v>3188</v>
      </c>
      <c r="H18" s="447"/>
      <c r="I18" s="2605" t="s">
        <v>3188</v>
      </c>
      <c r="J18" s="447"/>
      <c r="K18" s="614"/>
      <c r="L18" s="1140"/>
      <c r="M18" s="1131"/>
      <c r="N18" s="1131"/>
      <c r="O18" s="1131"/>
      <c r="P18" s="3258"/>
      <c r="Q18" s="1805"/>
      <c r="R18" s="771"/>
      <c r="S18" s="772"/>
      <c r="T18" s="771"/>
      <c r="U18" s="772"/>
      <c r="V18" s="771"/>
      <c r="W18" s="772"/>
      <c r="X18" s="1808"/>
      <c r="Y18" s="3251"/>
      <c r="Z18" s="1809"/>
      <c r="AA18" s="1806">
        <v>1</v>
      </c>
      <c r="AB18" s="1806">
        <v>1</v>
      </c>
      <c r="AC18" s="1806">
        <v>1</v>
      </c>
    </row>
    <row r="19" spans="1:29" ht="42.75">
      <c r="A19" s="427"/>
      <c r="B19" s="450" t="s">
        <v>2653</v>
      </c>
      <c r="C19" s="2602" t="str">
        <f>估价对象房地状况!C7</f>
        <v>估价对象所在区域公共配套设施齐备情况</v>
      </c>
      <c r="D19" s="454">
        <v>100</v>
      </c>
      <c r="E19" s="456"/>
      <c r="F19" s="457">
        <f>SUMIF(80:80,E20,81:81)-SUMIF(80:80,C20,81:81)+100</f>
        <v>97</v>
      </c>
      <c r="G19" s="456"/>
      <c r="H19" s="449">
        <f>SUMIF(80:80,G20,81:81)-SUMIF(80:80,C20,81:81)+100</f>
        <v>97</v>
      </c>
      <c r="I19" s="456"/>
      <c r="J19" s="449">
        <f>SUMIF(80:80,I20,81:81)-SUMIF(80:80,C20,81:81)+100</f>
        <v>97</v>
      </c>
      <c r="K19" s="613">
        <v>3</v>
      </c>
      <c r="L19" s="1140"/>
      <c r="M19" s="1131"/>
      <c r="N19" s="1131"/>
      <c r="O19" s="1131"/>
      <c r="P19" s="3258"/>
      <c r="Q19" s="1805" t="str">
        <f>B19</f>
        <v>公共配套设施</v>
      </c>
      <c r="R19" s="771" t="s">
        <v>17</v>
      </c>
      <c r="S19" s="772">
        <f>F19</f>
        <v>97</v>
      </c>
      <c r="T19" s="771" t="s">
        <v>17</v>
      </c>
      <c r="U19" s="772">
        <f>H19</f>
        <v>97</v>
      </c>
      <c r="V19" s="771" t="s">
        <v>17</v>
      </c>
      <c r="W19" s="772">
        <f>J19</f>
        <v>97</v>
      </c>
      <c r="X19" s="1808"/>
      <c r="Y19" s="3251"/>
      <c r="Z19" s="1809" t="str">
        <f>Q19</f>
        <v>公共配套设施</v>
      </c>
      <c r="AA19" s="1806">
        <f t="shared" si="3"/>
        <v>1.0309278350515463</v>
      </c>
      <c r="AB19" s="1806">
        <f t="shared" si="4"/>
        <v>1.0309278350515463</v>
      </c>
      <c r="AC19" s="1806">
        <f t="shared" si="5"/>
        <v>1.0309278350515463</v>
      </c>
    </row>
    <row r="20" spans="1:29" ht="15">
      <c r="A20" s="427"/>
      <c r="B20" s="455"/>
      <c r="C20" s="446" t="s">
        <v>3186</v>
      </c>
      <c r="D20" s="447"/>
      <c r="E20" s="2600" t="s">
        <v>3188</v>
      </c>
      <c r="F20" s="448"/>
      <c r="G20" s="2600" t="s">
        <v>3188</v>
      </c>
      <c r="H20" s="447"/>
      <c r="I20" s="2600" t="s">
        <v>3188</v>
      </c>
      <c r="J20" s="447"/>
      <c r="K20" s="614"/>
      <c r="L20" s="1140"/>
      <c r="M20" s="1131"/>
      <c r="N20" s="1131"/>
      <c r="O20" s="1131"/>
      <c r="P20" s="3258"/>
      <c r="Q20" s="1805"/>
      <c r="R20" s="771"/>
      <c r="S20" s="772"/>
      <c r="T20" s="771"/>
      <c r="U20" s="772"/>
      <c r="V20" s="771"/>
      <c r="W20" s="772"/>
      <c r="X20" s="1808"/>
      <c r="Y20" s="3251"/>
      <c r="Z20" s="1809"/>
      <c r="AA20" s="1806">
        <v>1</v>
      </c>
      <c r="AB20" s="1806">
        <v>1</v>
      </c>
      <c r="AC20" s="1806">
        <v>1</v>
      </c>
    </row>
    <row r="21" spans="1:29" ht="28.5">
      <c r="A21" s="427"/>
      <c r="B21" s="1380" t="s">
        <v>2654</v>
      </c>
      <c r="C21" s="2602"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40"/>
      <c r="M21" s="1131"/>
      <c r="N21" s="1131"/>
      <c r="O21" s="1131"/>
      <c r="P21" s="3258"/>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1806">
        <f t="shared" ref="AC21" si="10">D21/J21</f>
        <v>1</v>
      </c>
    </row>
    <row r="22" spans="1:29" ht="15">
      <c r="A22" s="427"/>
      <c r="B22" s="1380"/>
      <c r="C22" s="2603" t="s">
        <v>3187</v>
      </c>
      <c r="D22" s="447"/>
      <c r="E22" s="446" t="s">
        <v>3187</v>
      </c>
      <c r="F22" s="448"/>
      <c r="G22" s="446" t="s">
        <v>3187</v>
      </c>
      <c r="H22" s="447"/>
      <c r="I22" s="446" t="s">
        <v>3187</v>
      </c>
      <c r="J22" s="447"/>
      <c r="K22" s="1379"/>
      <c r="L22" s="1140"/>
      <c r="M22" s="1131"/>
      <c r="N22" s="1131"/>
      <c r="O22" s="1131"/>
      <c r="P22" s="3258"/>
      <c r="Q22" s="1805"/>
      <c r="R22" s="771"/>
      <c r="S22" s="772"/>
      <c r="T22" s="771"/>
      <c r="U22" s="772"/>
      <c r="V22" s="771"/>
      <c r="W22" s="772"/>
      <c r="X22" s="1808"/>
      <c r="Y22" s="3251"/>
      <c r="Z22" s="1809"/>
      <c r="AA22" s="1806">
        <v>1</v>
      </c>
      <c r="AB22" s="1806">
        <v>1</v>
      </c>
      <c r="AC22" s="1806">
        <v>1</v>
      </c>
    </row>
    <row r="23" spans="1:29" ht="57">
      <c r="A23" s="427"/>
      <c r="B23" s="450" t="s">
        <v>2103</v>
      </c>
      <c r="C23" s="2659" t="str">
        <f>估价对象房地状况!C9</f>
        <v>区域自然环境：；人文环境；综合评价环境状况一般</v>
      </c>
      <c r="D23" s="449">
        <v>100</v>
      </c>
      <c r="E23" s="451"/>
      <c r="F23" s="452">
        <f>SUMIF(84:84,E24,85:85)-SUMIF(84:84,C24,85:85)+100</f>
        <v>97</v>
      </c>
      <c r="G23" s="451"/>
      <c r="H23" s="449">
        <f>SUMIF(84:84,G24,85:85)-SUMIF(84:84,C24,85:85)+100</f>
        <v>97</v>
      </c>
      <c r="I23" s="451"/>
      <c r="J23" s="449">
        <f>SUMIF(84:84,I24,85:85)-SUMIF(84:84,C24,85:85)+100</f>
        <v>97</v>
      </c>
      <c r="K23" s="613">
        <v>3</v>
      </c>
      <c r="L23" s="1140"/>
      <c r="M23" s="1131"/>
      <c r="N23" s="1131"/>
      <c r="O23" s="1131"/>
      <c r="P23" s="3258"/>
      <c r="Q23" s="1805" t="str">
        <f>B23</f>
        <v>自然及人文环境</v>
      </c>
      <c r="R23" s="771" t="s">
        <v>17</v>
      </c>
      <c r="S23" s="772">
        <f>F23</f>
        <v>97</v>
      </c>
      <c r="T23" s="771" t="s">
        <v>17</v>
      </c>
      <c r="U23" s="772">
        <f>H23</f>
        <v>97</v>
      </c>
      <c r="V23" s="771" t="s">
        <v>17</v>
      </c>
      <c r="W23" s="772">
        <f>J23</f>
        <v>97</v>
      </c>
      <c r="X23" s="1808"/>
      <c r="Y23" s="3251"/>
      <c r="Z23" s="1809" t="str">
        <f>Q23</f>
        <v>自然及人文环境</v>
      </c>
      <c r="AA23" s="1806">
        <f t="shared" si="3"/>
        <v>1.0309278350515463</v>
      </c>
      <c r="AB23" s="1806">
        <f t="shared" si="4"/>
        <v>1.0309278350515463</v>
      </c>
      <c r="AC23" s="1806">
        <f t="shared" si="5"/>
        <v>1.0309278350515463</v>
      </c>
    </row>
    <row r="24" spans="1:29" ht="15">
      <c r="A24" s="427"/>
      <c r="B24" s="455"/>
      <c r="C24" s="446" t="s">
        <v>3188</v>
      </c>
      <c r="D24" s="447"/>
      <c r="E24" s="2600" t="s">
        <v>3189</v>
      </c>
      <c r="F24" s="448"/>
      <c r="G24" s="2600" t="s">
        <v>3189</v>
      </c>
      <c r="H24" s="447"/>
      <c r="I24" s="2600" t="s">
        <v>3189</v>
      </c>
      <c r="J24" s="447"/>
      <c r="K24" s="614"/>
      <c r="L24" s="1140"/>
      <c r="M24" s="1131"/>
      <c r="N24" s="1131"/>
      <c r="O24" s="1131"/>
      <c r="P24" s="3258"/>
      <c r="Q24" s="1805"/>
      <c r="R24" s="771"/>
      <c r="S24" s="772"/>
      <c r="T24" s="771"/>
      <c r="U24" s="772"/>
      <c r="V24" s="771"/>
      <c r="W24" s="772"/>
      <c r="X24" s="1808"/>
      <c r="Y24" s="3251"/>
      <c r="Z24" s="1809"/>
      <c r="AA24" s="1806">
        <v>1</v>
      </c>
      <c r="AB24" s="1806">
        <v>1</v>
      </c>
      <c r="AC24" s="1806">
        <v>1</v>
      </c>
    </row>
    <row r="25" spans="1:29" ht="15" hidden="1">
      <c r="A25" s="427"/>
      <c r="B25" s="421" t="s">
        <v>2655</v>
      </c>
      <c r="C25" s="615" t="s">
        <v>3190</v>
      </c>
      <c r="D25" s="434">
        <v>100</v>
      </c>
      <c r="E25" s="615" t="s">
        <v>3190</v>
      </c>
      <c r="F25" s="460">
        <f>SUMIF(86:86,E25,87:87)-SUMIF(86:86,C25,87:87)+100</f>
        <v>100</v>
      </c>
      <c r="G25" s="615" t="s">
        <v>3190</v>
      </c>
      <c r="H25" s="434">
        <f>SUMIF(86:86,G25,87:87)-SUMIF(86:86,C25,87:87)+100</f>
        <v>100</v>
      </c>
      <c r="I25" s="615" t="s">
        <v>3190</v>
      </c>
      <c r="J25" s="434">
        <f>SUMIF(86:86,I25,87:87)-SUMIF(86:86,C25,87:87)+100</f>
        <v>100</v>
      </c>
      <c r="K25" s="611">
        <v>0</v>
      </c>
      <c r="L25" s="1140"/>
      <c r="M25" s="1131"/>
      <c r="N25" s="1131"/>
      <c r="O25" s="1131"/>
      <c r="P25" s="3258"/>
      <c r="Q25" s="1805" t="str">
        <f t="shared" ref="Q25:Q46" si="11">B25</f>
        <v>临街状况</v>
      </c>
      <c r="R25" s="771" t="s">
        <v>17</v>
      </c>
      <c r="S25" s="772">
        <f>F25</f>
        <v>100</v>
      </c>
      <c r="T25" s="771" t="s">
        <v>17</v>
      </c>
      <c r="U25" s="772">
        <f>H25</f>
        <v>100</v>
      </c>
      <c r="V25" s="771" t="s">
        <v>17</v>
      </c>
      <c r="W25" s="772">
        <f>J25</f>
        <v>100</v>
      </c>
      <c r="X25" s="1808"/>
      <c r="Y25" s="3251"/>
      <c r="Z25" s="1809" t="str">
        <f>Q25</f>
        <v>临街状况</v>
      </c>
      <c r="AA25" s="1806">
        <f t="shared" si="3"/>
        <v>1</v>
      </c>
      <c r="AB25" s="1806">
        <f t="shared" si="4"/>
        <v>1</v>
      </c>
      <c r="AC25" s="1806">
        <f t="shared" si="5"/>
        <v>1</v>
      </c>
    </row>
    <row r="26" spans="1:29" ht="15">
      <c r="A26" s="427"/>
      <c r="B26" s="1382" t="s">
        <v>2656</v>
      </c>
      <c r="C26" s="2963" t="s">
        <v>3203</v>
      </c>
      <c r="D26" s="434">
        <v>100</v>
      </c>
      <c r="E26" s="2963" t="s">
        <v>3188</v>
      </c>
      <c r="F26" s="460">
        <f>SUMIF(88:88,E26,89:89)-SUMIF(88:88,C26,89:89)+100</f>
        <v>100</v>
      </c>
      <c r="G26" s="2963" t="s">
        <v>3192</v>
      </c>
      <c r="H26" s="434">
        <f>SUMIF(88:88,G26,89:89)-SUMIF(88:88,C26,89:89)+100</f>
        <v>100</v>
      </c>
      <c r="I26" s="2963" t="s">
        <v>3192</v>
      </c>
      <c r="J26" s="434">
        <f>SUMIF(88:88,I26,89:89)-SUMIF(88:88,C26,89:89)+100</f>
        <v>100</v>
      </c>
      <c r="K26" s="612"/>
      <c r="L26" s="1140"/>
      <c r="M26" s="1131"/>
      <c r="N26" s="1131"/>
      <c r="O26" s="1131"/>
      <c r="P26" s="3258"/>
      <c r="Q26" s="1805" t="str">
        <f t="shared" si="11"/>
        <v>平面位置/可视性</v>
      </c>
      <c r="R26" s="771" t="s">
        <v>17</v>
      </c>
      <c r="S26" s="772">
        <f>F26</f>
        <v>100</v>
      </c>
      <c r="T26" s="771" t="s">
        <v>17</v>
      </c>
      <c r="U26" s="772">
        <f>H26</f>
        <v>100</v>
      </c>
      <c r="V26" s="771" t="s">
        <v>17</v>
      </c>
      <c r="W26" s="772">
        <f>J26</f>
        <v>100</v>
      </c>
      <c r="X26" s="1808"/>
      <c r="Y26" s="3251"/>
      <c r="Z26" s="1809" t="str">
        <f>Q26</f>
        <v>平面位置/可视性</v>
      </c>
      <c r="AA26" s="1806">
        <f t="shared" si="3"/>
        <v>1</v>
      </c>
      <c r="AB26" s="1806">
        <f t="shared" si="4"/>
        <v>1</v>
      </c>
      <c r="AC26" s="1806">
        <f t="shared" si="5"/>
        <v>1</v>
      </c>
    </row>
    <row r="27" spans="1:29" s="117" customFormat="1" ht="15">
      <c r="A27" s="430"/>
      <c r="B27" s="450" t="s">
        <v>2657</v>
      </c>
      <c r="C27" s="2660" t="s">
        <v>3496</v>
      </c>
      <c r="D27" s="461">
        <v>100</v>
      </c>
      <c r="E27" s="2660" t="s">
        <v>3194</v>
      </c>
      <c r="F27" s="463">
        <f>SUMIF(90:90,E27,91:91)-SUMIF(90:90,C27,91:91)+100</f>
        <v>95</v>
      </c>
      <c r="G27" s="2660" t="s">
        <v>3189</v>
      </c>
      <c r="H27" s="461">
        <f>SUMIF(90:90,G27,91:91)-SUMIF(90:90,C27,91:91)+100</f>
        <v>90</v>
      </c>
      <c r="I27" s="2660" t="s">
        <v>3194</v>
      </c>
      <c r="J27" s="461">
        <f>SUMIF(90:90,I27,91:91)-SUMIF(90:90,C27,91:91)+100</f>
        <v>95</v>
      </c>
      <c r="K27" s="611">
        <v>5</v>
      </c>
      <c r="L27" s="1132"/>
      <c r="M27" s="1133"/>
      <c r="N27" s="1133"/>
      <c r="O27" s="1133"/>
      <c r="P27" s="3258"/>
      <c r="Q27" s="1790" t="str">
        <f t="shared" si="11"/>
        <v>人流量</v>
      </c>
      <c r="R27" s="767" t="s">
        <v>17</v>
      </c>
      <c r="S27" s="768">
        <f>F27</f>
        <v>95</v>
      </c>
      <c r="T27" s="767" t="s">
        <v>17</v>
      </c>
      <c r="U27" s="768">
        <f>H27</f>
        <v>90</v>
      </c>
      <c r="V27" s="767" t="s">
        <v>17</v>
      </c>
      <c r="W27" s="768">
        <f>J27</f>
        <v>95</v>
      </c>
      <c r="X27" s="769"/>
      <c r="Y27" s="3251"/>
      <c r="Z27" s="55" t="str">
        <f>Q27</f>
        <v>人流量</v>
      </c>
      <c r="AA27" s="1806">
        <f>D27/F27</f>
        <v>1.0526315789473684</v>
      </c>
      <c r="AB27" s="1806">
        <f>D27/H27</f>
        <v>1.1111111111111112</v>
      </c>
      <c r="AC27" s="1806">
        <f>D27/J27</f>
        <v>1.0526315789473684</v>
      </c>
    </row>
    <row r="28" spans="1:29" ht="15.75" thickBot="1">
      <c r="A28" s="427"/>
      <c r="B28" s="421" t="s">
        <v>2658</v>
      </c>
      <c r="C28" s="615" t="s">
        <v>3051</v>
      </c>
      <c r="D28" s="434">
        <v>100</v>
      </c>
      <c r="E28" s="615" t="s">
        <v>3051</v>
      </c>
      <c r="F28" s="460">
        <f>SUMIF(92:92,E28,93:93)-SUMIF(92:92,C28,93:93)+100</f>
        <v>100</v>
      </c>
      <c r="G28" s="615" t="s">
        <v>3051</v>
      </c>
      <c r="H28" s="434">
        <f>SUMIF(92:92,G28,93:93)-SUMIF(92:92,C28,93:93)+100</f>
        <v>100</v>
      </c>
      <c r="I28" s="615" t="s">
        <v>3051</v>
      </c>
      <c r="J28" s="434">
        <f>SUMIF(92:92,I28,93:93)-SUMIF(92:92,C28,93:93)+100</f>
        <v>100</v>
      </c>
      <c r="K28" s="612"/>
      <c r="L28" s="1140"/>
      <c r="M28" s="1131"/>
      <c r="N28" s="1131"/>
      <c r="O28" s="1131"/>
      <c r="P28" s="3258"/>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51"/>
      <c r="Z28" s="1809" t="str">
        <f t="shared" ref="Z28:Z46" si="15">Q28</f>
        <v>楼层</v>
      </c>
      <c r="AA28" s="1806">
        <f t="shared" si="3"/>
        <v>1</v>
      </c>
      <c r="AB28" s="1806">
        <f t="shared" si="4"/>
        <v>1</v>
      </c>
      <c r="AC28" s="1806">
        <f t="shared" si="5"/>
        <v>1</v>
      </c>
    </row>
    <row r="29" spans="1:29" ht="15" hidden="1">
      <c r="A29" s="427"/>
      <c r="B29" s="1382"/>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58"/>
      <c r="Q29" s="1805">
        <f t="shared" si="11"/>
        <v>0</v>
      </c>
      <c r="R29" s="771" t="s">
        <v>17</v>
      </c>
      <c r="S29" s="772">
        <f t="shared" si="12"/>
        <v>100</v>
      </c>
      <c r="T29" s="771" t="s">
        <v>17</v>
      </c>
      <c r="U29" s="772">
        <f t="shared" si="13"/>
        <v>100</v>
      </c>
      <c r="V29" s="771" t="s">
        <v>17</v>
      </c>
      <c r="W29" s="772">
        <f t="shared" si="14"/>
        <v>100</v>
      </c>
      <c r="X29" s="1808"/>
      <c r="Y29" s="3251"/>
      <c r="Z29" s="1809">
        <f t="shared" si="15"/>
        <v>0</v>
      </c>
      <c r="AA29" s="1806">
        <f t="shared" si="3"/>
        <v>1</v>
      </c>
      <c r="AB29" s="1806">
        <f t="shared" si="4"/>
        <v>1</v>
      </c>
      <c r="AC29" s="1806">
        <f t="shared" si="5"/>
        <v>1</v>
      </c>
    </row>
    <row r="30" spans="1:29" ht="15" hidden="1">
      <c r="A30" s="427"/>
      <c r="B30" s="1382"/>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58"/>
      <c r="Q30" s="1805">
        <f t="shared" si="11"/>
        <v>0</v>
      </c>
      <c r="R30" s="771" t="s">
        <v>17</v>
      </c>
      <c r="S30" s="772">
        <f t="shared" si="12"/>
        <v>100</v>
      </c>
      <c r="T30" s="771" t="s">
        <v>17</v>
      </c>
      <c r="U30" s="772">
        <f t="shared" si="13"/>
        <v>100</v>
      </c>
      <c r="V30" s="771" t="s">
        <v>17</v>
      </c>
      <c r="W30" s="772">
        <f t="shared" si="14"/>
        <v>100</v>
      </c>
      <c r="X30" s="1808"/>
      <c r="Y30" s="3251"/>
      <c r="Z30" s="1809">
        <f t="shared" si="15"/>
        <v>0</v>
      </c>
      <c r="AA30" s="1806">
        <f t="shared" si="3"/>
        <v>1</v>
      </c>
      <c r="AB30" s="1806">
        <f t="shared" si="4"/>
        <v>1</v>
      </c>
      <c r="AC30" s="1806">
        <f t="shared" si="5"/>
        <v>1</v>
      </c>
    </row>
    <row r="31" spans="1:29" ht="15.75" hidden="1" thickBot="1">
      <c r="A31" s="435"/>
      <c r="B31" s="1382"/>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58"/>
      <c r="Q31" s="1805">
        <f t="shared" si="11"/>
        <v>0</v>
      </c>
      <c r="R31" s="771" t="s">
        <v>17</v>
      </c>
      <c r="S31" s="772">
        <f t="shared" si="12"/>
        <v>100</v>
      </c>
      <c r="T31" s="771" t="s">
        <v>17</v>
      </c>
      <c r="U31" s="772">
        <f t="shared" si="13"/>
        <v>100</v>
      </c>
      <c r="V31" s="771" t="s">
        <v>17</v>
      </c>
      <c r="W31" s="772">
        <f t="shared" si="14"/>
        <v>100</v>
      </c>
      <c r="X31" s="1808"/>
      <c r="Y31" s="3251"/>
      <c r="Z31" s="1809">
        <f t="shared" si="15"/>
        <v>0</v>
      </c>
      <c r="AA31" s="1806">
        <f t="shared" si="3"/>
        <v>1</v>
      </c>
      <c r="AB31" s="1806">
        <f t="shared" si="4"/>
        <v>1</v>
      </c>
      <c r="AC31" s="1806">
        <f t="shared" si="5"/>
        <v>1</v>
      </c>
    </row>
    <row r="32" spans="1:29" ht="15">
      <c r="A32" s="439" t="s">
        <v>2562</v>
      </c>
      <c r="B32" s="71" t="s">
        <v>2659</v>
      </c>
      <c r="C32" s="2612" t="s">
        <v>3181</v>
      </c>
      <c r="D32" s="466">
        <v>100</v>
      </c>
      <c r="E32" s="2612" t="s">
        <v>3181</v>
      </c>
      <c r="F32" s="2967">
        <f>SUMIF(100:100,E32,101:101)-SUMIF(100:100,C32,101:101)+100</f>
        <v>100</v>
      </c>
      <c r="G32" s="2612" t="s">
        <v>3181</v>
      </c>
      <c r="H32" s="434">
        <f>SUMIF(100:100,G32,101:101)-SUMIF(100:100,C32,101:101)+100</f>
        <v>100</v>
      </c>
      <c r="I32" s="2612" t="s">
        <v>3181</v>
      </c>
      <c r="J32" s="466">
        <f>SUMIF(100:100,I32,101:101)-SUMIF(100:100,C32,101:101)+100</f>
        <v>100</v>
      </c>
      <c r="K32" s="611">
        <v>5</v>
      </c>
      <c r="L32" s="1140"/>
      <c r="M32" s="1131"/>
      <c r="N32" s="1131"/>
      <c r="O32" s="1131"/>
      <c r="P32" s="3252" t="s">
        <v>2564</v>
      </c>
      <c r="Q32" s="1805" t="str">
        <f t="shared" si="11"/>
        <v>商业类型</v>
      </c>
      <c r="R32" s="771" t="s">
        <v>17</v>
      </c>
      <c r="S32" s="772">
        <f t="shared" si="12"/>
        <v>100</v>
      </c>
      <c r="T32" s="771" t="s">
        <v>17</v>
      </c>
      <c r="U32" s="772">
        <f t="shared" si="13"/>
        <v>100</v>
      </c>
      <c r="V32" s="771" t="s">
        <v>17</v>
      </c>
      <c r="W32" s="772">
        <f t="shared" si="14"/>
        <v>100</v>
      </c>
      <c r="X32" s="1808"/>
      <c r="Y32" s="3255" t="s">
        <v>2564</v>
      </c>
      <c r="Z32" s="1809" t="str">
        <f t="shared" si="15"/>
        <v>商业类型</v>
      </c>
      <c r="AA32" s="1806">
        <f t="shared" si="3"/>
        <v>1</v>
      </c>
      <c r="AB32" s="1806">
        <f t="shared" si="4"/>
        <v>1</v>
      </c>
      <c r="AC32" s="1806">
        <f t="shared" si="5"/>
        <v>1</v>
      </c>
    </row>
    <row r="33" spans="1:29" s="470" customFormat="1" ht="15">
      <c r="A33" s="467"/>
      <c r="B33" s="421" t="s">
        <v>2565</v>
      </c>
      <c r="C33" s="2965">
        <f>抵押物清单!D6</f>
        <v>133.31</v>
      </c>
      <c r="D33" s="135">
        <v>100</v>
      </c>
      <c r="E33" s="428">
        <v>100</v>
      </c>
      <c r="F33" s="424">
        <f>LOOKUP(E33,103:103,104:104)-LOOKUP(C33,103:103,104:104)+100</f>
        <v>100</v>
      </c>
      <c r="G33" s="428">
        <v>79</v>
      </c>
      <c r="H33" s="135">
        <f>LOOKUP(G33,103:103,104:104)-LOOKUP(C33,103:103,104:104)+100</f>
        <v>104</v>
      </c>
      <c r="I33" s="428">
        <v>50</v>
      </c>
      <c r="J33" s="135">
        <f>LOOKUP(I33,103:103,104:104)-LOOKUP(C33,103:103,104:104)+100</f>
        <v>104</v>
      </c>
      <c r="K33" s="612"/>
      <c r="L33" s="1138"/>
      <c r="M33" s="1141"/>
      <c r="N33" s="1141"/>
      <c r="O33" s="1141"/>
      <c r="P33" s="3253"/>
      <c r="Q33" s="773" t="str">
        <f t="shared" si="11"/>
        <v>项目建筑规模</v>
      </c>
      <c r="R33" s="774" t="s">
        <v>17</v>
      </c>
      <c r="S33" s="775">
        <f t="shared" si="12"/>
        <v>100</v>
      </c>
      <c r="T33" s="774" t="s">
        <v>17</v>
      </c>
      <c r="U33" s="775">
        <f t="shared" si="13"/>
        <v>104</v>
      </c>
      <c r="V33" s="774" t="s">
        <v>17</v>
      </c>
      <c r="W33" s="775">
        <f t="shared" si="14"/>
        <v>104</v>
      </c>
      <c r="X33" s="776"/>
      <c r="Y33" s="3255"/>
      <c r="Z33" s="777" t="str">
        <f t="shared" si="15"/>
        <v>项目建筑规模</v>
      </c>
      <c r="AA33" s="1806">
        <f t="shared" si="3"/>
        <v>1</v>
      </c>
      <c r="AB33" s="1806">
        <f t="shared" si="4"/>
        <v>0.96153846153846156</v>
      </c>
      <c r="AC33" s="1806">
        <f t="shared" si="5"/>
        <v>0.96153846153846156</v>
      </c>
    </row>
    <row r="34" spans="1:29" ht="15">
      <c r="A34" s="471"/>
      <c r="B34" s="421" t="s">
        <v>2566</v>
      </c>
      <c r="C34" s="2614" t="s">
        <v>3145</v>
      </c>
      <c r="D34" s="434">
        <v>100</v>
      </c>
      <c r="E34" s="2614" t="s">
        <v>3145</v>
      </c>
      <c r="F34" s="460">
        <f>SUMIF(105:105,E34,106:106)-SUMIF(105:105,C34,106:106)+100</f>
        <v>100</v>
      </c>
      <c r="G34" s="2614" t="s">
        <v>3145</v>
      </c>
      <c r="H34" s="434">
        <f>SUMIF(105:105,G34,106:106)-SUMIF(105:105,C34,106:106)+100</f>
        <v>100</v>
      </c>
      <c r="I34" s="2614" t="s">
        <v>3145</v>
      </c>
      <c r="J34" s="434">
        <f>SUMIF(105:105,I34,106:106)-SUMIF(105:105,C34,106:106)+100</f>
        <v>100</v>
      </c>
      <c r="K34" s="611">
        <v>5</v>
      </c>
      <c r="L34" s="1140"/>
      <c r="M34" s="1131"/>
      <c r="N34" s="1131"/>
      <c r="O34" s="1131"/>
      <c r="P34" s="3253"/>
      <c r="Q34" s="1805" t="str">
        <f t="shared" si="11"/>
        <v>建筑结构</v>
      </c>
      <c r="R34" s="771" t="s">
        <v>17</v>
      </c>
      <c r="S34" s="772">
        <f t="shared" si="12"/>
        <v>100</v>
      </c>
      <c r="T34" s="771" t="s">
        <v>17</v>
      </c>
      <c r="U34" s="772">
        <f t="shared" si="13"/>
        <v>100</v>
      </c>
      <c r="V34" s="771" t="s">
        <v>17</v>
      </c>
      <c r="W34" s="772">
        <f t="shared" si="14"/>
        <v>100</v>
      </c>
      <c r="X34" s="1808"/>
      <c r="Y34" s="3255"/>
      <c r="Z34" s="1809" t="str">
        <f t="shared" si="15"/>
        <v>建筑结构</v>
      </c>
      <c r="AA34" s="1806">
        <f t="shared" si="3"/>
        <v>1</v>
      </c>
      <c r="AB34" s="1806">
        <f t="shared" si="4"/>
        <v>1</v>
      </c>
      <c r="AC34" s="1806">
        <f t="shared" si="5"/>
        <v>1</v>
      </c>
    </row>
    <row r="35" spans="1:29" ht="15">
      <c r="A35" s="471"/>
      <c r="B35" s="421" t="s">
        <v>2660</v>
      </c>
      <c r="C35" s="2608" t="s">
        <v>3198</v>
      </c>
      <c r="D35" s="434">
        <v>100</v>
      </c>
      <c r="E35" s="2608" t="s">
        <v>3198</v>
      </c>
      <c r="F35" s="460">
        <f>SUMIF(107:107,E35,108:108)-SUMIF(107:107,C35,108:108)+100</f>
        <v>100</v>
      </c>
      <c r="G35" s="2608" t="s">
        <v>3198</v>
      </c>
      <c r="H35" s="434">
        <f>SUMIF(107:107,G35,108:108)-SUMIF(107:107,C35,108:108)+100</f>
        <v>100</v>
      </c>
      <c r="I35" s="2608" t="s">
        <v>3198</v>
      </c>
      <c r="J35" s="434">
        <f>SUMIF(107:107,I35,108:108)-SUMIF(107:107,C35,108:108)+100</f>
        <v>100</v>
      </c>
      <c r="K35" s="611">
        <v>2</v>
      </c>
      <c r="L35" s="1140"/>
      <c r="M35" s="1131"/>
      <c r="N35" s="1131"/>
      <c r="O35" s="1131"/>
      <c r="P35" s="3253"/>
      <c r="Q35" s="1805" t="str">
        <f t="shared" si="11"/>
        <v>公共部分装修</v>
      </c>
      <c r="R35" s="771" t="s">
        <v>17</v>
      </c>
      <c r="S35" s="772">
        <f t="shared" si="12"/>
        <v>100</v>
      </c>
      <c r="T35" s="771" t="s">
        <v>17</v>
      </c>
      <c r="U35" s="772">
        <f t="shared" si="13"/>
        <v>100</v>
      </c>
      <c r="V35" s="771" t="s">
        <v>17</v>
      </c>
      <c r="W35" s="772">
        <f t="shared" si="14"/>
        <v>100</v>
      </c>
      <c r="X35" s="1808"/>
      <c r="Y35" s="3255"/>
      <c r="Z35" s="1809" t="str">
        <f t="shared" si="15"/>
        <v>公共部分装修</v>
      </c>
      <c r="AA35" s="1806">
        <f t="shared" si="3"/>
        <v>1</v>
      </c>
      <c r="AB35" s="1806">
        <f t="shared" si="4"/>
        <v>1</v>
      </c>
      <c r="AC35" s="1806">
        <f t="shared" si="5"/>
        <v>1</v>
      </c>
    </row>
    <row r="36" spans="1:29" ht="15">
      <c r="A36" s="471"/>
      <c r="B36" s="421" t="s">
        <v>2661</v>
      </c>
      <c r="C36" s="473">
        <v>0.93</v>
      </c>
      <c r="D36" s="434">
        <v>100</v>
      </c>
      <c r="E36" s="473">
        <v>0.95</v>
      </c>
      <c r="F36" s="460">
        <f>LOOKUP(E36,110:110,111:111)-LOOKUP(C36,110:110,111:111)+100</f>
        <v>100</v>
      </c>
      <c r="G36" s="473">
        <v>0.97</v>
      </c>
      <c r="H36" s="460">
        <f>LOOKUP(G36,110:110,111:111)-LOOKUP(C36,110:110,111:111)+100</f>
        <v>100</v>
      </c>
      <c r="I36" s="473">
        <v>0.98</v>
      </c>
      <c r="J36" s="434">
        <f>LOOKUP(I36,110:110,111:111)-LOOKUP(C36,110:110,111:111)+100</f>
        <v>100</v>
      </c>
      <c r="K36" s="611">
        <v>2</v>
      </c>
      <c r="L36" s="1140"/>
      <c r="M36" s="1131"/>
      <c r="N36" s="1131"/>
      <c r="O36" s="1131"/>
      <c r="P36" s="3253"/>
      <c r="Q36" s="1805" t="str">
        <f t="shared" si="11"/>
        <v>成新度</v>
      </c>
      <c r="R36" s="771" t="s">
        <v>17</v>
      </c>
      <c r="S36" s="772">
        <f t="shared" si="12"/>
        <v>100</v>
      </c>
      <c r="T36" s="771" t="s">
        <v>17</v>
      </c>
      <c r="U36" s="772">
        <f t="shared" si="13"/>
        <v>100</v>
      </c>
      <c r="V36" s="771" t="s">
        <v>17</v>
      </c>
      <c r="W36" s="772">
        <f t="shared" si="14"/>
        <v>100</v>
      </c>
      <c r="X36" s="1808"/>
      <c r="Y36" s="3255"/>
      <c r="Z36" s="1809" t="str">
        <f t="shared" si="15"/>
        <v>成新度</v>
      </c>
      <c r="AA36" s="1806">
        <f t="shared" si="3"/>
        <v>1</v>
      </c>
      <c r="AB36" s="1806">
        <f t="shared" si="4"/>
        <v>1</v>
      </c>
      <c r="AC36" s="1806">
        <f t="shared" si="5"/>
        <v>1</v>
      </c>
    </row>
    <row r="37" spans="1:29" s="117" customFormat="1" ht="15">
      <c r="A37" s="472"/>
      <c r="B37" s="421" t="s">
        <v>2662</v>
      </c>
      <c r="C37" s="2608" t="s">
        <v>3187</v>
      </c>
      <c r="D37" s="135">
        <v>100</v>
      </c>
      <c r="E37" s="2608" t="s">
        <v>3187</v>
      </c>
      <c r="F37" s="460">
        <f>SUMIF(112:112,E37,113:113)-SUMIF(112:112,C37,113:113)+100</f>
        <v>100</v>
      </c>
      <c r="G37" s="2608" t="s">
        <v>3187</v>
      </c>
      <c r="H37" s="434">
        <f>SUMIF(112:112,G37,113:113)-SUMIF(112:112,C37,113:113)+100</f>
        <v>100</v>
      </c>
      <c r="I37" s="2608" t="s">
        <v>3187</v>
      </c>
      <c r="J37" s="434">
        <f>SUMIF(112:112,I37,113:113)-SUMIF(112:112,C37,113:113)+100</f>
        <v>100</v>
      </c>
      <c r="K37" s="611">
        <v>1</v>
      </c>
      <c r="L37" s="1132"/>
      <c r="M37" s="1133"/>
      <c r="N37" s="1133"/>
      <c r="O37" s="1133"/>
      <c r="P37" s="3253"/>
      <c r="Q37" s="1790" t="str">
        <f t="shared" si="11"/>
        <v>市政基础设施</v>
      </c>
      <c r="R37" s="767" t="s">
        <v>17</v>
      </c>
      <c r="S37" s="768">
        <f t="shared" si="12"/>
        <v>100</v>
      </c>
      <c r="T37" s="767" t="s">
        <v>17</v>
      </c>
      <c r="U37" s="768">
        <f t="shared" si="13"/>
        <v>100</v>
      </c>
      <c r="V37" s="767" t="s">
        <v>17</v>
      </c>
      <c r="W37" s="768">
        <f t="shared" si="14"/>
        <v>100</v>
      </c>
      <c r="X37" s="769"/>
      <c r="Y37" s="3255"/>
      <c r="Z37" s="55" t="str">
        <f t="shared" si="15"/>
        <v>市政基础设施</v>
      </c>
      <c r="AA37" s="770">
        <f t="shared" si="3"/>
        <v>1</v>
      </c>
      <c r="AB37" s="770">
        <f t="shared" si="4"/>
        <v>1</v>
      </c>
      <c r="AC37" s="770">
        <f t="shared" si="5"/>
        <v>1</v>
      </c>
    </row>
    <row r="38" spans="1:29" ht="15" hidden="1">
      <c r="A38" s="471"/>
      <c r="B38" s="421" t="s">
        <v>2663</v>
      </c>
      <c r="C38" s="2608" t="s">
        <v>3205</v>
      </c>
      <c r="D38" s="434">
        <v>100</v>
      </c>
      <c r="E38" s="2608" t="s">
        <v>3205</v>
      </c>
      <c r="F38" s="460">
        <f>SUMIF(114:114,E38,115:115)-SUMIF(114:114,C38,115:115)+100</f>
        <v>100</v>
      </c>
      <c r="G38" s="2608" t="s">
        <v>3205</v>
      </c>
      <c r="H38" s="434">
        <f>SUMIF(114:114,G38,115:115)-SUMIF(114:114,C38,115:115)+100</f>
        <v>100</v>
      </c>
      <c r="I38" s="2608" t="s">
        <v>3205</v>
      </c>
      <c r="J38" s="434">
        <f>SUMIF(114:114,I38,115:115)-SUMIF(114:114,C38,115:115)+100</f>
        <v>100</v>
      </c>
      <c r="K38" s="611">
        <v>5</v>
      </c>
      <c r="L38" s="1140"/>
      <c r="M38" s="1131"/>
      <c r="N38" s="1131"/>
      <c r="O38" s="1131"/>
      <c r="P38" s="3253" t="s">
        <v>2564</v>
      </c>
      <c r="Q38" s="1805" t="str">
        <f t="shared" si="11"/>
        <v>业态</v>
      </c>
      <c r="R38" s="771" t="s">
        <v>17</v>
      </c>
      <c r="S38" s="772">
        <f t="shared" si="12"/>
        <v>100</v>
      </c>
      <c r="T38" s="771" t="s">
        <v>17</v>
      </c>
      <c r="U38" s="772">
        <f t="shared" si="13"/>
        <v>100</v>
      </c>
      <c r="V38" s="771" t="s">
        <v>17</v>
      </c>
      <c r="W38" s="772">
        <f t="shared" si="14"/>
        <v>100</v>
      </c>
      <c r="X38" s="1808"/>
      <c r="Y38" s="3255" t="s">
        <v>2564</v>
      </c>
      <c r="Z38" s="1809" t="str">
        <f t="shared" si="15"/>
        <v>业态</v>
      </c>
      <c r="AA38" s="1806">
        <f t="shared" si="3"/>
        <v>1</v>
      </c>
      <c r="AB38" s="1806">
        <f t="shared" si="4"/>
        <v>1</v>
      </c>
      <c r="AC38" s="1806">
        <f t="shared" si="5"/>
        <v>1</v>
      </c>
    </row>
    <row r="39" spans="1:29" ht="15">
      <c r="A39" s="471"/>
      <c r="B39" s="421" t="s">
        <v>2664</v>
      </c>
      <c r="C39" s="2608" t="s">
        <v>3207</v>
      </c>
      <c r="D39" s="434">
        <v>100</v>
      </c>
      <c r="E39" s="2608" t="s">
        <v>3207</v>
      </c>
      <c r="F39" s="460">
        <f>SUMIF(116:116,E39,117:117)-SUMIF(116:116,C39,117:117)+100</f>
        <v>100</v>
      </c>
      <c r="G39" s="2608" t="s">
        <v>3207</v>
      </c>
      <c r="H39" s="434">
        <f>SUMIF(116:116,G39,117:117)-SUMIF(116:116,C39,117:117)+100</f>
        <v>100</v>
      </c>
      <c r="I39" s="2608" t="s">
        <v>3207</v>
      </c>
      <c r="J39" s="434">
        <f>SUMIF(116:116,I39,117:117)-SUMIF(116:116,C39,117:117)+100</f>
        <v>100</v>
      </c>
      <c r="K39" s="611">
        <v>15</v>
      </c>
      <c r="L39" s="1140"/>
      <c r="M39" s="1131"/>
      <c r="N39" s="1131"/>
      <c r="O39" s="1131"/>
      <c r="P39" s="3253"/>
      <c r="Q39" s="1805" t="str">
        <f t="shared" si="11"/>
        <v>层高</v>
      </c>
      <c r="R39" s="771" t="s">
        <v>17</v>
      </c>
      <c r="S39" s="772">
        <f t="shared" si="12"/>
        <v>100</v>
      </c>
      <c r="T39" s="771" t="s">
        <v>17</v>
      </c>
      <c r="U39" s="772">
        <f t="shared" si="13"/>
        <v>100</v>
      </c>
      <c r="V39" s="771" t="s">
        <v>17</v>
      </c>
      <c r="W39" s="772">
        <f t="shared" si="14"/>
        <v>100</v>
      </c>
      <c r="X39" s="1808"/>
      <c r="Y39" s="3255"/>
      <c r="Z39" s="1809" t="str">
        <f t="shared" si="15"/>
        <v>层高</v>
      </c>
      <c r="AA39" s="1806">
        <f t="shared" si="3"/>
        <v>1</v>
      </c>
      <c r="AB39" s="1806">
        <f t="shared" si="4"/>
        <v>1</v>
      </c>
      <c r="AC39" s="1806">
        <f t="shared" si="5"/>
        <v>1</v>
      </c>
    </row>
    <row r="40" spans="1:29" ht="15">
      <c r="A40" s="471"/>
      <c r="B40" s="421" t="s">
        <v>2665</v>
      </c>
      <c r="C40" s="2964"/>
      <c r="D40" s="434">
        <v>100</v>
      </c>
      <c r="E40" s="2964"/>
      <c r="F40" s="460">
        <f>SUMIF(118:118,E40,119:119)-SUMIF(118:118,C40,119:119)+100</f>
        <v>100</v>
      </c>
      <c r="G40" s="2964"/>
      <c r="H40" s="434">
        <f>SUMIF(118:118,G40,119:119)-SUMIF(118:118,C40,119:119)+100</f>
        <v>100</v>
      </c>
      <c r="I40" s="2964"/>
      <c r="J40" s="434">
        <f>SUMIF(118:118,I40,119:119)-SUMIF(118:118,C40,119:119)+100</f>
        <v>100</v>
      </c>
      <c r="K40" s="612"/>
      <c r="L40" s="1140"/>
      <c r="M40" s="1131"/>
      <c r="N40" s="1131"/>
      <c r="O40" s="1131"/>
      <c r="P40" s="3253"/>
      <c r="Q40" s="1805" t="str">
        <f t="shared" si="11"/>
        <v>单套建筑面积</v>
      </c>
      <c r="R40" s="771" t="s">
        <v>17</v>
      </c>
      <c r="S40" s="772">
        <f t="shared" si="12"/>
        <v>100</v>
      </c>
      <c r="T40" s="771" t="s">
        <v>17</v>
      </c>
      <c r="U40" s="772">
        <f t="shared" si="13"/>
        <v>100</v>
      </c>
      <c r="V40" s="771" t="s">
        <v>17</v>
      </c>
      <c r="W40" s="772">
        <f t="shared" si="14"/>
        <v>100</v>
      </c>
      <c r="X40" s="1808"/>
      <c r="Y40" s="3255"/>
      <c r="Z40" s="1809" t="str">
        <f t="shared" si="15"/>
        <v>单套建筑面积</v>
      </c>
      <c r="AA40" s="1806">
        <f t="shared" si="3"/>
        <v>1</v>
      </c>
      <c r="AB40" s="1806">
        <f t="shared" si="4"/>
        <v>1</v>
      </c>
      <c r="AC40" s="1806">
        <f t="shared" si="5"/>
        <v>1</v>
      </c>
    </row>
    <row r="41" spans="1:29" s="470" customFormat="1" ht="15">
      <c r="A41" s="467"/>
      <c r="B41" s="1807" t="s">
        <v>2666</v>
      </c>
      <c r="C41" s="615" t="s">
        <v>3188</v>
      </c>
      <c r="D41" s="434">
        <v>100</v>
      </c>
      <c r="E41" s="615" t="s">
        <v>3188</v>
      </c>
      <c r="F41" s="460">
        <f>SUMIF(120:120,E41,121:121)-SUMIF(120:120,C41,121:121)+100</f>
        <v>100</v>
      </c>
      <c r="G41" s="615" t="s">
        <v>3188</v>
      </c>
      <c r="H41" s="434">
        <f>SUMIF(120:120,G41,121:121)-SUMIF(120:120,C41,121:121)+100</f>
        <v>100</v>
      </c>
      <c r="I41" s="615" t="s">
        <v>3188</v>
      </c>
      <c r="J41" s="434">
        <f>SUMIF(120:120,I41,121:121)-SUMIF(120:120,C41,121:121)+100</f>
        <v>100</v>
      </c>
      <c r="K41" s="611">
        <v>3</v>
      </c>
      <c r="L41" s="1138"/>
      <c r="M41" s="1141"/>
      <c r="N41" s="1141"/>
      <c r="O41" s="1141"/>
      <c r="P41" s="3253"/>
      <c r="Q41" s="773" t="str">
        <f t="shared" si="11"/>
        <v>进深比</v>
      </c>
      <c r="R41" s="774" t="s">
        <v>17</v>
      </c>
      <c r="S41" s="775">
        <f t="shared" si="12"/>
        <v>100</v>
      </c>
      <c r="T41" s="774" t="s">
        <v>17</v>
      </c>
      <c r="U41" s="775">
        <f t="shared" si="13"/>
        <v>100</v>
      </c>
      <c r="V41" s="774" t="s">
        <v>17</v>
      </c>
      <c r="W41" s="775">
        <f t="shared" si="14"/>
        <v>100</v>
      </c>
      <c r="X41" s="776"/>
      <c r="Y41" s="3255"/>
      <c r="Z41" s="777" t="str">
        <f t="shared" si="15"/>
        <v>进深比</v>
      </c>
      <c r="AA41" s="1806">
        <f t="shared" si="3"/>
        <v>1</v>
      </c>
      <c r="AB41" s="1806">
        <f t="shared" si="4"/>
        <v>1</v>
      </c>
      <c r="AC41" s="1806">
        <f t="shared" si="5"/>
        <v>1</v>
      </c>
    </row>
    <row r="42" spans="1:29" ht="15">
      <c r="A42" s="471"/>
      <c r="B42" s="421" t="s">
        <v>2667</v>
      </c>
      <c r="C42" s="2608" t="s">
        <v>3201</v>
      </c>
      <c r="D42" s="434">
        <v>100</v>
      </c>
      <c r="E42" s="2608" t="s">
        <v>3201</v>
      </c>
      <c r="F42" s="460">
        <f>SUMIF(122:122,E42,123:123)-SUMIF(122:122,C42,123:123)+100</f>
        <v>100</v>
      </c>
      <c r="G42" s="2608" t="s">
        <v>3201</v>
      </c>
      <c r="H42" s="434">
        <f>SUMIF(122:122,G42,123:123)-SUMIF(122:122,C42,123:123)+100</f>
        <v>100</v>
      </c>
      <c r="I42" s="2608" t="s">
        <v>3201</v>
      </c>
      <c r="J42" s="434">
        <f>SUMIF(122:122,I42,123:123)-SUMIF(122:122,C42,123:123)+100</f>
        <v>100</v>
      </c>
      <c r="K42" s="611">
        <v>2</v>
      </c>
      <c r="L42" s="1140"/>
      <c r="M42" s="1131"/>
      <c r="N42" s="1131"/>
      <c r="O42" s="1131"/>
      <c r="P42" s="3253"/>
      <c r="Q42" s="1805" t="str">
        <f t="shared" si="11"/>
        <v>内部装修</v>
      </c>
      <c r="R42" s="771" t="s">
        <v>17</v>
      </c>
      <c r="S42" s="772">
        <f t="shared" si="12"/>
        <v>100</v>
      </c>
      <c r="T42" s="771" t="s">
        <v>17</v>
      </c>
      <c r="U42" s="772">
        <f t="shared" si="13"/>
        <v>100</v>
      </c>
      <c r="V42" s="771" t="s">
        <v>17</v>
      </c>
      <c r="W42" s="772">
        <f t="shared" si="14"/>
        <v>100</v>
      </c>
      <c r="X42" s="1808"/>
      <c r="Y42" s="3255"/>
      <c r="Z42" s="1809" t="str">
        <f t="shared" si="15"/>
        <v>内部装修</v>
      </c>
      <c r="AA42" s="1806">
        <f t="shared" si="3"/>
        <v>1</v>
      </c>
      <c r="AB42" s="1806">
        <f t="shared" si="4"/>
        <v>1</v>
      </c>
      <c r="AC42" s="1806">
        <f t="shared" si="5"/>
        <v>1</v>
      </c>
    </row>
    <row r="43" spans="1:29" ht="15.75" thickBot="1">
      <c r="A43" s="471"/>
      <c r="B43" s="421" t="s">
        <v>2575</v>
      </c>
      <c r="C43" s="2608" t="s">
        <v>3188</v>
      </c>
      <c r="D43" s="434">
        <v>100</v>
      </c>
      <c r="E43" s="2608" t="s">
        <v>3188</v>
      </c>
      <c r="F43" s="460">
        <f>SUMIF(124:124,E43,125:125)-SUMIF(124:124,C43,125:125)+100</f>
        <v>100</v>
      </c>
      <c r="G43" s="2608" t="s">
        <v>3188</v>
      </c>
      <c r="H43" s="434">
        <f>SUMIF(124:124,G43,125:125)-SUMIF(124:124,C43,125:125)+100</f>
        <v>100</v>
      </c>
      <c r="I43" s="2608" t="s">
        <v>3188</v>
      </c>
      <c r="J43" s="434">
        <f>SUMIF(124:124,I43,125:125)-SUMIF(124:124,C43,125:125)+100</f>
        <v>100</v>
      </c>
      <c r="K43" s="611">
        <v>2</v>
      </c>
      <c r="L43" s="1140"/>
      <c r="M43" s="1131"/>
      <c r="N43" s="1131"/>
      <c r="O43" s="1131"/>
      <c r="P43" s="3253"/>
      <c r="Q43" s="1805" t="str">
        <f t="shared" si="11"/>
        <v>内部装修维护情况</v>
      </c>
      <c r="R43" s="771" t="s">
        <v>17</v>
      </c>
      <c r="S43" s="772">
        <f t="shared" si="12"/>
        <v>100</v>
      </c>
      <c r="T43" s="771" t="s">
        <v>17</v>
      </c>
      <c r="U43" s="772">
        <f t="shared" si="13"/>
        <v>100</v>
      </c>
      <c r="V43" s="771" t="s">
        <v>17</v>
      </c>
      <c r="W43" s="772">
        <f t="shared" si="14"/>
        <v>100</v>
      </c>
      <c r="X43" s="1808"/>
      <c r="Y43" s="3255"/>
      <c r="Z43" s="1809" t="str">
        <f t="shared" si="15"/>
        <v>内部装修维护情况</v>
      </c>
      <c r="AA43" s="1806">
        <f t="shared" si="3"/>
        <v>1</v>
      </c>
      <c r="AB43" s="1806">
        <f t="shared" si="4"/>
        <v>1</v>
      </c>
      <c r="AC43" s="1806">
        <f t="shared" si="5"/>
        <v>1</v>
      </c>
    </row>
    <row r="44" spans="1:29" s="117" customFormat="1" ht="15" hidden="1">
      <c r="A44" s="472"/>
      <c r="B44" s="1382"/>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53"/>
      <c r="Q44" s="1790">
        <f t="shared" si="11"/>
        <v>0</v>
      </c>
      <c r="R44" s="767" t="s">
        <v>17</v>
      </c>
      <c r="S44" s="768">
        <f t="shared" si="12"/>
        <v>100</v>
      </c>
      <c r="T44" s="767" t="s">
        <v>17</v>
      </c>
      <c r="U44" s="768">
        <f t="shared" si="13"/>
        <v>100</v>
      </c>
      <c r="V44" s="767" t="s">
        <v>17</v>
      </c>
      <c r="W44" s="768">
        <f t="shared" si="14"/>
        <v>100</v>
      </c>
      <c r="X44" s="769"/>
      <c r="Y44" s="3255"/>
      <c r="Z44" s="55">
        <f t="shared" si="15"/>
        <v>0</v>
      </c>
      <c r="AA44" s="770">
        <f t="shared" si="3"/>
        <v>1</v>
      </c>
      <c r="AB44" s="770">
        <f t="shared" si="4"/>
        <v>1</v>
      </c>
      <c r="AC44" s="770">
        <f t="shared" si="5"/>
        <v>1</v>
      </c>
    </row>
    <row r="45" spans="1:29" ht="15" hidden="1">
      <c r="A45" s="471"/>
      <c r="B45" s="1382"/>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53"/>
      <c r="Q45" s="1805">
        <f t="shared" si="11"/>
        <v>0</v>
      </c>
      <c r="R45" s="771" t="s">
        <v>17</v>
      </c>
      <c r="S45" s="772">
        <f t="shared" si="12"/>
        <v>100</v>
      </c>
      <c r="T45" s="771" t="s">
        <v>17</v>
      </c>
      <c r="U45" s="772">
        <f t="shared" si="13"/>
        <v>100</v>
      </c>
      <c r="V45" s="771" t="s">
        <v>17</v>
      </c>
      <c r="W45" s="772">
        <f t="shared" si="14"/>
        <v>100</v>
      </c>
      <c r="X45" s="1808"/>
      <c r="Y45" s="3255"/>
      <c r="Z45" s="1809">
        <f t="shared" si="15"/>
        <v>0</v>
      </c>
      <c r="AA45" s="1806">
        <f t="shared" si="3"/>
        <v>1</v>
      </c>
      <c r="AB45" s="1806">
        <f t="shared" si="4"/>
        <v>1</v>
      </c>
      <c r="AC45" s="1806">
        <f t="shared" si="5"/>
        <v>1</v>
      </c>
    </row>
    <row r="46" spans="1:29" ht="15.75" hidden="1" thickBot="1">
      <c r="A46" s="477"/>
      <c r="B46" s="2597"/>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54"/>
      <c r="Q46" s="1805">
        <f t="shared" si="11"/>
        <v>0</v>
      </c>
      <c r="R46" s="771" t="s">
        <v>17</v>
      </c>
      <c r="S46" s="772">
        <f t="shared" si="12"/>
        <v>100</v>
      </c>
      <c r="T46" s="771" t="s">
        <v>17</v>
      </c>
      <c r="U46" s="772">
        <f t="shared" si="13"/>
        <v>100</v>
      </c>
      <c r="V46" s="771" t="s">
        <v>17</v>
      </c>
      <c r="W46" s="772">
        <f t="shared" si="14"/>
        <v>100</v>
      </c>
      <c r="X46" s="1808"/>
      <c r="Y46" s="3256"/>
      <c r="Z46" s="1809">
        <f t="shared" si="15"/>
        <v>0</v>
      </c>
      <c r="AA46" s="1806">
        <f t="shared" si="3"/>
        <v>1</v>
      </c>
      <c r="AB46" s="1806">
        <f t="shared" si="4"/>
        <v>1</v>
      </c>
      <c r="AC46" s="1806">
        <f t="shared" si="5"/>
        <v>1</v>
      </c>
    </row>
    <row r="47" spans="1:29" ht="15">
      <c r="A47" s="478" t="s">
        <v>2576</v>
      </c>
      <c r="B47" s="479"/>
      <c r="C47" s="1403" t="s">
        <v>1</v>
      </c>
      <c r="D47" s="1404"/>
      <c r="E47" s="1405">
        <v>50000</v>
      </c>
      <c r="F47" s="1406"/>
      <c r="G47" s="1407">
        <v>40000</v>
      </c>
      <c r="H47" s="1408"/>
      <c r="I47" s="1405">
        <v>50000</v>
      </c>
      <c r="J47" s="1408"/>
      <c r="K47" s="780"/>
      <c r="L47" s="1143"/>
      <c r="M47" s="1144"/>
      <c r="N47" s="1131"/>
      <c r="O47" s="1144"/>
      <c r="P47" s="3248" t="str">
        <f>A47</f>
        <v>成交单价（元/平方米）</v>
      </c>
      <c r="Q47" s="3248"/>
      <c r="R47" s="3243">
        <f>E47</f>
        <v>50000</v>
      </c>
      <c r="S47" s="3243"/>
      <c r="T47" s="3243">
        <f>G47</f>
        <v>40000</v>
      </c>
      <c r="U47" s="3243"/>
      <c r="V47" s="3243">
        <f>I47</f>
        <v>50000</v>
      </c>
      <c r="W47" s="3243"/>
      <c r="X47" s="756"/>
      <c r="Y47" s="778"/>
      <c r="Z47" s="756"/>
      <c r="AA47" s="756"/>
      <c r="AB47" s="756"/>
      <c r="AC47" s="756"/>
    </row>
    <row r="48" spans="1:29" ht="15.75" thickBot="1">
      <c r="A48" s="485" t="s">
        <v>2668</v>
      </c>
      <c r="B48" s="486"/>
      <c r="C48" s="1409">
        <f>R49</f>
        <v>57033</v>
      </c>
      <c r="D48" s="1410"/>
      <c r="E48" s="1411">
        <f>R48</f>
        <v>60703</v>
      </c>
      <c r="F48" s="1411"/>
      <c r="G48" s="1409">
        <f>T48</f>
        <v>52027</v>
      </c>
      <c r="H48" s="1410"/>
      <c r="I48" s="1411">
        <f>V48</f>
        <v>58368</v>
      </c>
      <c r="J48" s="1410"/>
      <c r="K48" s="781"/>
      <c r="L48" s="1143"/>
      <c r="M48" s="1144"/>
      <c r="N48" s="1131"/>
      <c r="O48" s="1144"/>
      <c r="P48" s="3248" t="str">
        <f>A48</f>
        <v>比较价值（元/平方米）</v>
      </c>
      <c r="Q48" s="3248"/>
      <c r="R48" s="3249">
        <f>IF(F1="售价",ROUND(PRODUCT(R47,AA7:AA46),0),ROUND(PRODUCT(R47,AA7:AA46),1))</f>
        <v>60703</v>
      </c>
      <c r="S48" s="3249"/>
      <c r="T48" s="3249">
        <f>IF(F1="售价",ROUND(PRODUCT(T47,AB7:AB46),0),ROUND(PRODUCT(T47,AB7:AB46),1))</f>
        <v>52027</v>
      </c>
      <c r="U48" s="3249"/>
      <c r="V48" s="3249">
        <f>IF(F1="售价",ROUND(PRODUCT(V47,AC7:AC46),0),ROUND(PRODUCT(V47,AC7:AC46),1))</f>
        <v>58368</v>
      </c>
      <c r="W48" s="3249"/>
      <c r="X48" s="756"/>
      <c r="Y48" s="756"/>
      <c r="Z48" s="756"/>
      <c r="AA48" s="756"/>
      <c r="AB48" s="756"/>
      <c r="AC48" s="756"/>
    </row>
    <row r="49" spans="1:29" ht="15.75" thickBot="1">
      <c r="A49" s="491" t="s">
        <v>2669</v>
      </c>
      <c r="B49" s="492"/>
      <c r="C49" s="1413">
        <f>R49</f>
        <v>57033</v>
      </c>
      <c r="D49" s="1413"/>
      <c r="E49" s="1413"/>
      <c r="F49" s="1413"/>
      <c r="G49" s="1413"/>
      <c r="H49" s="1413"/>
      <c r="I49" s="1413"/>
      <c r="J49" s="1413"/>
      <c r="K49" s="782"/>
      <c r="L49" s="1143"/>
      <c r="M49" s="1144"/>
      <c r="N49" s="1131"/>
      <c r="O49" s="1144"/>
      <c r="P49" s="3245" t="str">
        <f>A49</f>
        <v>估价对象XX用房的比较价值（楼面单价，元/平方米）</v>
      </c>
      <c r="Q49" s="3246"/>
      <c r="R49" s="3247">
        <f>IF(F1="售价",ROUND(AVERAGE(R48:V48),0),ROUND(AVERAGE(R48:V48),1))</f>
        <v>57033</v>
      </c>
      <c r="S49" s="3247"/>
      <c r="T49" s="3247"/>
      <c r="U49" s="3247"/>
      <c r="V49" s="3247"/>
      <c r="W49" s="324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2"/>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2"/>
      <c r="Q51" s="756"/>
      <c r="R51" s="756"/>
      <c r="S51" s="756"/>
      <c r="T51" s="756"/>
      <c r="U51" s="756"/>
      <c r="V51" s="756"/>
      <c r="W51" s="756"/>
      <c r="X51" s="756"/>
      <c r="Y51" s="756"/>
      <c r="Z51" s="756"/>
      <c r="AA51" s="756"/>
      <c r="AB51" s="756"/>
      <c r="AC51" s="756"/>
    </row>
    <row r="52" spans="1:29" ht="13.5" customHeight="1">
      <c r="A52" s="1144"/>
      <c r="B52" s="1144"/>
      <c r="C52" s="496" t="s">
        <v>2670</v>
      </c>
      <c r="D52" s="497"/>
      <c r="E52" s="498">
        <f>IF(E47&lt;E48,E48/E47-1,E47/E48-1)</f>
        <v>0.21405999999999992</v>
      </c>
      <c r="F52" s="499" t="str">
        <f>IF(OR(E52&gt;=0.3,E52&lt;=-0.3),"超过30%","")</f>
        <v/>
      </c>
      <c r="G52" s="498">
        <f>IF(G47&lt;G48,G48/G47-1,G47/G48-1)</f>
        <v>0.30067500000000003</v>
      </c>
      <c r="H52" s="499" t="str">
        <f>IF(OR(G52&gt;=0.3,G52&lt;=-0.3),"超过30%","")</f>
        <v>超过30%</v>
      </c>
      <c r="I52" s="498">
        <f>IF(I47&lt;I48,I48/I47-1,I47/I48-1)</f>
        <v>0.16735999999999995</v>
      </c>
      <c r="J52" s="499" t="str">
        <f>IF(OR(I52&gt;=0.3,I52&lt;=-0.3),"超过30%","")</f>
        <v/>
      </c>
      <c r="K52" s="1105"/>
      <c r="L52" s="1106"/>
      <c r="M52" s="1144"/>
      <c r="N52" s="1144"/>
      <c r="O52" s="1144"/>
      <c r="P52" s="672"/>
      <c r="Q52" s="756"/>
      <c r="R52" s="756"/>
      <c r="S52" s="756"/>
      <c r="T52" s="756"/>
      <c r="U52" s="756"/>
      <c r="V52" s="756"/>
      <c r="W52" s="756"/>
      <c r="X52" s="756"/>
      <c r="Y52" s="756"/>
      <c r="Z52" s="756"/>
      <c r="AA52" s="756"/>
      <c r="AB52" s="756"/>
      <c r="AC52" s="756"/>
    </row>
    <row r="53" spans="1:29" ht="13.5" customHeight="1">
      <c r="A53" s="1144"/>
      <c r="B53" s="1144"/>
      <c r="C53" s="496" t="s">
        <v>2671</v>
      </c>
      <c r="D53" s="500"/>
      <c r="E53" s="498">
        <f>IF(E48&lt;G48,G48/E48-1,E48/G48-1)</f>
        <v>0.16675956714782703</v>
      </c>
      <c r="F53" s="499" t="str">
        <f>IF(OR(E53&gt;=0.2,E53&lt;=-0.2),"超过20%","")</f>
        <v/>
      </c>
      <c r="G53" s="498">
        <f>IF(G48&lt;I48,I48/G48-1,G48/I48-1)</f>
        <v>0.1218790243527399</v>
      </c>
      <c r="H53" s="499" t="str">
        <f>IF(OR(G53&gt;=0.2,G53&lt;=-0.2),"超过20%","")</f>
        <v/>
      </c>
      <c r="I53" s="498">
        <f>IF(I48&lt;E48,E48/I48-1,I48/E48-1)</f>
        <v>4.0004797149122862E-2</v>
      </c>
      <c r="J53" s="499" t="str">
        <f>IF(OR(I53&gt;=0.2,I53&lt;=-0.2),"超过20%","")</f>
        <v/>
      </c>
      <c r="K53" s="1105"/>
      <c r="L53" s="1106"/>
      <c r="M53" s="1144"/>
      <c r="N53" s="1144"/>
      <c r="O53" s="1144"/>
      <c r="P53" s="672"/>
      <c r="Q53" s="756"/>
      <c r="R53" s="756"/>
      <c r="S53" s="756"/>
      <c r="T53" s="756"/>
      <c r="U53" s="756"/>
      <c r="V53" s="756"/>
      <c r="W53" s="756"/>
      <c r="X53" s="756"/>
      <c r="Y53" s="756"/>
      <c r="Z53" s="756"/>
      <c r="AA53" s="756"/>
      <c r="AB53" s="756"/>
      <c r="AC53" s="756"/>
    </row>
    <row r="54" spans="1:29" s="501" customFormat="1" ht="13.5" customHeight="1">
      <c r="A54" s="1145"/>
      <c r="B54" s="1145"/>
      <c r="C54" s="496" t="s">
        <v>2672</v>
      </c>
      <c r="D54" s="500"/>
      <c r="E54" s="498">
        <f>IF(E47&lt;G47,G47/E47-1,E47/G47-1)</f>
        <v>0.25</v>
      </c>
      <c r="F54" s="499" t="str">
        <f>IF(OR(E54&gt;=0.3,E54&lt;=-0.3),"超过30%","")</f>
        <v/>
      </c>
      <c r="G54" s="498">
        <f>IF(G47&lt;I47,I47/G47-1,G47/I47-1)</f>
        <v>0.25</v>
      </c>
      <c r="H54" s="499" t="str">
        <f>IF(OR(G54&gt;=0.3,G54&lt;=-0.3),"超过30%","")</f>
        <v/>
      </c>
      <c r="I54" s="498">
        <f>IF(I47&lt;E47,E47/I47-1,I47/E47-1)</f>
        <v>0</v>
      </c>
      <c r="J54" s="499"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2"/>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7" customFormat="1" ht="15">
      <c r="A58" s="504" t="s">
        <v>2547</v>
      </c>
      <c r="B58" s="505"/>
      <c r="C58" s="1570" t="str">
        <f>YEAR(C7)&amp;"-"&amp;MONTH(C7)</f>
        <v>2018-9</v>
      </c>
      <c r="D58" s="1571">
        <f>EDATE(C58,-1)</f>
        <v>43313</v>
      </c>
      <c r="E58" s="1571">
        <f t="shared" ref="E58:N58" si="16">EDATE(D58,-1)</f>
        <v>43282</v>
      </c>
      <c r="F58" s="1571">
        <f t="shared" si="16"/>
        <v>43252</v>
      </c>
      <c r="G58" s="1571">
        <f t="shared" si="16"/>
        <v>43221</v>
      </c>
      <c r="H58" s="1571">
        <f t="shared" si="16"/>
        <v>43191</v>
      </c>
      <c r="I58" s="1571">
        <f t="shared" si="16"/>
        <v>43160</v>
      </c>
      <c r="J58" s="1571">
        <f t="shared" si="16"/>
        <v>43132</v>
      </c>
      <c r="K58" s="1571">
        <f t="shared" si="16"/>
        <v>43101</v>
      </c>
      <c r="L58" s="1571">
        <f t="shared" si="16"/>
        <v>43070</v>
      </c>
      <c r="M58" s="1571">
        <f t="shared" si="16"/>
        <v>43040</v>
      </c>
      <c r="N58" s="1571">
        <f t="shared" si="16"/>
        <v>43009</v>
      </c>
      <c r="O58" s="1571">
        <f>EDATE(N58,-1)</f>
        <v>42979</v>
      </c>
      <c r="P58" s="1566"/>
    </row>
    <row r="59" spans="1:29" s="117" customFormat="1" ht="15">
      <c r="A59" s="508"/>
      <c r="B59" s="509"/>
      <c r="C59" s="1569">
        <v>100</v>
      </c>
      <c r="D59" s="511"/>
      <c r="E59" s="511"/>
      <c r="F59" s="511"/>
      <c r="G59" s="511"/>
      <c r="H59" s="511"/>
      <c r="I59" s="511"/>
      <c r="J59" s="511"/>
      <c r="K59" s="511"/>
      <c r="L59" s="511"/>
      <c r="M59" s="512"/>
      <c r="N59" s="511"/>
      <c r="O59" s="512"/>
      <c r="P59" s="2623"/>
    </row>
    <row r="60" spans="1:29" s="117" customFormat="1" ht="15.75" thickBot="1">
      <c r="A60" s="514" t="s">
        <v>2584</v>
      </c>
      <c r="B60" s="515"/>
      <c r="C60" s="516"/>
      <c r="D60" s="517"/>
      <c r="E60" s="517"/>
      <c r="F60" s="517"/>
      <c r="G60" s="517"/>
      <c r="H60" s="517"/>
      <c r="I60" s="517"/>
      <c r="J60" s="517"/>
      <c r="K60" s="517"/>
      <c r="L60" s="517"/>
      <c r="M60" s="518"/>
      <c r="N60" s="517"/>
      <c r="O60" s="518"/>
      <c r="P60" s="2623"/>
      <c r="Q60" s="503"/>
    </row>
    <row r="61" spans="1:29" s="117" customFormat="1" ht="15">
      <c r="A61" s="520" t="s">
        <v>2549</v>
      </c>
      <c r="B61" s="509"/>
      <c r="C61" s="521" t="s">
        <v>2651</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2587</v>
      </c>
      <c r="B63" s="527" t="s">
        <v>2553</v>
      </c>
      <c r="C63" s="528" t="str">
        <f>C9</f>
        <v>商业</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2"/>
      <c r="O65" s="1152"/>
      <c r="P65" s="262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3"/>
      <c r="O66" s="1153"/>
      <c r="P66" s="2625"/>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v>
      </c>
      <c r="K67" s="546" t="str">
        <f t="shared" si="17"/>
        <v>（含）-</v>
      </c>
      <c r="L67" s="546" t="str">
        <f t="shared" si="17"/>
        <v>（含）-</v>
      </c>
      <c r="M67" s="447" t="str">
        <f>M68&amp;"（含）"&amp;"-"&amp;P68</f>
        <v>（含）-</v>
      </c>
      <c r="N67" s="1153"/>
      <c r="O67" s="1153"/>
      <c r="P67" s="2625"/>
      <c r="Q67" s="503"/>
    </row>
    <row r="68" spans="1:17" ht="15">
      <c r="A68" s="533"/>
      <c r="B68" s="547"/>
      <c r="C68" s="548">
        <v>0</v>
      </c>
      <c r="D68" s="548">
        <v>1</v>
      </c>
      <c r="E68" s="548">
        <v>2</v>
      </c>
      <c r="F68" s="548">
        <v>3</v>
      </c>
      <c r="G68" s="548">
        <v>4</v>
      </c>
      <c r="H68" s="548">
        <v>5</v>
      </c>
      <c r="I68" s="548">
        <v>6</v>
      </c>
      <c r="J68" s="548">
        <v>7</v>
      </c>
      <c r="K68" s="549"/>
      <c r="L68" s="550"/>
      <c r="M68" s="551"/>
      <c r="N68" s="1152"/>
      <c r="O68" s="1152"/>
      <c r="P68" s="262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5"/>
      <c r="Q69" s="503"/>
    </row>
    <row r="70" spans="1:17" s="470" customFormat="1" ht="15.75" hidden="1" thickTop="1">
      <c r="A70" s="552"/>
      <c r="B70" s="537">
        <f>B12</f>
        <v>0</v>
      </c>
      <c r="C70" s="553"/>
      <c r="D70" s="553"/>
      <c r="E70" s="553"/>
      <c r="F70" s="553"/>
      <c r="G70" s="553"/>
      <c r="H70" s="554"/>
      <c r="I70" s="554"/>
      <c r="J70" s="554"/>
      <c r="K70" s="554"/>
      <c r="L70" s="555"/>
      <c r="M70" s="556"/>
      <c r="N70" s="1154"/>
      <c r="O70" s="1154"/>
      <c r="P70" s="2626"/>
      <c r="Q70" s="558"/>
    </row>
    <row r="71" spans="1:17" s="470" customFormat="1" ht="15.75" hidden="1" thickBot="1">
      <c r="A71" s="552"/>
      <c r="B71" s="542"/>
      <c r="C71" s="559"/>
      <c r="D71" s="535"/>
      <c r="E71" s="535"/>
      <c r="F71" s="535"/>
      <c r="G71" s="535"/>
      <c r="H71" s="535"/>
      <c r="I71" s="535"/>
      <c r="J71" s="535"/>
      <c r="K71" s="535"/>
      <c r="L71" s="535"/>
      <c r="M71" s="536"/>
      <c r="N71" s="1153"/>
      <c r="O71" s="1153"/>
      <c r="P71" s="2626"/>
      <c r="Q71" s="558"/>
    </row>
    <row r="72" spans="1:17" s="470" customFormat="1" ht="15.75" hidden="1" thickTop="1">
      <c r="A72" s="552"/>
      <c r="B72" s="537">
        <f>B13</f>
        <v>0</v>
      </c>
      <c r="C72" s="553"/>
      <c r="D72" s="553"/>
      <c r="E72" s="553"/>
      <c r="F72" s="553"/>
      <c r="G72" s="553"/>
      <c r="H72" s="554"/>
      <c r="I72" s="554"/>
      <c r="J72" s="554"/>
      <c r="K72" s="554"/>
      <c r="L72" s="555"/>
      <c r="M72" s="556"/>
      <c r="N72" s="1154"/>
      <c r="O72" s="1154"/>
      <c r="P72" s="2627"/>
      <c r="Q72" s="560"/>
    </row>
    <row r="73" spans="1:17" s="470" customFormat="1" ht="15.75" hidden="1" thickBot="1">
      <c r="A73" s="552"/>
      <c r="B73" s="542"/>
      <c r="C73" s="559"/>
      <c r="D73" s="535"/>
      <c r="E73" s="535"/>
      <c r="F73" s="535"/>
      <c r="G73" s="559"/>
      <c r="H73" s="561"/>
      <c r="I73" s="561"/>
      <c r="J73" s="561"/>
      <c r="K73" s="561"/>
      <c r="L73" s="561"/>
      <c r="M73" s="562"/>
      <c r="N73" s="1154"/>
      <c r="O73" s="1154"/>
      <c r="P73" s="2626"/>
      <c r="Q73" s="558"/>
    </row>
    <row r="74" spans="1:17" s="470" customFormat="1" ht="15.75" hidden="1" thickTop="1">
      <c r="A74" s="552"/>
      <c r="B74" s="545">
        <f>B14</f>
        <v>0</v>
      </c>
      <c r="C74" s="553"/>
      <c r="D74" s="553"/>
      <c r="E74" s="553"/>
      <c r="F74" s="553"/>
      <c r="G74" s="522"/>
      <c r="H74" s="563"/>
      <c r="I74" s="563"/>
      <c r="J74" s="563"/>
      <c r="K74" s="563"/>
      <c r="L74" s="564"/>
      <c r="M74" s="565"/>
      <c r="N74" s="1154"/>
      <c r="O74" s="1154"/>
      <c r="P74" s="2628"/>
      <c r="Q74" s="558"/>
    </row>
    <row r="75" spans="1:17" s="470" customFormat="1" ht="15.75" hidden="1" thickBot="1">
      <c r="A75" s="567"/>
      <c r="B75" s="568"/>
      <c r="C75" s="569"/>
      <c r="D75" s="569"/>
      <c r="E75" s="569"/>
      <c r="F75" s="569"/>
      <c r="G75" s="569"/>
      <c r="H75" s="570"/>
      <c r="I75" s="570"/>
      <c r="J75" s="570"/>
      <c r="K75" s="570"/>
      <c r="L75" s="570"/>
      <c r="M75" s="571"/>
      <c r="N75" s="1154"/>
      <c r="O75" s="1154"/>
      <c r="P75" s="2626"/>
      <c r="Q75" s="558"/>
    </row>
    <row r="76" spans="1:17" ht="15" thickTop="1">
      <c r="A76" s="526" t="s">
        <v>2558</v>
      </c>
      <c r="B76" s="527" t="s">
        <v>2595</v>
      </c>
      <c r="C76" s="572" t="s">
        <v>2596</v>
      </c>
      <c r="D76" s="572" t="s">
        <v>2597</v>
      </c>
      <c r="E76" s="572" t="s">
        <v>2598</v>
      </c>
      <c r="F76" s="572" t="s">
        <v>2599</v>
      </c>
      <c r="G76" s="572" t="s">
        <v>2600</v>
      </c>
      <c r="H76" s="528"/>
      <c r="I76" s="528"/>
      <c r="J76" s="528"/>
      <c r="K76" s="573"/>
      <c r="L76" s="574"/>
      <c r="M76" s="575"/>
      <c r="N76" s="1152"/>
      <c r="O76" s="1152"/>
      <c r="P76" s="262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3"/>
      <c r="O77" s="1153"/>
      <c r="P77" s="262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2"/>
      <c r="O78" s="1152"/>
      <c r="P78" s="262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3"/>
      <c r="O79" s="1153"/>
      <c r="P79" s="262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2"/>
      <c r="O80" s="1152"/>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3"/>
      <c r="O81" s="1153"/>
      <c r="P81" s="2625"/>
      <c r="Q81" s="503"/>
    </row>
    <row r="82" spans="1:17" ht="15.75" thickTop="1">
      <c r="A82" s="533"/>
      <c r="B82" s="545" t="s">
        <v>2654</v>
      </c>
      <c r="C82" s="657" t="s">
        <v>2674</v>
      </c>
      <c r="D82" s="657" t="s">
        <v>2675</v>
      </c>
      <c r="E82" s="657" t="s">
        <v>2676</v>
      </c>
      <c r="F82" s="657" t="s">
        <v>2677</v>
      </c>
      <c r="G82" s="657" t="s">
        <v>2678</v>
      </c>
      <c r="H82" s="538"/>
      <c r="I82" s="538"/>
      <c r="J82" s="538"/>
      <c r="K82" s="538"/>
      <c r="L82" s="538"/>
      <c r="M82" s="1378"/>
      <c r="N82" s="1153"/>
      <c r="O82" s="1153"/>
      <c r="P82" s="2625"/>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3"/>
      <c r="O83" s="1153"/>
      <c r="P83" s="262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2"/>
      <c r="O84" s="1152"/>
      <c r="P84" s="262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3"/>
      <c r="O85" s="1153"/>
      <c r="P85" s="2625"/>
      <c r="Q85" s="503"/>
    </row>
    <row r="86" spans="1:17" s="117" customFormat="1" ht="15.75" thickTop="1">
      <c r="A86" s="578"/>
      <c r="B86" s="537" t="s">
        <v>2679</v>
      </c>
      <c r="C86" s="2960" t="s">
        <v>3191</v>
      </c>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5"/>
      <c r="Q87" s="503"/>
    </row>
    <row r="88" spans="1:17" s="117" customFormat="1" ht="15.75" thickTop="1">
      <c r="A88" s="578"/>
      <c r="B88" s="537" t="str">
        <f>B26</f>
        <v>平面位置/可视性</v>
      </c>
      <c r="C88" s="2960" t="s">
        <v>3192</v>
      </c>
      <c r="D88" s="2960" t="s">
        <v>3193</v>
      </c>
      <c r="E88" s="553"/>
      <c r="F88" s="2630"/>
      <c r="G88" s="553"/>
      <c r="H88" s="553"/>
      <c r="I88" s="553"/>
      <c r="J88" s="553"/>
      <c r="K88" s="553"/>
      <c r="L88" s="553"/>
      <c r="M88" s="580"/>
      <c r="N88" s="1151"/>
      <c r="O88" s="1151"/>
      <c r="P88" s="2625"/>
      <c r="Q88" s="503"/>
    </row>
    <row r="89" spans="1:17" s="117" customFormat="1" ht="15.75" thickBot="1">
      <c r="A89" s="578"/>
      <c r="B89" s="542"/>
      <c r="C89" s="559">
        <v>100</v>
      </c>
      <c r="D89" s="535">
        <v>95</v>
      </c>
      <c r="E89" s="535"/>
      <c r="F89" s="535"/>
      <c r="G89" s="535"/>
      <c r="H89" s="535"/>
      <c r="I89" s="535"/>
      <c r="J89" s="535"/>
      <c r="K89" s="535"/>
      <c r="L89" s="535"/>
      <c r="M89" s="535"/>
      <c r="N89" s="1153"/>
      <c r="O89" s="1153"/>
      <c r="P89" s="2625"/>
      <c r="Q89" s="503"/>
    </row>
    <row r="90" spans="1:17" s="470" customFormat="1" ht="15.75" thickTop="1">
      <c r="A90" s="552"/>
      <c r="B90" s="537" t="str">
        <f>B27</f>
        <v>人流量</v>
      </c>
      <c r="C90" s="2960" t="s">
        <v>3210</v>
      </c>
      <c r="D90" s="2960" t="s">
        <v>3195</v>
      </c>
      <c r="E90" s="2960" t="s">
        <v>3193</v>
      </c>
      <c r="F90" s="2960" t="s">
        <v>3233</v>
      </c>
      <c r="G90" s="553"/>
      <c r="H90" s="554"/>
      <c r="I90" s="554"/>
      <c r="J90" s="554"/>
      <c r="K90" s="554"/>
      <c r="L90" s="555"/>
      <c r="M90" s="556"/>
      <c r="N90" s="1154"/>
      <c r="O90" s="1154"/>
      <c r="P90" s="2626"/>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4"/>
      <c r="O91" s="1154"/>
      <c r="P91" s="2626"/>
      <c r="Q91" s="558"/>
    </row>
    <row r="92" spans="1:17" ht="15.75" thickTop="1">
      <c r="A92" s="533"/>
      <c r="B92" s="537" t="str">
        <f>B28</f>
        <v>楼层</v>
      </c>
      <c r="C92" s="553" t="s">
        <v>3196</v>
      </c>
      <c r="D92" s="553" t="s">
        <v>3197</v>
      </c>
      <c r="E92" s="553"/>
      <c r="F92" s="553"/>
      <c r="G92" s="553"/>
      <c r="H92" s="553"/>
      <c r="I92" s="553"/>
      <c r="J92" s="553"/>
      <c r="K92" s="553"/>
      <c r="L92" s="579"/>
      <c r="M92" s="580"/>
      <c r="N92" s="1152"/>
      <c r="O92" s="1152"/>
      <c r="P92" s="2625"/>
      <c r="Q92" s="503"/>
    </row>
    <row r="93" spans="1:17" ht="15.75" thickBot="1">
      <c r="A93" s="533"/>
      <c r="B93" s="542"/>
      <c r="C93" s="535">
        <v>100</v>
      </c>
      <c r="D93" s="535">
        <v>60</v>
      </c>
      <c r="E93" s="535"/>
      <c r="F93" s="535"/>
      <c r="G93" s="535"/>
      <c r="H93" s="535"/>
      <c r="I93" s="535"/>
      <c r="J93" s="535"/>
      <c r="K93" s="535"/>
      <c r="L93" s="535"/>
      <c r="M93" s="536"/>
      <c r="N93" s="1153"/>
      <c r="O93" s="1153"/>
      <c r="P93" s="2625"/>
      <c r="Q93" s="503"/>
    </row>
    <row r="94" spans="1:17" ht="15.75" hidden="1" thickTop="1">
      <c r="A94" s="533"/>
      <c r="B94" s="537">
        <f>B29</f>
        <v>0</v>
      </c>
      <c r="C94" s="553"/>
      <c r="D94" s="553"/>
      <c r="E94" s="553"/>
      <c r="F94" s="553"/>
      <c r="G94" s="582"/>
      <c r="H94" s="582"/>
      <c r="I94" s="582"/>
      <c r="J94" s="582"/>
      <c r="K94" s="583"/>
      <c r="L94" s="584"/>
      <c r="M94" s="585"/>
      <c r="N94" s="1152"/>
      <c r="O94" s="1152"/>
      <c r="P94" s="2625"/>
      <c r="Q94" s="503"/>
    </row>
    <row r="95" spans="1:17" ht="15.75" hidden="1" thickBot="1">
      <c r="A95" s="533"/>
      <c r="B95" s="542"/>
      <c r="C95" s="559"/>
      <c r="D95" s="535"/>
      <c r="E95" s="535"/>
      <c r="F95" s="535"/>
      <c r="G95" s="535"/>
      <c r="H95" s="535"/>
      <c r="I95" s="535"/>
      <c r="J95" s="535"/>
      <c r="K95" s="535"/>
      <c r="L95" s="535"/>
      <c r="M95" s="536"/>
      <c r="N95" s="1153"/>
      <c r="O95" s="1153"/>
      <c r="P95" s="2625"/>
      <c r="Q95" s="503"/>
    </row>
    <row r="96" spans="1:17" ht="15.75" hidden="1" thickTop="1">
      <c r="A96" s="533"/>
      <c r="B96" s="537">
        <f>B30</f>
        <v>0</v>
      </c>
      <c r="C96" s="553"/>
      <c r="D96" s="553"/>
      <c r="E96" s="553"/>
      <c r="F96" s="553"/>
      <c r="G96" s="582"/>
      <c r="H96" s="582"/>
      <c r="I96" s="582"/>
      <c r="J96" s="582"/>
      <c r="K96" s="583"/>
      <c r="L96" s="584"/>
      <c r="M96" s="585"/>
      <c r="N96" s="1152"/>
      <c r="O96" s="1152"/>
      <c r="P96" s="2625"/>
      <c r="Q96" s="503"/>
    </row>
    <row r="97" spans="1:17" ht="15.75" hidden="1" thickBot="1">
      <c r="A97" s="533"/>
      <c r="B97" s="542"/>
      <c r="C97" s="559"/>
      <c r="D97" s="535"/>
      <c r="E97" s="535"/>
      <c r="F97" s="535"/>
      <c r="G97" s="535"/>
      <c r="H97" s="535"/>
      <c r="I97" s="535"/>
      <c r="J97" s="535"/>
      <c r="K97" s="535"/>
      <c r="L97" s="535"/>
      <c r="M97" s="536"/>
      <c r="N97" s="1153"/>
      <c r="O97" s="1153"/>
      <c r="P97" s="2625"/>
      <c r="Q97" s="503"/>
    </row>
    <row r="98" spans="1:17" ht="15.75" hidden="1" thickTop="1">
      <c r="A98" s="533"/>
      <c r="B98" s="545">
        <f>B31</f>
        <v>0</v>
      </c>
      <c r="C98" s="553"/>
      <c r="D98" s="553"/>
      <c r="E98" s="553"/>
      <c r="F98" s="553"/>
      <c r="G98" s="586"/>
      <c r="H98" s="586"/>
      <c r="I98" s="586"/>
      <c r="J98" s="586"/>
      <c r="K98" s="587"/>
      <c r="L98" s="588"/>
      <c r="M98" s="589"/>
      <c r="N98" s="1152"/>
      <c r="O98" s="1152"/>
      <c r="P98" s="2625"/>
      <c r="Q98" s="503"/>
    </row>
    <row r="99" spans="1:17" ht="15.75" hidden="1" thickBot="1">
      <c r="A99" s="2631"/>
      <c r="B99" s="568"/>
      <c r="C99" s="569"/>
      <c r="D99" s="569"/>
      <c r="E99" s="569"/>
      <c r="F99" s="569"/>
      <c r="G99" s="590"/>
      <c r="H99" s="590"/>
      <c r="I99" s="590"/>
      <c r="J99" s="590"/>
      <c r="K99" s="590"/>
      <c r="L99" s="590"/>
      <c r="M99" s="591"/>
      <c r="N99" s="1153"/>
      <c r="O99" s="1153"/>
      <c r="P99" s="2625"/>
      <c r="Q99" s="503"/>
    </row>
    <row r="100" spans="1:17" ht="15" thickTop="1">
      <c r="A100" s="526" t="s">
        <v>2562</v>
      </c>
      <c r="B100" s="527" t="s">
        <v>2680</v>
      </c>
      <c r="C100" s="2961" t="s">
        <v>3212</v>
      </c>
      <c r="D100" s="2961" t="s">
        <v>3493</v>
      </c>
      <c r="E100" s="2961"/>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3"/>
      <c r="O101" s="1153"/>
      <c r="P101" s="2625"/>
      <c r="Q101" s="503"/>
    </row>
    <row r="102" spans="1:17" ht="16.5" thickTop="1" thickBot="1">
      <c r="A102" s="533"/>
      <c r="B102" s="537" t="s">
        <v>2612</v>
      </c>
      <c r="C102" s="577" t="str">
        <f>C103&amp;"(含)"&amp;"-"&amp;D103</f>
        <v>0(含)-100</v>
      </c>
      <c r="D102" s="577" t="str">
        <f t="shared" ref="D102:L102" si="23">D103&amp;"(含)"&amp;"-"&amp;E103</f>
        <v>100(含)-300</v>
      </c>
      <c r="E102" s="577" t="str">
        <f t="shared" si="23"/>
        <v>300(含)-500</v>
      </c>
      <c r="F102" s="577" t="str">
        <f t="shared" si="23"/>
        <v>500(含)-1000</v>
      </c>
      <c r="G102" s="577" t="str">
        <f t="shared" si="23"/>
        <v>1000(含)-</v>
      </c>
      <c r="H102" s="577" t="str">
        <f t="shared" si="23"/>
        <v>(含)-</v>
      </c>
      <c r="I102" s="577" t="str">
        <f t="shared" si="23"/>
        <v>(含)-</v>
      </c>
      <c r="J102" s="577" t="str">
        <f t="shared" si="23"/>
        <v>(含)-</v>
      </c>
      <c r="K102" s="577" t="str">
        <f t="shared" si="23"/>
        <v>(含)-</v>
      </c>
      <c r="L102" s="577" t="str">
        <f t="shared" si="23"/>
        <v>(含)-</v>
      </c>
      <c r="M102" s="619" t="str">
        <f>M103&amp;"(含)"&amp;"-"&amp;P103</f>
        <v>(含)-</v>
      </c>
      <c r="N102" s="1151"/>
      <c r="O102" s="1151"/>
      <c r="P102" s="2625"/>
      <c r="Q102" s="503"/>
    </row>
    <row r="103" spans="1:17" s="470" customFormat="1" ht="15" thickTop="1">
      <c r="A103" s="592"/>
      <c r="B103" s="593"/>
      <c r="C103" s="624">
        <v>0</v>
      </c>
      <c r="D103" s="624">
        <v>100</v>
      </c>
      <c r="E103" s="624">
        <v>300</v>
      </c>
      <c r="F103" s="624">
        <v>500</v>
      </c>
      <c r="G103" s="624">
        <v>1000</v>
      </c>
      <c r="H103" s="594"/>
      <c r="I103" s="594"/>
      <c r="J103" s="594"/>
      <c r="K103" s="594"/>
      <c r="L103" s="596"/>
      <c r="M103" s="597"/>
      <c r="N103" s="1154"/>
      <c r="O103" s="1154"/>
      <c r="P103" s="2626"/>
      <c r="Q103" s="558"/>
    </row>
    <row r="104" spans="1:17" s="470" customFormat="1" ht="15.75" thickBot="1">
      <c r="A104" s="552"/>
      <c r="B104" s="542"/>
      <c r="C104" s="559">
        <v>100</v>
      </c>
      <c r="D104" s="535">
        <v>96</v>
      </c>
      <c r="E104" s="559">
        <v>92</v>
      </c>
      <c r="F104" s="535">
        <v>88</v>
      </c>
      <c r="G104" s="559">
        <v>84</v>
      </c>
      <c r="H104" s="535"/>
      <c r="I104" s="559"/>
      <c r="J104" s="535"/>
      <c r="K104" s="559"/>
      <c r="L104" s="535"/>
      <c r="M104" s="536"/>
      <c r="N104" s="1153"/>
      <c r="O104" s="1153"/>
      <c r="P104" s="2626"/>
      <c r="Q104" s="558"/>
    </row>
    <row r="105" spans="1:17" ht="15" thickTop="1">
      <c r="A105" s="598"/>
      <c r="B105" s="537" t="s">
        <v>2613</v>
      </c>
      <c r="C105" s="2960" t="s">
        <v>3183</v>
      </c>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3"/>
      <c r="O106" s="1153"/>
      <c r="P106" s="2625"/>
      <c r="Q106" s="503"/>
    </row>
    <row r="107" spans="1:17" ht="15" thickTop="1">
      <c r="A107" s="598"/>
      <c r="B107" s="537" t="s">
        <v>2615</v>
      </c>
      <c r="C107" s="2960" t="s">
        <v>3199</v>
      </c>
      <c r="D107" s="553"/>
      <c r="E107" s="553"/>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5"/>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5"/>
      <c r="Q109" s="503"/>
    </row>
    <row r="110" spans="1:17">
      <c r="A110" s="598"/>
      <c r="B110" s="545"/>
      <c r="C110" s="602">
        <v>0.5</v>
      </c>
      <c r="D110" s="602">
        <v>0.6</v>
      </c>
      <c r="E110" s="602">
        <v>0.7</v>
      </c>
      <c r="F110" s="602">
        <v>0.8</v>
      </c>
      <c r="G110" s="602">
        <v>0.9</v>
      </c>
      <c r="H110" s="602">
        <v>1.0001</v>
      </c>
      <c r="I110" s="620"/>
      <c r="J110" s="620"/>
      <c r="K110" s="621"/>
      <c r="L110" s="622"/>
      <c r="M110" s="623"/>
      <c r="N110" s="1152"/>
      <c r="O110" s="1152"/>
      <c r="P110" s="262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5"/>
      <c r="Q111" s="503"/>
    </row>
    <row r="112" spans="1:17" s="470" customFormat="1" ht="15" thickTop="1">
      <c r="A112" s="592"/>
      <c r="B112" s="537" t="s">
        <v>2617</v>
      </c>
      <c r="C112" s="2960" t="s">
        <v>3200</v>
      </c>
      <c r="D112" s="553"/>
      <c r="E112" s="553"/>
      <c r="F112" s="553"/>
      <c r="G112" s="553"/>
      <c r="H112" s="582"/>
      <c r="I112" s="582"/>
      <c r="J112" s="582"/>
      <c r="K112" s="583"/>
      <c r="L112" s="584"/>
      <c r="M112" s="585"/>
      <c r="N112" s="1154"/>
      <c r="O112" s="1154"/>
      <c r="P112" s="2626"/>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4"/>
      <c r="O113" s="1154"/>
      <c r="P113" s="2626"/>
      <c r="Q113" s="558"/>
    </row>
    <row r="114" spans="1:17" ht="15" thickTop="1">
      <c r="A114" s="598"/>
      <c r="B114" s="537" t="s">
        <v>2681</v>
      </c>
      <c r="C114" s="2960" t="s">
        <v>3204</v>
      </c>
      <c r="D114" s="2960" t="s">
        <v>3206</v>
      </c>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25"/>
      <c r="Q115" s="503"/>
    </row>
    <row r="116" spans="1:17" ht="15" thickTop="1">
      <c r="A116" s="598"/>
      <c r="B116" s="537" t="s">
        <v>2682</v>
      </c>
      <c r="C116" s="2960" t="s">
        <v>3209</v>
      </c>
      <c r="D116" s="2960" t="s">
        <v>3208</v>
      </c>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85</v>
      </c>
      <c r="E117" s="543">
        <f>D117-$K39</f>
        <v>70</v>
      </c>
      <c r="F117" s="543">
        <f>E117-$K39</f>
        <v>55</v>
      </c>
      <c r="G117" s="543">
        <f>F117-$K39</f>
        <v>40</v>
      </c>
      <c r="H117" s="543"/>
      <c r="I117" s="543"/>
      <c r="J117" s="543"/>
      <c r="K117" s="543"/>
      <c r="L117" s="543"/>
      <c r="M117" s="544"/>
      <c r="N117" s="1153"/>
      <c r="O117" s="1153"/>
      <c r="P117" s="2625"/>
      <c r="Q117" s="503"/>
    </row>
    <row r="118" spans="1:17" ht="15" thickTop="1">
      <c r="A118" s="598"/>
      <c r="B118" s="537" t="s">
        <v>2683</v>
      </c>
      <c r="C118" s="624">
        <v>0</v>
      </c>
      <c r="D118" s="624">
        <v>100</v>
      </c>
      <c r="E118" s="624">
        <v>300</v>
      </c>
      <c r="F118" s="624">
        <v>500</v>
      </c>
      <c r="G118" s="624">
        <v>1000</v>
      </c>
      <c r="H118" s="554"/>
      <c r="I118" s="554"/>
      <c r="J118" s="554"/>
      <c r="K118" s="554"/>
      <c r="L118" s="555"/>
      <c r="M118" s="556"/>
      <c r="N118" s="1152"/>
      <c r="O118" s="1152"/>
      <c r="P118" s="2625"/>
      <c r="Q118" s="503"/>
    </row>
    <row r="119" spans="1:17" ht="15.75" thickBot="1">
      <c r="A119" s="533"/>
      <c r="B119" s="542"/>
      <c r="C119" s="559">
        <v>100</v>
      </c>
      <c r="D119" s="535">
        <v>97</v>
      </c>
      <c r="E119" s="559">
        <v>94</v>
      </c>
      <c r="F119" s="535">
        <v>91</v>
      </c>
      <c r="G119" s="559">
        <v>88</v>
      </c>
      <c r="H119" s="535"/>
      <c r="I119" s="535"/>
      <c r="J119" s="535"/>
      <c r="K119" s="535"/>
      <c r="L119" s="535"/>
      <c r="M119" s="536"/>
      <c r="N119" s="1153"/>
      <c r="O119" s="1153"/>
      <c r="P119" s="2625"/>
      <c r="Q119" s="503"/>
    </row>
    <row r="120" spans="1:17" s="470" customFormat="1" ht="15" thickTop="1">
      <c r="A120" s="592"/>
      <c r="B120" s="537" t="s">
        <v>2684</v>
      </c>
      <c r="C120" s="2962" t="s">
        <v>3192</v>
      </c>
      <c r="D120" s="582"/>
      <c r="E120" s="582"/>
      <c r="F120" s="582"/>
      <c r="G120" s="554"/>
      <c r="H120" s="554"/>
      <c r="I120" s="554"/>
      <c r="J120" s="554"/>
      <c r="K120" s="554"/>
      <c r="L120" s="555"/>
      <c r="M120" s="556"/>
      <c r="N120" s="1154"/>
      <c r="O120" s="1154"/>
      <c r="P120" s="262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4"/>
      <c r="O121" s="1154"/>
      <c r="P121" s="2626"/>
      <c r="Q121" s="558"/>
    </row>
    <row r="122" spans="1:17" ht="15" thickTop="1">
      <c r="A122" s="598"/>
      <c r="B122" s="537" t="s">
        <v>2619</v>
      </c>
      <c r="C122" s="2960" t="s">
        <v>3202</v>
      </c>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2"/>
      <c r="O124" s="1152"/>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5"/>
      <c r="Q125" s="503"/>
    </row>
    <row r="126" spans="1:17" s="470" customFormat="1" ht="15" hidden="1" thickTop="1">
      <c r="A126" s="592"/>
      <c r="B126" s="537">
        <f>B44</f>
        <v>0</v>
      </c>
      <c r="C126" s="553"/>
      <c r="D126" s="553"/>
      <c r="E126" s="553"/>
      <c r="F126" s="553"/>
      <c r="G126" s="553"/>
      <c r="H126" s="554"/>
      <c r="I126" s="554"/>
      <c r="J126" s="554"/>
      <c r="K126" s="554"/>
      <c r="L126" s="555"/>
      <c r="M126" s="556"/>
      <c r="N126" s="1154"/>
      <c r="O126" s="1154"/>
      <c r="P126" s="2626"/>
      <c r="Q126" s="558"/>
    </row>
    <row r="127" spans="1:17" s="470" customFormat="1" ht="15.75" hidden="1" thickBot="1">
      <c r="A127" s="552"/>
      <c r="B127" s="542"/>
      <c r="C127" s="559"/>
      <c r="D127" s="535"/>
      <c r="E127" s="535"/>
      <c r="F127" s="535"/>
      <c r="G127" s="559"/>
      <c r="H127" s="561"/>
      <c r="I127" s="561"/>
      <c r="J127" s="561"/>
      <c r="K127" s="561"/>
      <c r="L127" s="561"/>
      <c r="M127" s="562"/>
      <c r="N127" s="1154"/>
      <c r="O127" s="1154"/>
      <c r="P127" s="2626"/>
      <c r="Q127" s="558"/>
    </row>
    <row r="128" spans="1:17" ht="15" hidden="1" thickTop="1">
      <c r="A128" s="598"/>
      <c r="B128" s="537">
        <f>B45</f>
        <v>0</v>
      </c>
      <c r="C128" s="553"/>
      <c r="D128" s="553"/>
      <c r="E128" s="553"/>
      <c r="F128" s="553"/>
      <c r="G128" s="582"/>
      <c r="H128" s="582"/>
      <c r="I128" s="582"/>
      <c r="J128" s="582"/>
      <c r="K128" s="583"/>
      <c r="L128" s="584"/>
      <c r="M128" s="585"/>
      <c r="N128" s="1152"/>
      <c r="O128" s="1152"/>
      <c r="P128" s="2625"/>
      <c r="Q128" s="503"/>
    </row>
    <row r="129" spans="1:17" ht="15.75" hidden="1" thickBot="1">
      <c r="A129" s="533"/>
      <c r="B129" s="542"/>
      <c r="C129" s="559"/>
      <c r="D129" s="535"/>
      <c r="E129" s="535"/>
      <c r="F129" s="535"/>
      <c r="G129" s="535"/>
      <c r="H129" s="535"/>
      <c r="I129" s="535"/>
      <c r="J129" s="535"/>
      <c r="K129" s="535"/>
      <c r="L129" s="535"/>
      <c r="M129" s="536"/>
      <c r="N129" s="1153"/>
      <c r="O129" s="1153"/>
      <c r="P129" s="2625"/>
      <c r="Q129" s="503"/>
    </row>
    <row r="130" spans="1:17" ht="15" hidden="1" thickTop="1">
      <c r="A130" s="598"/>
      <c r="B130" s="545">
        <f>B46</f>
        <v>0</v>
      </c>
      <c r="C130" s="553"/>
      <c r="D130" s="553"/>
      <c r="E130" s="553"/>
      <c r="F130" s="553"/>
      <c r="G130" s="586"/>
      <c r="H130" s="586"/>
      <c r="I130" s="586"/>
      <c r="J130" s="586"/>
      <c r="K130" s="522"/>
      <c r="L130" s="523"/>
      <c r="M130" s="589"/>
      <c r="N130" s="1152"/>
      <c r="O130" s="1152"/>
      <c r="P130" s="2625"/>
      <c r="Q130" s="503"/>
    </row>
    <row r="131" spans="1:17" ht="15.75" hidden="1" thickBot="1">
      <c r="A131" s="2631"/>
      <c r="B131" s="568"/>
      <c r="C131" s="569"/>
      <c r="D131" s="569"/>
      <c r="E131" s="569"/>
      <c r="F131" s="569"/>
      <c r="G131" s="590"/>
      <c r="H131" s="590"/>
      <c r="I131" s="590"/>
      <c r="J131" s="590"/>
      <c r="K131" s="590"/>
      <c r="L131" s="590"/>
      <c r="M131" s="591"/>
      <c r="N131" s="1153"/>
      <c r="O131" s="1153"/>
      <c r="P131" s="2625"/>
      <c r="Q131" s="503"/>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4" t="s">
        <v>2685</v>
      </c>
      <c r="C1" s="1616" t="s">
        <v>2529</v>
      </c>
      <c r="D1" s="1617"/>
      <c r="E1" s="1626"/>
      <c r="F1" s="2579"/>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IF(C2="——",ROUND(C50*D3/10000,0),ROUND(C50*D3/10000,0)-D2)</f>
        <v>#DIV/0!</v>
      </c>
      <c r="C2" s="2581"/>
      <c r="D2" s="1361" t="e">
        <f ca="1">SUMIF(INDIRECT("'"&amp;F2&amp;"'"&amp;"!A:A"),"承租人权益价值",INDIRECT("'"&amp;F2&amp;"'"&amp;"!c:c"))</f>
        <v>#REF!</v>
      </c>
      <c r="E2" s="2582" t="s">
        <v>2327</v>
      </c>
      <c r="F2" s="2583"/>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2328</v>
      </c>
      <c r="B3" s="608" t="e">
        <f ca="1">IF(C2="——",C50,ROUND(B2*10000/D3,0))</f>
        <v>#DIV/0!</v>
      </c>
      <c r="C3" s="399" t="s">
        <v>2643</v>
      </c>
      <c r="D3" s="398">
        <f>IF(D1="",'数据-汇总表'!E3,SUMIF('数据-汇总表'!$C19:$C33,D1,'数据-汇总表'!$E19:$E33))</f>
        <v>133.31</v>
      </c>
      <c r="E3" s="2658"/>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69" t="s">
        <v>2650</v>
      </c>
      <c r="Q4" s="3270"/>
      <c r="R4" s="3264" t="s">
        <v>2646</v>
      </c>
      <c r="S4" s="3265"/>
      <c r="T4" s="3264" t="s">
        <v>2647</v>
      </c>
      <c r="U4" s="3265"/>
      <c r="V4" s="3273" t="s">
        <v>2648</v>
      </c>
      <c r="W4" s="3273"/>
      <c r="X4" s="2665"/>
      <c r="Y4" s="3264" t="s">
        <v>2650</v>
      </c>
      <c r="Z4" s="3265"/>
      <c r="AA4" s="3263" t="s">
        <v>2646</v>
      </c>
      <c r="AB4" s="3263" t="s">
        <v>2647</v>
      </c>
      <c r="AC4" s="3266" t="s">
        <v>2648</v>
      </c>
    </row>
    <row r="5" spans="1:29" ht="15">
      <c r="A5" s="403"/>
      <c r="B5" s="404"/>
      <c r="C5" s="3224" t="s">
        <v>2541</v>
      </c>
      <c r="D5" s="3225"/>
      <c r="E5" s="3222" t="s">
        <v>2542</v>
      </c>
      <c r="F5" s="3223"/>
      <c r="G5" s="3224" t="s">
        <v>2543</v>
      </c>
      <c r="H5" s="3225"/>
      <c r="I5" s="3224" t="s">
        <v>2544</v>
      </c>
      <c r="J5" s="3225"/>
      <c r="K5" s="609"/>
      <c r="L5" s="1130"/>
      <c r="M5" s="1131"/>
      <c r="N5" s="1131"/>
      <c r="O5" s="1131"/>
      <c r="P5" s="3271"/>
      <c r="Q5" s="3238"/>
      <c r="R5" s="3220"/>
      <c r="S5" s="3221"/>
      <c r="T5" s="3220"/>
      <c r="U5" s="3221"/>
      <c r="V5" s="3243"/>
      <c r="W5" s="3243"/>
      <c r="X5" s="1808"/>
      <c r="Y5" s="3220"/>
      <c r="Z5" s="3221"/>
      <c r="AA5" s="3214"/>
      <c r="AB5" s="3214"/>
      <c r="AC5" s="3267"/>
    </row>
    <row r="6" spans="1:29" ht="15.75" thickBot="1">
      <c r="A6" s="405"/>
      <c r="B6" s="406"/>
      <c r="C6" s="3226" t="s">
        <v>2545</v>
      </c>
      <c r="D6" s="3227"/>
      <c r="E6" s="3228" t="s">
        <v>2545</v>
      </c>
      <c r="F6" s="3229"/>
      <c r="G6" s="3226" t="s">
        <v>2545</v>
      </c>
      <c r="H6" s="3227"/>
      <c r="I6" s="3226" t="s">
        <v>2545</v>
      </c>
      <c r="J6" s="3227"/>
      <c r="K6" s="609" t="s">
        <v>2546</v>
      </c>
      <c r="L6" s="1130"/>
      <c r="M6" s="1131"/>
      <c r="N6" s="1131"/>
      <c r="O6" s="1131"/>
      <c r="P6" s="3272"/>
      <c r="Q6" s="3240"/>
      <c r="R6" s="3220"/>
      <c r="S6" s="3221"/>
      <c r="T6" s="3241"/>
      <c r="U6" s="3242"/>
      <c r="V6" s="3243"/>
      <c r="W6" s="3243"/>
      <c r="X6" s="1808"/>
      <c r="Y6" s="3241"/>
      <c r="Z6" s="3242"/>
      <c r="AA6" s="3215"/>
      <c r="AB6" s="3215"/>
      <c r="AC6" s="3268"/>
    </row>
    <row r="7" spans="1:29" s="117" customFormat="1" ht="15.75" thickBot="1">
      <c r="A7" s="407" t="s">
        <v>2547</v>
      </c>
      <c r="B7" s="408"/>
      <c r="C7" s="409">
        <f>'数据-取费表'!B2</f>
        <v>43346</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74" t="s">
        <v>2548</v>
      </c>
      <c r="Q7" s="3244"/>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2666"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74" t="s">
        <v>2551</v>
      </c>
      <c r="Q8" s="3217"/>
      <c r="R8" s="767" t="s">
        <v>17</v>
      </c>
      <c r="S8" s="768">
        <f t="shared" si="0"/>
        <v>0</v>
      </c>
      <c r="T8" s="767" t="s">
        <v>17</v>
      </c>
      <c r="U8" s="768">
        <f t="shared" si="1"/>
        <v>0</v>
      </c>
      <c r="V8" s="767" t="s">
        <v>17</v>
      </c>
      <c r="W8" s="768">
        <f t="shared" si="2"/>
        <v>0</v>
      </c>
      <c r="X8" s="769"/>
      <c r="Y8" s="3216" t="s">
        <v>2551</v>
      </c>
      <c r="Z8" s="3217"/>
      <c r="AA8" s="770" t="e">
        <f t="shared" ref="AA8:AA47" si="3">D8/F8</f>
        <v>#DIV/0!</v>
      </c>
      <c r="AB8" s="770" t="e">
        <f t="shared" ref="AB8:AB47" si="4">D8/H8</f>
        <v>#DIV/0!</v>
      </c>
      <c r="AC8" s="2666"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230"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2666">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2666">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230"/>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2666" t="e">
        <f t="shared" si="5"/>
        <v>#N/A</v>
      </c>
    </row>
    <row r="12" spans="1:29" s="117" customFormat="1" ht="15">
      <c r="A12" s="430"/>
      <c r="B12" s="2595">
        <v>111</v>
      </c>
      <c r="C12" s="431"/>
      <c r="D12" s="432">
        <v>100</v>
      </c>
      <c r="E12" s="431"/>
      <c r="F12" s="135">
        <f>SUMIF(71:71,E12,72:72)-SUMIF(71:71,C12,72:72)+100</f>
        <v>100</v>
      </c>
      <c r="G12" s="2667"/>
      <c r="H12" s="135">
        <f>SUMIF(71:71,G12,72:72)-SUMIF(71:71,C12,72:72)+100</f>
        <v>100</v>
      </c>
      <c r="I12" s="431"/>
      <c r="J12" s="135">
        <f>SUMIF(71:71,I12,72:72)-SUMIF(71:71,C12,72:72)+100</f>
        <v>100</v>
      </c>
      <c r="K12" s="612"/>
      <c r="L12" s="1132"/>
      <c r="M12" s="1133"/>
      <c r="N12" s="1133"/>
      <c r="O12" s="1133"/>
      <c r="P12" s="3230"/>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2666">
        <f>D12/J12</f>
        <v>1</v>
      </c>
    </row>
    <row r="13" spans="1:29" ht="15">
      <c r="A13" s="427"/>
      <c r="B13" s="2595">
        <v>111</v>
      </c>
      <c r="C13" s="433"/>
      <c r="D13" s="434">
        <v>100</v>
      </c>
      <c r="E13" s="431"/>
      <c r="F13" s="135">
        <f>SUMIF(73:73,E13,74:74)-SUMIF(73:73,C13,74:74)+100</f>
        <v>100</v>
      </c>
      <c r="G13" s="2667"/>
      <c r="H13" s="434">
        <f>SUMIF(73:73,G13,74:74)-SUMIF(73:73,C13,74:74)+100</f>
        <v>100</v>
      </c>
      <c r="I13" s="431"/>
      <c r="J13" s="434">
        <f>SUMIF(73:73,I13,74:74)-SUMIF(73:73,C13,74:74)+100</f>
        <v>100</v>
      </c>
      <c r="K13" s="612"/>
      <c r="L13" s="1140"/>
      <c r="M13" s="1131"/>
      <c r="N13" s="1131"/>
      <c r="O13" s="1131"/>
      <c r="P13" s="3230"/>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2666">
        <f t="shared" si="5"/>
        <v>1</v>
      </c>
    </row>
    <row r="14" spans="1:29" ht="15.75" thickBot="1">
      <c r="A14" s="435"/>
      <c r="B14" s="2597">
        <v>111</v>
      </c>
      <c r="C14" s="436"/>
      <c r="D14" s="437">
        <v>100</v>
      </c>
      <c r="E14" s="625"/>
      <c r="F14" s="437">
        <f>SUMIF(75:75,E14,76:76)-SUMIF(75:75,C14,76:76)+100</f>
        <v>100</v>
      </c>
      <c r="G14" s="2667"/>
      <c r="H14" s="437">
        <f>SUMIF(75:75,G14,76:76)-SUMIF(75:75,C14,76:76)+100</f>
        <v>100</v>
      </c>
      <c r="I14" s="431"/>
      <c r="J14" s="437">
        <f>SUMIF(75:75,I14,76:76)-SUMIF(75:75,C14,76:76)+100</f>
        <v>100</v>
      </c>
      <c r="K14" s="612"/>
      <c r="L14" s="1140"/>
      <c r="M14" s="1131"/>
      <c r="N14" s="1131"/>
      <c r="O14" s="1131"/>
      <c r="P14" s="3230"/>
      <c r="Q14" s="1790">
        <f t="shared" si="6"/>
        <v>111</v>
      </c>
      <c r="R14" s="767" t="s">
        <v>17</v>
      </c>
      <c r="S14" s="768">
        <f t="shared" si="0"/>
        <v>100</v>
      </c>
      <c r="T14" s="767" t="s">
        <v>17</v>
      </c>
      <c r="U14" s="768">
        <f t="shared" si="1"/>
        <v>100</v>
      </c>
      <c r="V14" s="767" t="s">
        <v>17</v>
      </c>
      <c r="W14" s="768">
        <f t="shared" si="2"/>
        <v>100</v>
      </c>
      <c r="X14" s="769"/>
      <c r="Y14" s="3085"/>
      <c r="Z14" s="55">
        <f t="shared" si="7"/>
        <v>111</v>
      </c>
      <c r="AA14" s="770">
        <f t="shared" si="3"/>
        <v>1</v>
      </c>
      <c r="AB14" s="770">
        <f t="shared" si="4"/>
        <v>1</v>
      </c>
      <c r="AC14" s="2666">
        <f t="shared" si="5"/>
        <v>1</v>
      </c>
    </row>
    <row r="15" spans="1:29" ht="71.25">
      <c r="A15" s="439" t="s">
        <v>2558</v>
      </c>
      <c r="B15" s="626" t="s">
        <v>2686</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57" t="s">
        <v>2559</v>
      </c>
      <c r="Q15" s="1805" t="str">
        <f t="shared" si="6"/>
        <v>办公集聚程度</v>
      </c>
      <c r="R15" s="771" t="s">
        <v>17</v>
      </c>
      <c r="S15" s="772">
        <f t="shared" si="0"/>
        <v>100</v>
      </c>
      <c r="T15" s="771" t="s">
        <v>17</v>
      </c>
      <c r="U15" s="772">
        <f t="shared" si="1"/>
        <v>100</v>
      </c>
      <c r="V15" s="771" t="s">
        <v>17</v>
      </c>
      <c r="W15" s="772">
        <f t="shared" si="2"/>
        <v>100</v>
      </c>
      <c r="X15" s="1808"/>
      <c r="Y15" s="3250" t="s">
        <v>2559</v>
      </c>
      <c r="Z15" s="1809" t="str">
        <f t="shared" si="7"/>
        <v>办公集聚程度</v>
      </c>
      <c r="AA15" s="1806">
        <f t="shared" si="3"/>
        <v>1</v>
      </c>
      <c r="AB15" s="1806">
        <f t="shared" si="4"/>
        <v>1</v>
      </c>
      <c r="AC15" s="2669">
        <f t="shared" si="5"/>
        <v>1</v>
      </c>
    </row>
    <row r="16" spans="1:29" ht="15">
      <c r="A16" s="427"/>
      <c r="B16" s="627"/>
      <c r="C16" s="2606"/>
      <c r="D16" s="447"/>
      <c r="E16" s="446"/>
      <c r="F16" s="447"/>
      <c r="G16" s="2606"/>
      <c r="H16" s="449"/>
      <c r="I16" s="446"/>
      <c r="J16" s="447"/>
      <c r="K16" s="614"/>
      <c r="L16" s="1140"/>
      <c r="M16" s="1131"/>
      <c r="N16" s="1131"/>
      <c r="O16" s="1131"/>
      <c r="P16" s="3258"/>
      <c r="Q16" s="1805"/>
      <c r="R16" s="771"/>
      <c r="S16" s="772"/>
      <c r="T16" s="771"/>
      <c r="U16" s="772"/>
      <c r="V16" s="771"/>
      <c r="W16" s="772"/>
      <c r="X16" s="1808"/>
      <c r="Y16" s="3251"/>
      <c r="Z16" s="1809"/>
      <c r="AA16" s="1806">
        <v>1</v>
      </c>
      <c r="AB16" s="1806">
        <v>1</v>
      </c>
      <c r="AC16" s="2669">
        <v>1</v>
      </c>
    </row>
    <row r="17" spans="1:29" ht="71.25">
      <c r="A17" s="427"/>
      <c r="B17" s="628" t="s">
        <v>2098</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58"/>
      <c r="Q17" s="1805" t="str">
        <f>B17</f>
        <v>交通便捷度</v>
      </c>
      <c r="R17" s="771" t="s">
        <v>17</v>
      </c>
      <c r="S17" s="772">
        <f>F17</f>
        <v>100</v>
      </c>
      <c r="T17" s="771" t="s">
        <v>17</v>
      </c>
      <c r="U17" s="772">
        <f>H17</f>
        <v>100</v>
      </c>
      <c r="V17" s="771" t="s">
        <v>17</v>
      </c>
      <c r="W17" s="772">
        <f>J17</f>
        <v>100</v>
      </c>
      <c r="X17" s="1808"/>
      <c r="Y17" s="3251"/>
      <c r="Z17" s="1809" t="str">
        <f>Q17</f>
        <v>交通便捷度</v>
      </c>
      <c r="AA17" s="1806">
        <f t="shared" si="3"/>
        <v>1</v>
      </c>
      <c r="AB17" s="1806">
        <f t="shared" si="4"/>
        <v>1</v>
      </c>
      <c r="AC17" s="2669">
        <f t="shared" si="5"/>
        <v>1</v>
      </c>
    </row>
    <row r="18" spans="1:29" ht="15">
      <c r="A18" s="427"/>
      <c r="B18" s="629"/>
      <c r="C18" s="2671"/>
      <c r="D18" s="449"/>
      <c r="E18" s="2604"/>
      <c r="F18" s="449"/>
      <c r="G18" s="2605"/>
      <c r="H18" s="447"/>
      <c r="I18" s="2605"/>
      <c r="J18" s="447"/>
      <c r="K18" s="614"/>
      <c r="L18" s="1140"/>
      <c r="M18" s="1131"/>
      <c r="N18" s="1131"/>
      <c r="O18" s="1131"/>
      <c r="P18" s="3258"/>
      <c r="Q18" s="1805"/>
      <c r="R18" s="771"/>
      <c r="S18" s="772"/>
      <c r="T18" s="771"/>
      <c r="U18" s="772"/>
      <c r="V18" s="771"/>
      <c r="W18" s="772"/>
      <c r="X18" s="1808"/>
      <c r="Y18" s="3251"/>
      <c r="Z18" s="1809"/>
      <c r="AA18" s="1806">
        <v>1</v>
      </c>
      <c r="AB18" s="1806">
        <v>1</v>
      </c>
      <c r="AC18" s="2669">
        <v>1</v>
      </c>
    </row>
    <row r="19" spans="1:29" ht="42.75">
      <c r="A19" s="427"/>
      <c r="B19" s="628" t="s">
        <v>2687</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58"/>
      <c r="Q19" s="1805" t="str">
        <f>B19</f>
        <v>公共配套设施</v>
      </c>
      <c r="R19" s="771" t="s">
        <v>17</v>
      </c>
      <c r="S19" s="772">
        <f>F19</f>
        <v>100</v>
      </c>
      <c r="T19" s="771" t="s">
        <v>17</v>
      </c>
      <c r="U19" s="772">
        <f>H19</f>
        <v>100</v>
      </c>
      <c r="V19" s="771" t="s">
        <v>17</v>
      </c>
      <c r="W19" s="772">
        <f>J19</f>
        <v>100</v>
      </c>
      <c r="X19" s="1808"/>
      <c r="Y19" s="3251"/>
      <c r="Z19" s="1809" t="str">
        <f>Q19</f>
        <v>公共配套设施</v>
      </c>
      <c r="AA19" s="1806">
        <f t="shared" si="3"/>
        <v>1</v>
      </c>
      <c r="AB19" s="1806">
        <f t="shared" si="4"/>
        <v>1</v>
      </c>
      <c r="AC19" s="2669">
        <f t="shared" si="5"/>
        <v>1</v>
      </c>
    </row>
    <row r="20" spans="1:29" ht="15">
      <c r="A20" s="427"/>
      <c r="B20" s="629"/>
      <c r="C20" s="2606"/>
      <c r="D20" s="447"/>
      <c r="E20" s="2599"/>
      <c r="F20" s="447"/>
      <c r="G20" s="2600"/>
      <c r="H20" s="447"/>
      <c r="I20" s="2600"/>
      <c r="J20" s="447"/>
      <c r="K20" s="614"/>
      <c r="L20" s="1140"/>
      <c r="M20" s="1131"/>
      <c r="N20" s="1131"/>
      <c r="O20" s="1131"/>
      <c r="P20" s="3258"/>
      <c r="Q20" s="1805"/>
      <c r="R20" s="771"/>
      <c r="S20" s="772"/>
      <c r="T20" s="771"/>
      <c r="U20" s="772"/>
      <c r="V20" s="771"/>
      <c r="W20" s="772"/>
      <c r="X20" s="1808"/>
      <c r="Y20" s="3251"/>
      <c r="Z20" s="1809"/>
      <c r="AA20" s="1806">
        <v>1</v>
      </c>
      <c r="AB20" s="1806">
        <v>1</v>
      </c>
      <c r="AC20" s="2669">
        <v>1</v>
      </c>
    </row>
    <row r="21" spans="1:29" ht="28.5">
      <c r="A21" s="427"/>
      <c r="B21" s="630" t="s">
        <v>2688</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58"/>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2669">
        <f t="shared" ref="AC21" si="10">D21/J21</f>
        <v>1</v>
      </c>
    </row>
    <row r="22" spans="1:29" ht="15">
      <c r="A22" s="427"/>
      <c r="B22" s="630"/>
      <c r="C22" s="2671"/>
      <c r="D22" s="447"/>
      <c r="E22" s="446"/>
      <c r="F22" s="447"/>
      <c r="G22" s="2606"/>
      <c r="H22" s="447"/>
      <c r="I22" s="2606"/>
      <c r="J22" s="447"/>
      <c r="K22" s="1379"/>
      <c r="L22" s="1140"/>
      <c r="M22" s="1131"/>
      <c r="N22" s="1131"/>
      <c r="O22" s="1131"/>
      <c r="P22" s="3258"/>
      <c r="Q22" s="1805"/>
      <c r="R22" s="771"/>
      <c r="S22" s="772"/>
      <c r="T22" s="771"/>
      <c r="U22" s="772"/>
      <c r="V22" s="771"/>
      <c r="W22" s="772"/>
      <c r="X22" s="1808"/>
      <c r="Y22" s="3251"/>
      <c r="Z22" s="1809"/>
      <c r="AA22" s="1806">
        <v>1</v>
      </c>
      <c r="AB22" s="1806">
        <v>1</v>
      </c>
      <c r="AC22" s="2669">
        <v>1</v>
      </c>
    </row>
    <row r="23" spans="1:29" ht="42.75">
      <c r="A23" s="427"/>
      <c r="B23" s="628" t="s">
        <v>2689</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58"/>
      <c r="Q23" s="1805" t="str">
        <f>B23</f>
        <v>环境质量</v>
      </c>
      <c r="R23" s="771" t="s">
        <v>17</v>
      </c>
      <c r="S23" s="772">
        <f>F23</f>
        <v>100</v>
      </c>
      <c r="T23" s="771" t="s">
        <v>17</v>
      </c>
      <c r="U23" s="772">
        <f>H23</f>
        <v>100</v>
      </c>
      <c r="V23" s="771" t="s">
        <v>17</v>
      </c>
      <c r="W23" s="772">
        <f>J23</f>
        <v>100</v>
      </c>
      <c r="X23" s="1808"/>
      <c r="Y23" s="3251"/>
      <c r="Z23" s="1809" t="str">
        <f>Q23</f>
        <v>环境质量</v>
      </c>
      <c r="AA23" s="1806">
        <f t="shared" si="3"/>
        <v>1</v>
      </c>
      <c r="AB23" s="1806">
        <f t="shared" si="4"/>
        <v>1</v>
      </c>
      <c r="AC23" s="2669">
        <f t="shared" si="5"/>
        <v>1</v>
      </c>
    </row>
    <row r="24" spans="1:29" ht="15">
      <c r="A24" s="427"/>
      <c r="B24" s="630"/>
      <c r="C24" s="2606"/>
      <c r="D24" s="447"/>
      <c r="E24" s="2599"/>
      <c r="F24" s="447"/>
      <c r="G24" s="2600"/>
      <c r="H24" s="447"/>
      <c r="I24" s="2600"/>
      <c r="J24" s="447"/>
      <c r="K24" s="614"/>
      <c r="L24" s="1140"/>
      <c r="M24" s="1131"/>
      <c r="N24" s="1131"/>
      <c r="O24" s="1131"/>
      <c r="P24" s="3258"/>
      <c r="Q24" s="1805"/>
      <c r="R24" s="771"/>
      <c r="S24" s="772"/>
      <c r="T24" s="771"/>
      <c r="U24" s="772"/>
      <c r="V24" s="771"/>
      <c r="W24" s="772"/>
      <c r="X24" s="1808"/>
      <c r="Y24" s="3251"/>
      <c r="Z24" s="1809"/>
      <c r="AA24" s="1806">
        <v>1</v>
      </c>
      <c r="AB24" s="1806">
        <v>1</v>
      </c>
      <c r="AC24" s="2669">
        <v>1</v>
      </c>
    </row>
    <row r="25" spans="1:29" ht="27">
      <c r="A25" s="403"/>
      <c r="B25" s="628" t="s">
        <v>2690</v>
      </c>
      <c r="C25" s="2610"/>
      <c r="D25" s="434">
        <v>100</v>
      </c>
      <c r="E25" s="433"/>
      <c r="F25" s="434">
        <f>SUMIF(87:87,E26,88:88)-SUMIF(87:87,C26,88:88)+100</f>
        <v>100</v>
      </c>
      <c r="G25" s="2610"/>
      <c r="H25" s="434">
        <f>SUMIF(87:87,G26,88:88)-SUMIF(87:87,C26,88:88)+100</f>
        <v>100</v>
      </c>
      <c r="I25" s="433"/>
      <c r="J25" s="434">
        <f>SUMIF(87:87,I26,88:88)-SUMIF(87:87,C26,88:88)+100</f>
        <v>100</v>
      </c>
      <c r="K25" s="613"/>
      <c r="L25" s="1140"/>
      <c r="M25" s="1131"/>
      <c r="N25" s="1131"/>
      <c r="O25" s="1131"/>
      <c r="P25" s="3258"/>
      <c r="Q25" s="1805" t="str">
        <f>B25</f>
        <v>毗邻道路的类型与等级</v>
      </c>
      <c r="R25" s="771" t="s">
        <v>17</v>
      </c>
      <c r="S25" s="772">
        <f>F25</f>
        <v>100</v>
      </c>
      <c r="T25" s="771" t="s">
        <v>17</v>
      </c>
      <c r="U25" s="772">
        <f>H25</f>
        <v>100</v>
      </c>
      <c r="V25" s="771" t="s">
        <v>17</v>
      </c>
      <c r="W25" s="772">
        <f>J25</f>
        <v>100</v>
      </c>
      <c r="X25" s="1808"/>
      <c r="Y25" s="3251"/>
      <c r="Z25" s="1809" t="str">
        <f>Q25</f>
        <v>毗邻道路的类型与等级</v>
      </c>
      <c r="AA25" s="1806">
        <f t="shared" si="3"/>
        <v>1</v>
      </c>
      <c r="AB25" s="1806">
        <f t="shared" si="4"/>
        <v>1</v>
      </c>
      <c r="AC25" s="2669">
        <f t="shared" si="5"/>
        <v>1</v>
      </c>
    </row>
    <row r="26" spans="1:29" ht="15">
      <c r="A26" s="403"/>
      <c r="B26" s="629"/>
      <c r="C26" s="631"/>
      <c r="D26" s="434"/>
      <c r="E26" s="615"/>
      <c r="F26" s="434"/>
      <c r="G26" s="631"/>
      <c r="H26" s="434"/>
      <c r="I26" s="615"/>
      <c r="J26" s="434"/>
      <c r="K26" s="614"/>
      <c r="L26" s="1140"/>
      <c r="M26" s="1131"/>
      <c r="N26" s="1131"/>
      <c r="O26" s="1131"/>
      <c r="P26" s="3258"/>
      <c r="Q26" s="1805"/>
      <c r="R26" s="771"/>
      <c r="S26" s="772"/>
      <c r="T26" s="771"/>
      <c r="U26" s="772"/>
      <c r="V26" s="771"/>
      <c r="W26" s="772"/>
      <c r="X26" s="1808"/>
      <c r="Y26" s="3251"/>
      <c r="Z26" s="1809"/>
      <c r="AA26" s="1806">
        <v>1</v>
      </c>
      <c r="AB26" s="1806">
        <v>1</v>
      </c>
      <c r="AC26" s="2669">
        <v>1</v>
      </c>
    </row>
    <row r="27" spans="1:29" ht="15">
      <c r="A27" s="427"/>
      <c r="B27" s="629" t="s">
        <v>2658</v>
      </c>
      <c r="C27" s="631"/>
      <c r="D27" s="434">
        <v>100</v>
      </c>
      <c r="E27" s="615"/>
      <c r="F27" s="434">
        <f>SUMIF(89:89,E27,90:90)-SUMIF(89:89,C27,90:90)+100</f>
        <v>100</v>
      </c>
      <c r="G27" s="631"/>
      <c r="H27" s="434">
        <f>SUMIF(89:89,G27,90:90)-SUMIF(89:89,C27,90:90)+100</f>
        <v>100</v>
      </c>
      <c r="I27" s="615"/>
      <c r="J27" s="434">
        <f>SUMIF(89:89,I27,90:90)-SUMIF(89:89,C27,90:90)+100</f>
        <v>100</v>
      </c>
      <c r="K27" s="611"/>
      <c r="L27" s="1140"/>
      <c r="M27" s="1131"/>
      <c r="N27" s="1131"/>
      <c r="O27" s="1131"/>
      <c r="P27" s="3258"/>
      <c r="Q27" s="1805" t="str">
        <f t="shared" ref="Q27:Q47" si="11">B27</f>
        <v>楼层</v>
      </c>
      <c r="R27" s="771" t="s">
        <v>17</v>
      </c>
      <c r="S27" s="772">
        <f>F27</f>
        <v>100</v>
      </c>
      <c r="T27" s="771" t="s">
        <v>17</v>
      </c>
      <c r="U27" s="772">
        <f>H27</f>
        <v>100</v>
      </c>
      <c r="V27" s="771" t="s">
        <v>17</v>
      </c>
      <c r="W27" s="772">
        <f>J27</f>
        <v>100</v>
      </c>
      <c r="X27" s="1808"/>
      <c r="Y27" s="3251"/>
      <c r="Z27" s="1809" t="str">
        <f>Q27</f>
        <v>楼层</v>
      </c>
      <c r="AA27" s="1806">
        <f t="shared" si="3"/>
        <v>1</v>
      </c>
      <c r="AB27" s="1806">
        <f t="shared" si="4"/>
        <v>1</v>
      </c>
      <c r="AC27" s="2669">
        <f t="shared" si="5"/>
        <v>1</v>
      </c>
    </row>
    <row r="28" spans="1:29" s="117" customFormat="1" ht="15">
      <c r="A28" s="430"/>
      <c r="B28" s="628" t="s">
        <v>2691</v>
      </c>
      <c r="C28" s="2672"/>
      <c r="D28" s="461">
        <v>100</v>
      </c>
      <c r="E28" s="2660"/>
      <c r="F28" s="461">
        <f>SUMIF(91:91,E28,92:92)-SUMIF(91:91,C28,92:92)+100</f>
        <v>100</v>
      </c>
      <c r="G28" s="2672"/>
      <c r="H28" s="461">
        <f>SUMIF(91:91,G28,92:92)-SUMIF(91:91,C28,92:92)+100</f>
        <v>100</v>
      </c>
      <c r="I28" s="2660"/>
      <c r="J28" s="461">
        <f>SUMIF(91:91,I28,92:92)-SUMIF(91:91,C28,92:92)+100</f>
        <v>100</v>
      </c>
      <c r="K28" s="611"/>
      <c r="L28" s="1132"/>
      <c r="M28" s="1133"/>
      <c r="N28" s="1133"/>
      <c r="O28" s="1133"/>
      <c r="P28" s="3258"/>
      <c r="Q28" s="1790" t="str">
        <f t="shared" si="11"/>
        <v>朝向</v>
      </c>
      <c r="R28" s="767" t="s">
        <v>17</v>
      </c>
      <c r="S28" s="768">
        <f>F28</f>
        <v>100</v>
      </c>
      <c r="T28" s="767" t="s">
        <v>17</v>
      </c>
      <c r="U28" s="768">
        <f>H28</f>
        <v>100</v>
      </c>
      <c r="V28" s="767" t="s">
        <v>17</v>
      </c>
      <c r="W28" s="768">
        <f>J28</f>
        <v>100</v>
      </c>
      <c r="X28" s="769"/>
      <c r="Y28" s="3251"/>
      <c r="Z28" s="55" t="str">
        <f>Q28</f>
        <v>朝向</v>
      </c>
      <c r="AA28" s="1806">
        <f>D28/F28</f>
        <v>1</v>
      </c>
      <c r="AB28" s="1806">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40"/>
      <c r="M29" s="1131"/>
      <c r="N29" s="1131"/>
      <c r="O29" s="1131"/>
      <c r="P29" s="3258"/>
      <c r="Q29" s="1805">
        <f t="shared" si="11"/>
        <v>111</v>
      </c>
      <c r="R29" s="771" t="s">
        <v>17</v>
      </c>
      <c r="S29" s="772">
        <f t="shared" ref="S29:S47" si="12">F29</f>
        <v>100</v>
      </c>
      <c r="T29" s="771" t="s">
        <v>17</v>
      </c>
      <c r="U29" s="772">
        <f t="shared" ref="U29:U47" si="13">H29</f>
        <v>100</v>
      </c>
      <c r="V29" s="771" t="s">
        <v>17</v>
      </c>
      <c r="W29" s="772">
        <f t="shared" ref="W29:W47" si="14">J29</f>
        <v>100</v>
      </c>
      <c r="X29" s="1808"/>
      <c r="Y29" s="3251"/>
      <c r="Z29" s="1809">
        <f t="shared" ref="Z29:Z47" si="15">Q29</f>
        <v>111</v>
      </c>
      <c r="AA29" s="1806">
        <f t="shared" si="3"/>
        <v>1</v>
      </c>
      <c r="AB29" s="1806">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40"/>
      <c r="M30" s="1131"/>
      <c r="N30" s="1131"/>
      <c r="O30" s="1131"/>
      <c r="P30" s="3258"/>
      <c r="Q30" s="1805">
        <f t="shared" si="11"/>
        <v>111</v>
      </c>
      <c r="R30" s="771" t="s">
        <v>17</v>
      </c>
      <c r="S30" s="772">
        <f t="shared" si="12"/>
        <v>100</v>
      </c>
      <c r="T30" s="771" t="s">
        <v>17</v>
      </c>
      <c r="U30" s="772">
        <f t="shared" si="13"/>
        <v>100</v>
      </c>
      <c r="V30" s="771" t="s">
        <v>17</v>
      </c>
      <c r="W30" s="772">
        <f t="shared" si="14"/>
        <v>100</v>
      </c>
      <c r="X30" s="1808"/>
      <c r="Y30" s="3251"/>
      <c r="Z30" s="1809">
        <f t="shared" si="15"/>
        <v>111</v>
      </c>
      <c r="AA30" s="1806">
        <f t="shared" si="3"/>
        <v>1</v>
      </c>
      <c r="AB30" s="1806">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40"/>
      <c r="M31" s="1131"/>
      <c r="N31" s="1131"/>
      <c r="O31" s="1131"/>
      <c r="P31" s="3258"/>
      <c r="Q31" s="1805">
        <f t="shared" si="11"/>
        <v>111</v>
      </c>
      <c r="R31" s="771" t="s">
        <v>17</v>
      </c>
      <c r="S31" s="772">
        <f t="shared" si="12"/>
        <v>100</v>
      </c>
      <c r="T31" s="771" t="s">
        <v>17</v>
      </c>
      <c r="U31" s="772">
        <f t="shared" si="13"/>
        <v>100</v>
      </c>
      <c r="V31" s="771" t="s">
        <v>17</v>
      </c>
      <c r="W31" s="772">
        <f t="shared" si="14"/>
        <v>100</v>
      </c>
      <c r="X31" s="1808"/>
      <c r="Y31" s="3251"/>
      <c r="Z31" s="1809">
        <f t="shared" si="15"/>
        <v>111</v>
      </c>
      <c r="AA31" s="1806">
        <f t="shared" si="3"/>
        <v>1</v>
      </c>
      <c r="AB31" s="1806">
        <f t="shared" si="4"/>
        <v>1</v>
      </c>
      <c r="AC31" s="2669">
        <f t="shared" si="5"/>
        <v>1</v>
      </c>
    </row>
    <row r="32" spans="1:29" ht="15.75" thickBot="1">
      <c r="A32" s="435"/>
      <c r="B32" s="632">
        <v>111</v>
      </c>
      <c r="C32" s="2611"/>
      <c r="D32" s="437">
        <v>100</v>
      </c>
      <c r="E32" s="625"/>
      <c r="F32" s="437">
        <f>SUMIF(99:99,E32,100:100)-SUMIF(99:99,C32,100:100)+100</f>
        <v>100</v>
      </c>
      <c r="G32" s="2667"/>
      <c r="H32" s="437">
        <f>SUMIF(99:99,G32,100:100)-SUMIF(99:99,C32,100:100)+100</f>
        <v>100</v>
      </c>
      <c r="I32" s="431"/>
      <c r="J32" s="437">
        <f>SUMIF(99:99,I32,100:100)-SUMIF(99:99,C32,100:100)+100</f>
        <v>100</v>
      </c>
      <c r="K32" s="612"/>
      <c r="L32" s="1140"/>
      <c r="M32" s="1131"/>
      <c r="N32" s="1131"/>
      <c r="O32" s="1131"/>
      <c r="P32" s="3258"/>
      <c r="Q32" s="1805">
        <f t="shared" si="11"/>
        <v>111</v>
      </c>
      <c r="R32" s="771" t="s">
        <v>17</v>
      </c>
      <c r="S32" s="772">
        <f t="shared" si="12"/>
        <v>100</v>
      </c>
      <c r="T32" s="771" t="s">
        <v>17</v>
      </c>
      <c r="U32" s="772">
        <f t="shared" si="13"/>
        <v>100</v>
      </c>
      <c r="V32" s="771" t="s">
        <v>17</v>
      </c>
      <c r="W32" s="772">
        <f t="shared" si="14"/>
        <v>100</v>
      </c>
      <c r="X32" s="1808"/>
      <c r="Y32" s="3251"/>
      <c r="Z32" s="1809">
        <f t="shared" si="15"/>
        <v>111</v>
      </c>
      <c r="AA32" s="1806">
        <f t="shared" si="3"/>
        <v>1</v>
      </c>
      <c r="AB32" s="1806">
        <f t="shared" si="4"/>
        <v>1</v>
      </c>
      <c r="AC32" s="2669">
        <f t="shared" si="5"/>
        <v>1</v>
      </c>
    </row>
    <row r="33" spans="1:29" ht="15">
      <c r="A33" s="439" t="s">
        <v>2562</v>
      </c>
      <c r="B33" s="71" t="s">
        <v>2692</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40"/>
      <c r="M33" s="1131"/>
      <c r="N33" s="1131"/>
      <c r="O33" s="1131"/>
      <c r="P33" s="3252" t="s">
        <v>2564</v>
      </c>
      <c r="Q33" s="1805" t="str">
        <f t="shared" si="11"/>
        <v>建筑类型</v>
      </c>
      <c r="R33" s="771" t="s">
        <v>17</v>
      </c>
      <c r="S33" s="772">
        <f t="shared" si="12"/>
        <v>100</v>
      </c>
      <c r="T33" s="771" t="s">
        <v>17</v>
      </c>
      <c r="U33" s="772">
        <f t="shared" si="13"/>
        <v>100</v>
      </c>
      <c r="V33" s="771" t="s">
        <v>17</v>
      </c>
      <c r="W33" s="772">
        <f t="shared" si="14"/>
        <v>100</v>
      </c>
      <c r="X33" s="1808"/>
      <c r="Y33" s="3255" t="s">
        <v>2564</v>
      </c>
      <c r="Z33" s="1809" t="str">
        <f t="shared" si="15"/>
        <v>建筑类型</v>
      </c>
      <c r="AA33" s="1806">
        <f t="shared" si="3"/>
        <v>1</v>
      </c>
      <c r="AB33" s="1806">
        <f t="shared" si="4"/>
        <v>1</v>
      </c>
      <c r="AC33" s="2669">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253"/>
      <c r="Q34" s="773" t="str">
        <f t="shared" si="11"/>
        <v>项目建筑规模</v>
      </c>
      <c r="R34" s="774" t="s">
        <v>17</v>
      </c>
      <c r="S34" s="775" t="e">
        <f t="shared" si="12"/>
        <v>#N/A</v>
      </c>
      <c r="T34" s="774" t="s">
        <v>17</v>
      </c>
      <c r="U34" s="775" t="e">
        <f t="shared" si="13"/>
        <v>#N/A</v>
      </c>
      <c r="V34" s="774" t="s">
        <v>17</v>
      </c>
      <c r="W34" s="775" t="e">
        <f t="shared" si="14"/>
        <v>#N/A</v>
      </c>
      <c r="X34" s="776"/>
      <c r="Y34" s="3255"/>
      <c r="Z34" s="777" t="str">
        <f t="shared" si="15"/>
        <v>项目建筑规模</v>
      </c>
      <c r="AA34" s="1806" t="e">
        <f t="shared" si="3"/>
        <v>#N/A</v>
      </c>
      <c r="AB34" s="1806" t="e">
        <f t="shared" si="4"/>
        <v>#N/A</v>
      </c>
      <c r="AC34" s="2669"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53"/>
      <c r="Q35" s="1805" t="str">
        <f t="shared" si="11"/>
        <v>建筑结构</v>
      </c>
      <c r="R35" s="771" t="s">
        <v>17</v>
      </c>
      <c r="S35" s="772">
        <f t="shared" si="12"/>
        <v>100</v>
      </c>
      <c r="T35" s="771" t="s">
        <v>17</v>
      </c>
      <c r="U35" s="772">
        <f t="shared" si="13"/>
        <v>100</v>
      </c>
      <c r="V35" s="771" t="s">
        <v>17</v>
      </c>
      <c r="W35" s="772">
        <f t="shared" si="14"/>
        <v>100</v>
      </c>
      <c r="X35" s="1808"/>
      <c r="Y35" s="3255"/>
      <c r="Z35" s="1809" t="str">
        <f t="shared" si="15"/>
        <v>建筑结构</v>
      </c>
      <c r="AA35" s="1806">
        <f t="shared" si="3"/>
        <v>1</v>
      </c>
      <c r="AB35" s="1806">
        <f t="shared" si="4"/>
        <v>1</v>
      </c>
      <c r="AC35" s="2669">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53"/>
      <c r="Q36" s="1805" t="str">
        <f t="shared" si="11"/>
        <v>公共部分装修</v>
      </c>
      <c r="R36" s="771" t="s">
        <v>17</v>
      </c>
      <c r="S36" s="772">
        <f t="shared" si="12"/>
        <v>100</v>
      </c>
      <c r="T36" s="771" t="s">
        <v>17</v>
      </c>
      <c r="U36" s="772">
        <f t="shared" si="13"/>
        <v>100</v>
      </c>
      <c r="V36" s="771" t="s">
        <v>17</v>
      </c>
      <c r="W36" s="772">
        <f t="shared" si="14"/>
        <v>100</v>
      </c>
      <c r="X36" s="1808"/>
      <c r="Y36" s="3255"/>
      <c r="Z36" s="1809" t="str">
        <f t="shared" si="15"/>
        <v>公共部分装修</v>
      </c>
      <c r="AA36" s="1806">
        <f t="shared" si="3"/>
        <v>1</v>
      </c>
      <c r="AB36" s="1806">
        <f t="shared" si="4"/>
        <v>1</v>
      </c>
      <c r="AC36" s="2669">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53"/>
      <c r="Q37" s="1805" t="str">
        <f t="shared" si="11"/>
        <v>成新度</v>
      </c>
      <c r="R37" s="771" t="s">
        <v>17</v>
      </c>
      <c r="S37" s="772" t="e">
        <f t="shared" si="12"/>
        <v>#N/A</v>
      </c>
      <c r="T37" s="771" t="s">
        <v>17</v>
      </c>
      <c r="U37" s="772" t="e">
        <f t="shared" si="13"/>
        <v>#N/A</v>
      </c>
      <c r="V37" s="771" t="s">
        <v>17</v>
      </c>
      <c r="W37" s="772" t="e">
        <f t="shared" si="14"/>
        <v>#N/A</v>
      </c>
      <c r="X37" s="1808"/>
      <c r="Y37" s="3255"/>
      <c r="Z37" s="1809" t="str">
        <f t="shared" si="15"/>
        <v>成新度</v>
      </c>
      <c r="AA37" s="1806" t="e">
        <f t="shared" si="3"/>
        <v>#N/A</v>
      </c>
      <c r="AB37" s="1806" t="e">
        <f t="shared" si="4"/>
        <v>#N/A</v>
      </c>
      <c r="AC37" s="2669"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53"/>
      <c r="Q38" s="1790" t="str">
        <f t="shared" si="11"/>
        <v>写字楼等级</v>
      </c>
      <c r="R38" s="767" t="s">
        <v>17</v>
      </c>
      <c r="S38" s="768">
        <f t="shared" si="12"/>
        <v>100</v>
      </c>
      <c r="T38" s="767" t="s">
        <v>17</v>
      </c>
      <c r="U38" s="768">
        <f t="shared" si="13"/>
        <v>100</v>
      </c>
      <c r="V38" s="767" t="s">
        <v>17</v>
      </c>
      <c r="W38" s="768">
        <f t="shared" si="14"/>
        <v>100</v>
      </c>
      <c r="X38" s="769"/>
      <c r="Y38" s="3255"/>
      <c r="Z38" s="55" t="str">
        <f t="shared" si="15"/>
        <v>写字楼等级</v>
      </c>
      <c r="AA38" s="770">
        <f t="shared" si="3"/>
        <v>1</v>
      </c>
      <c r="AB38" s="770">
        <f t="shared" si="4"/>
        <v>1</v>
      </c>
      <c r="AC38" s="2666">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53" t="s">
        <v>2564</v>
      </c>
      <c r="Q39" s="1805" t="str">
        <f t="shared" si="11"/>
        <v>物业管理</v>
      </c>
      <c r="R39" s="771" t="s">
        <v>17</v>
      </c>
      <c r="S39" s="772">
        <f t="shared" si="12"/>
        <v>100</v>
      </c>
      <c r="T39" s="771" t="s">
        <v>17</v>
      </c>
      <c r="U39" s="772">
        <f t="shared" si="13"/>
        <v>100</v>
      </c>
      <c r="V39" s="771" t="s">
        <v>17</v>
      </c>
      <c r="W39" s="772">
        <f t="shared" si="14"/>
        <v>100</v>
      </c>
      <c r="X39" s="1808"/>
      <c r="Y39" s="3255" t="s">
        <v>2564</v>
      </c>
      <c r="Z39" s="1809" t="str">
        <f t="shared" si="15"/>
        <v>物业管理</v>
      </c>
      <c r="AA39" s="1806">
        <f t="shared" si="3"/>
        <v>1</v>
      </c>
      <c r="AB39" s="1806">
        <f t="shared" si="4"/>
        <v>1</v>
      </c>
      <c r="AC39" s="2669">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53"/>
      <c r="Q40" s="1805" t="str">
        <f t="shared" si="11"/>
        <v>市政基础设施</v>
      </c>
      <c r="R40" s="771" t="s">
        <v>17</v>
      </c>
      <c r="S40" s="772">
        <f t="shared" si="12"/>
        <v>100</v>
      </c>
      <c r="T40" s="771" t="s">
        <v>17</v>
      </c>
      <c r="U40" s="772">
        <f t="shared" si="13"/>
        <v>100</v>
      </c>
      <c r="V40" s="771" t="s">
        <v>17</v>
      </c>
      <c r="W40" s="772">
        <f t="shared" si="14"/>
        <v>100</v>
      </c>
      <c r="X40" s="1808"/>
      <c r="Y40" s="3255"/>
      <c r="Z40" s="1809" t="str">
        <f t="shared" si="15"/>
        <v>市政基础设施</v>
      </c>
      <c r="AA40" s="1806">
        <f t="shared" si="3"/>
        <v>1</v>
      </c>
      <c r="AB40" s="1806">
        <f t="shared" si="4"/>
        <v>1</v>
      </c>
      <c r="AC40" s="2669">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53"/>
      <c r="Q41" s="1805" t="str">
        <f t="shared" si="11"/>
        <v>层高</v>
      </c>
      <c r="R41" s="771" t="s">
        <v>17</v>
      </c>
      <c r="S41" s="772">
        <f t="shared" si="12"/>
        <v>100</v>
      </c>
      <c r="T41" s="771" t="s">
        <v>17</v>
      </c>
      <c r="U41" s="772">
        <f t="shared" si="13"/>
        <v>100</v>
      </c>
      <c r="V41" s="771" t="s">
        <v>17</v>
      </c>
      <c r="W41" s="772">
        <f t="shared" si="14"/>
        <v>100</v>
      </c>
      <c r="X41" s="1808"/>
      <c r="Y41" s="3255"/>
      <c r="Z41" s="1809" t="str">
        <f t="shared" si="15"/>
        <v>层高</v>
      </c>
      <c r="AA41" s="1806">
        <f t="shared" si="3"/>
        <v>1</v>
      </c>
      <c r="AB41" s="1806">
        <f t="shared" si="4"/>
        <v>1</v>
      </c>
      <c r="AC41" s="2669">
        <f t="shared" si="5"/>
        <v>1</v>
      </c>
    </row>
    <row r="42" spans="1:29" s="470" customFormat="1" ht="15">
      <c r="A42" s="467"/>
      <c r="B42" s="1807"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53"/>
      <c r="Q42" s="773" t="str">
        <f t="shared" si="11"/>
        <v>单套建筑面积</v>
      </c>
      <c r="R42" s="774" t="s">
        <v>17</v>
      </c>
      <c r="S42" s="775">
        <f t="shared" si="12"/>
        <v>100</v>
      </c>
      <c r="T42" s="774" t="s">
        <v>17</v>
      </c>
      <c r="U42" s="775">
        <f t="shared" si="13"/>
        <v>100</v>
      </c>
      <c r="V42" s="774" t="s">
        <v>17</v>
      </c>
      <c r="W42" s="775">
        <f t="shared" si="14"/>
        <v>100</v>
      </c>
      <c r="X42" s="776"/>
      <c r="Y42" s="3255"/>
      <c r="Z42" s="777" t="str">
        <f t="shared" si="15"/>
        <v>单套建筑面积</v>
      </c>
      <c r="AA42" s="1806">
        <f t="shared" si="3"/>
        <v>1</v>
      </c>
      <c r="AB42" s="1806">
        <f t="shared" si="4"/>
        <v>1</v>
      </c>
      <c r="AC42" s="2669">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53"/>
      <c r="Q43" s="1805" t="str">
        <f t="shared" si="11"/>
        <v>内部装修</v>
      </c>
      <c r="R43" s="771" t="s">
        <v>17</v>
      </c>
      <c r="S43" s="772">
        <f t="shared" si="12"/>
        <v>100</v>
      </c>
      <c r="T43" s="771" t="s">
        <v>17</v>
      </c>
      <c r="U43" s="772">
        <f t="shared" si="13"/>
        <v>100</v>
      </c>
      <c r="V43" s="771" t="s">
        <v>17</v>
      </c>
      <c r="W43" s="772">
        <f t="shared" si="14"/>
        <v>100</v>
      </c>
      <c r="X43" s="1808"/>
      <c r="Y43" s="3255"/>
      <c r="Z43" s="1809" t="str">
        <f t="shared" si="15"/>
        <v>内部装修</v>
      </c>
      <c r="AA43" s="1806">
        <f t="shared" si="3"/>
        <v>1</v>
      </c>
      <c r="AB43" s="1806">
        <f t="shared" si="4"/>
        <v>1</v>
      </c>
      <c r="AC43" s="2669">
        <f t="shared" si="5"/>
        <v>1</v>
      </c>
    </row>
    <row r="44" spans="1:29" ht="15">
      <c r="A44" s="471"/>
      <c r="B44" s="421" t="s">
        <v>2575</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40"/>
      <c r="M44" s="1131"/>
      <c r="N44" s="1131"/>
      <c r="O44" s="1131"/>
      <c r="P44" s="3253"/>
      <c r="Q44" s="1805" t="str">
        <f t="shared" si="11"/>
        <v>内部装修维护情况</v>
      </c>
      <c r="R44" s="771" t="s">
        <v>17</v>
      </c>
      <c r="S44" s="772">
        <f t="shared" si="12"/>
        <v>100</v>
      </c>
      <c r="T44" s="771" t="s">
        <v>17</v>
      </c>
      <c r="U44" s="772">
        <f t="shared" si="13"/>
        <v>100</v>
      </c>
      <c r="V44" s="771" t="s">
        <v>17</v>
      </c>
      <c r="W44" s="772">
        <f t="shared" si="14"/>
        <v>100</v>
      </c>
      <c r="X44" s="1808"/>
      <c r="Y44" s="3255"/>
      <c r="Z44" s="1809" t="str">
        <f t="shared" si="15"/>
        <v>内部装修维护情况</v>
      </c>
      <c r="AA44" s="1806">
        <f t="shared" si="3"/>
        <v>1</v>
      </c>
      <c r="AB44" s="1806">
        <f t="shared" si="4"/>
        <v>1</v>
      </c>
      <c r="AC44" s="2669">
        <f t="shared" si="5"/>
        <v>1</v>
      </c>
    </row>
    <row r="45" spans="1:29" s="117"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53"/>
      <c r="Q45" s="1790">
        <f t="shared" si="11"/>
        <v>111</v>
      </c>
      <c r="R45" s="767" t="s">
        <v>17</v>
      </c>
      <c r="S45" s="768">
        <f t="shared" si="12"/>
        <v>100</v>
      </c>
      <c r="T45" s="767" t="s">
        <v>17</v>
      </c>
      <c r="U45" s="768">
        <f t="shared" si="13"/>
        <v>100</v>
      </c>
      <c r="V45" s="767" t="s">
        <v>17</v>
      </c>
      <c r="W45" s="768">
        <f t="shared" si="14"/>
        <v>100</v>
      </c>
      <c r="X45" s="769"/>
      <c r="Y45" s="3255"/>
      <c r="Z45" s="55">
        <f t="shared" si="15"/>
        <v>111</v>
      </c>
      <c r="AA45" s="770">
        <f t="shared" si="3"/>
        <v>1</v>
      </c>
      <c r="AB45" s="770">
        <f t="shared" si="4"/>
        <v>1</v>
      </c>
      <c r="AC45" s="2666">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53"/>
      <c r="Q46" s="1805">
        <f t="shared" si="11"/>
        <v>111</v>
      </c>
      <c r="R46" s="771" t="s">
        <v>17</v>
      </c>
      <c r="S46" s="772">
        <f t="shared" si="12"/>
        <v>100</v>
      </c>
      <c r="T46" s="771" t="s">
        <v>17</v>
      </c>
      <c r="U46" s="772">
        <f t="shared" si="13"/>
        <v>100</v>
      </c>
      <c r="V46" s="771" t="s">
        <v>17</v>
      </c>
      <c r="W46" s="772">
        <f t="shared" si="14"/>
        <v>100</v>
      </c>
      <c r="X46" s="1808"/>
      <c r="Y46" s="3255"/>
      <c r="Z46" s="1809">
        <f t="shared" si="15"/>
        <v>111</v>
      </c>
      <c r="AA46" s="1806">
        <f t="shared" si="3"/>
        <v>1</v>
      </c>
      <c r="AB46" s="1806">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54"/>
      <c r="Q47" s="1805">
        <f t="shared" si="11"/>
        <v>111</v>
      </c>
      <c r="R47" s="771" t="s">
        <v>17</v>
      </c>
      <c r="S47" s="772">
        <f t="shared" si="12"/>
        <v>100</v>
      </c>
      <c r="T47" s="771" t="s">
        <v>17</v>
      </c>
      <c r="U47" s="772">
        <f t="shared" si="13"/>
        <v>100</v>
      </c>
      <c r="V47" s="771" t="s">
        <v>17</v>
      </c>
      <c r="W47" s="772">
        <f t="shared" si="14"/>
        <v>100</v>
      </c>
      <c r="X47" s="1808"/>
      <c r="Y47" s="3256"/>
      <c r="Z47" s="1809">
        <f t="shared" si="15"/>
        <v>111</v>
      </c>
      <c r="AA47" s="1806">
        <f t="shared" si="3"/>
        <v>1</v>
      </c>
      <c r="AB47" s="1806">
        <f t="shared" si="4"/>
        <v>1</v>
      </c>
      <c r="AC47" s="2669">
        <f t="shared" si="5"/>
        <v>1</v>
      </c>
    </row>
    <row r="48" spans="1:29" ht="15">
      <c r="A48" s="478" t="s">
        <v>2576</v>
      </c>
      <c r="B48" s="479"/>
      <c r="C48" s="1403" t="s">
        <v>1</v>
      </c>
      <c r="D48" s="1404"/>
      <c r="E48" s="1405"/>
      <c r="F48" s="1406"/>
      <c r="G48" s="1407"/>
      <c r="H48" s="1408"/>
      <c r="I48" s="1405"/>
      <c r="J48" s="484"/>
      <c r="K48" s="780"/>
      <c r="L48" s="1143"/>
      <c r="M48" s="1131"/>
      <c r="N48" s="1131"/>
      <c r="O48" s="1131"/>
      <c r="P48" s="3230" t="str">
        <f>A48</f>
        <v>成交单价（元/平方米）</v>
      </c>
      <c r="Q48" s="3248"/>
      <c r="R48" s="3249">
        <f>E48</f>
        <v>0</v>
      </c>
      <c r="S48" s="3249"/>
      <c r="T48" s="3249">
        <f>G48</f>
        <v>0</v>
      </c>
      <c r="U48" s="3249"/>
      <c r="V48" s="3249">
        <f>I48</f>
        <v>0</v>
      </c>
      <c r="W48" s="3249"/>
      <c r="X48" s="445"/>
      <c r="Y48" s="778"/>
      <c r="Z48" s="445"/>
      <c r="AA48" s="445"/>
      <c r="AB48" s="445"/>
      <c r="AC48" s="627"/>
    </row>
    <row r="49" spans="1:29" ht="15.75" thickBot="1">
      <c r="A49" s="485" t="s">
        <v>2668</v>
      </c>
      <c r="B49" s="486"/>
      <c r="C49" s="1409" t="e">
        <f>R50</f>
        <v>#DIV/0!</v>
      </c>
      <c r="D49" s="1410"/>
      <c r="E49" s="1411" t="e">
        <f>R49</f>
        <v>#DIV/0!</v>
      </c>
      <c r="F49" s="1411"/>
      <c r="G49" s="1409" t="e">
        <f>T49</f>
        <v>#DIV/0!</v>
      </c>
      <c r="H49" s="1410"/>
      <c r="I49" s="1411" t="e">
        <f>V49</f>
        <v>#DIV/0!</v>
      </c>
      <c r="J49" s="488"/>
      <c r="K49" s="781"/>
      <c r="L49" s="1143"/>
      <c r="M49" s="1131"/>
      <c r="N49" s="1131"/>
      <c r="O49" s="1131"/>
      <c r="P49" s="3230"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5"/>
      <c r="Y49" s="445"/>
      <c r="Z49" s="445"/>
      <c r="AA49" s="445"/>
      <c r="AB49" s="445"/>
      <c r="AC49" s="627"/>
    </row>
    <row r="50" spans="1:29" ht="15.75" thickBot="1">
      <c r="A50" s="491" t="s">
        <v>2669</v>
      </c>
      <c r="B50" s="492"/>
      <c r="C50" s="1413" t="e">
        <f>R50</f>
        <v>#DIV/0!</v>
      </c>
      <c r="D50" s="1413"/>
      <c r="E50" s="1413"/>
      <c r="F50" s="1413"/>
      <c r="G50" s="1413"/>
      <c r="H50" s="1413"/>
      <c r="I50" s="1413"/>
      <c r="J50" s="493"/>
      <c r="K50" s="782"/>
      <c r="L50" s="1143"/>
      <c r="M50" s="1131"/>
      <c r="N50" s="1131"/>
      <c r="O50" s="1131"/>
      <c r="P50" s="3275" t="str">
        <f>A50</f>
        <v>估价对象XX用房的比较价值（楼面单价，元/平方米）</v>
      </c>
      <c r="Q50" s="3276"/>
      <c r="R50" s="3277" t="e">
        <f>IF(F1="售价",ROUND(AVERAGE(R49:V49),0),ROUND(AVERAGE(R49:V49),1))</f>
        <v>#DIV/0!</v>
      </c>
      <c r="S50" s="3277"/>
      <c r="T50" s="3277"/>
      <c r="U50" s="3277"/>
      <c r="V50" s="3277"/>
      <c r="W50" s="3277"/>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5"/>
    </row>
    <row r="56" spans="1:29" s="501"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0" t="s">
        <v>2673</v>
      </c>
      <c r="B58" s="756"/>
      <c r="C58" s="761"/>
      <c r="D58" s="761"/>
      <c r="E58" s="761"/>
      <c r="F58" s="762"/>
      <c r="G58" s="762"/>
      <c r="H58" s="761"/>
      <c r="I58" s="761"/>
      <c r="J58" s="761"/>
      <c r="K58" s="763"/>
      <c r="L58" s="1161"/>
      <c r="M58" s="1159"/>
      <c r="N58" s="1159"/>
      <c r="O58" s="1159"/>
      <c r="P58" s="2676"/>
      <c r="Q58" s="503"/>
    </row>
    <row r="59" spans="1:29" s="507" customFormat="1" ht="15">
      <c r="A59" s="504" t="s">
        <v>2547</v>
      </c>
      <c r="B59" s="505"/>
      <c r="C59" s="1570" t="str">
        <f>YEAR(C7)&amp;"-"&amp;MONTH(C7)</f>
        <v>2018-9</v>
      </c>
      <c r="D59" s="1571">
        <f>EDATE(C59,-1)</f>
        <v>43313</v>
      </c>
      <c r="E59" s="1571">
        <f>EDATE(D59,-1)</f>
        <v>43282</v>
      </c>
      <c r="F59" s="1571">
        <f t="shared" ref="F59:O59" si="16">EDATE(E59,-1)</f>
        <v>43252</v>
      </c>
      <c r="G59" s="1571">
        <f t="shared" si="16"/>
        <v>43221</v>
      </c>
      <c r="H59" s="1571">
        <f t="shared" si="16"/>
        <v>43191</v>
      </c>
      <c r="I59" s="1571">
        <f t="shared" si="16"/>
        <v>43160</v>
      </c>
      <c r="J59" s="1571">
        <f t="shared" si="16"/>
        <v>43132</v>
      </c>
      <c r="K59" s="1571">
        <f t="shared" si="16"/>
        <v>43101</v>
      </c>
      <c r="L59" s="1571">
        <f t="shared" si="16"/>
        <v>43070</v>
      </c>
      <c r="M59" s="1571">
        <f t="shared" si="16"/>
        <v>43040</v>
      </c>
      <c r="N59" s="1571">
        <f t="shared" si="16"/>
        <v>43009</v>
      </c>
      <c r="O59" s="1571">
        <f t="shared" si="16"/>
        <v>42979</v>
      </c>
      <c r="P59" s="1567"/>
    </row>
    <row r="60" spans="1:29" s="117" customFormat="1" ht="15">
      <c r="A60" s="508"/>
      <c r="B60" s="509"/>
      <c r="C60" s="1569">
        <v>100</v>
      </c>
      <c r="D60" s="511"/>
      <c r="E60" s="511"/>
      <c r="F60" s="511"/>
      <c r="G60" s="511"/>
      <c r="H60" s="511"/>
      <c r="I60" s="511"/>
      <c r="J60" s="511"/>
      <c r="K60" s="511"/>
      <c r="L60" s="511"/>
      <c r="M60" s="512"/>
      <c r="N60" s="511"/>
      <c r="O60" s="512"/>
      <c r="P60" s="2677"/>
    </row>
    <row r="61" spans="1:29" s="117" customFormat="1" ht="15.75" thickBot="1">
      <c r="A61" s="514" t="s">
        <v>2584</v>
      </c>
      <c r="B61" s="515"/>
      <c r="C61" s="516"/>
      <c r="D61" s="517"/>
      <c r="E61" s="517"/>
      <c r="F61" s="517"/>
      <c r="G61" s="517"/>
      <c r="H61" s="517"/>
      <c r="I61" s="517"/>
      <c r="J61" s="517"/>
      <c r="K61" s="517"/>
      <c r="L61" s="517"/>
      <c r="M61" s="518"/>
      <c r="N61" s="517"/>
      <c r="O61" s="518"/>
      <c r="P61" s="2677"/>
      <c r="Q61" s="503"/>
    </row>
    <row r="62" spans="1:29" s="117" customFormat="1" ht="15">
      <c r="A62" s="520" t="s">
        <v>2549</v>
      </c>
      <c r="B62" s="509"/>
      <c r="C62" s="521" t="s">
        <v>2651</v>
      </c>
      <c r="D62" s="522"/>
      <c r="E62" s="522"/>
      <c r="F62" s="522"/>
      <c r="G62" s="522"/>
      <c r="H62" s="522"/>
      <c r="I62" s="522"/>
      <c r="J62" s="522"/>
      <c r="K62" s="522"/>
      <c r="L62" s="523"/>
      <c r="M62" s="524"/>
      <c r="N62" s="1151"/>
      <c r="O62" s="1151"/>
      <c r="P62" s="2678"/>
      <c r="Q62" s="503"/>
    </row>
    <row r="63" spans="1:29" s="117" customFormat="1" ht="15.75" thickBot="1">
      <c r="A63" s="520"/>
      <c r="B63" s="509"/>
      <c r="C63" s="510">
        <v>100</v>
      </c>
      <c r="D63" s="511"/>
      <c r="E63" s="511"/>
      <c r="F63" s="511"/>
      <c r="G63" s="511"/>
      <c r="H63" s="511"/>
      <c r="I63" s="511"/>
      <c r="J63" s="511"/>
      <c r="K63" s="511"/>
      <c r="L63" s="511"/>
      <c r="M63" s="513"/>
      <c r="N63" s="1151"/>
      <c r="O63" s="1151"/>
      <c r="P63" s="2677"/>
      <c r="Q63" s="503"/>
    </row>
    <row r="64" spans="1:29">
      <c r="A64" s="526" t="s">
        <v>2587</v>
      </c>
      <c r="B64" s="527" t="s">
        <v>2553</v>
      </c>
      <c r="C64" s="528">
        <f>C9</f>
        <v>0</v>
      </c>
      <c r="D64" s="529"/>
      <c r="E64" s="529"/>
      <c r="F64" s="529"/>
      <c r="G64" s="529"/>
      <c r="H64" s="529"/>
      <c r="I64" s="529"/>
      <c r="J64" s="529"/>
      <c r="K64" s="530"/>
      <c r="L64" s="531"/>
      <c r="M64" s="532"/>
      <c r="N64" s="1152"/>
      <c r="O64" s="1152"/>
      <c r="P64" s="2679"/>
      <c r="Q64" s="503"/>
    </row>
    <row r="65" spans="1:17" ht="15.75" thickBot="1">
      <c r="A65" s="533"/>
      <c r="B65" s="534"/>
      <c r="C65" s="535">
        <v>100</v>
      </c>
      <c r="D65" s="535"/>
      <c r="E65" s="535"/>
      <c r="F65" s="535"/>
      <c r="G65" s="535"/>
      <c r="H65" s="535"/>
      <c r="I65" s="535"/>
      <c r="J65" s="535"/>
      <c r="K65" s="535"/>
      <c r="L65" s="535"/>
      <c r="M65" s="536"/>
      <c r="N65" s="1153"/>
      <c r="O65" s="1153"/>
      <c r="P65" s="2679"/>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2"/>
      <c r="O66" s="1152"/>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79"/>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9"/>
      <c r="Q68" s="503"/>
    </row>
    <row r="69" spans="1:17" ht="15">
      <c r="A69" s="533"/>
      <c r="B69" s="547"/>
      <c r="C69" s="548"/>
      <c r="D69" s="548"/>
      <c r="E69" s="548"/>
      <c r="F69" s="548"/>
      <c r="G69" s="548"/>
      <c r="H69" s="548"/>
      <c r="I69" s="548"/>
      <c r="J69" s="548"/>
      <c r="K69" s="549"/>
      <c r="L69" s="550"/>
      <c r="M69" s="551"/>
      <c r="N69" s="1152"/>
      <c r="O69" s="1152"/>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79"/>
      <c r="Q70" s="503"/>
    </row>
    <row r="71" spans="1:17" s="470" customFormat="1" ht="15.75" thickTop="1">
      <c r="A71" s="552"/>
      <c r="B71" s="537">
        <f>B12</f>
        <v>111</v>
      </c>
      <c r="C71" s="553"/>
      <c r="D71" s="553"/>
      <c r="E71" s="553"/>
      <c r="F71" s="553"/>
      <c r="G71" s="553"/>
      <c r="H71" s="554"/>
      <c r="I71" s="554"/>
      <c r="J71" s="554"/>
      <c r="K71" s="554"/>
      <c r="L71" s="555"/>
      <c r="M71" s="556"/>
      <c r="N71" s="1154"/>
      <c r="O71" s="1154"/>
      <c r="P71" s="2680"/>
      <c r="Q71" s="558"/>
    </row>
    <row r="72" spans="1:17" s="470" customFormat="1" ht="15.75" thickBot="1">
      <c r="A72" s="552"/>
      <c r="B72" s="542"/>
      <c r="C72" s="559"/>
      <c r="D72" s="535"/>
      <c r="E72" s="535"/>
      <c r="F72" s="535"/>
      <c r="G72" s="535"/>
      <c r="H72" s="535"/>
      <c r="I72" s="535"/>
      <c r="J72" s="535"/>
      <c r="K72" s="535"/>
      <c r="L72" s="535"/>
      <c r="M72" s="536"/>
      <c r="N72" s="1153"/>
      <c r="O72" s="1153"/>
      <c r="P72" s="2680"/>
      <c r="Q72" s="558"/>
    </row>
    <row r="73" spans="1:17" s="470" customFormat="1" ht="15.75" thickTop="1">
      <c r="A73" s="552"/>
      <c r="B73" s="537">
        <f>B13</f>
        <v>111</v>
      </c>
      <c r="C73" s="553"/>
      <c r="D73" s="553"/>
      <c r="E73" s="553"/>
      <c r="F73" s="553"/>
      <c r="G73" s="553"/>
      <c r="H73" s="554"/>
      <c r="I73" s="554"/>
      <c r="J73" s="554"/>
      <c r="K73" s="554"/>
      <c r="L73" s="555"/>
      <c r="M73" s="556"/>
      <c r="N73" s="1154"/>
      <c r="O73" s="1154"/>
      <c r="P73" s="2681"/>
      <c r="Q73" s="560"/>
    </row>
    <row r="74" spans="1:17" s="470" customFormat="1" ht="15.75" thickBot="1">
      <c r="A74" s="552"/>
      <c r="B74" s="542"/>
      <c r="C74" s="559"/>
      <c r="D74" s="559"/>
      <c r="E74" s="559"/>
      <c r="F74" s="559"/>
      <c r="G74" s="559"/>
      <c r="H74" s="561"/>
      <c r="I74" s="561"/>
      <c r="J74" s="561"/>
      <c r="K74" s="561"/>
      <c r="L74" s="561"/>
      <c r="M74" s="562"/>
      <c r="N74" s="1154"/>
      <c r="O74" s="1154"/>
      <c r="P74" s="2680"/>
      <c r="Q74" s="558"/>
    </row>
    <row r="75" spans="1:17" s="470" customFormat="1" ht="15.75" thickTop="1">
      <c r="A75" s="552"/>
      <c r="B75" s="545">
        <f>B14</f>
        <v>111</v>
      </c>
      <c r="C75" s="522"/>
      <c r="D75" s="522"/>
      <c r="E75" s="522"/>
      <c r="F75" s="522"/>
      <c r="G75" s="522"/>
      <c r="H75" s="563"/>
      <c r="I75" s="563"/>
      <c r="J75" s="563"/>
      <c r="K75" s="563"/>
      <c r="L75" s="564"/>
      <c r="M75" s="565"/>
      <c r="N75" s="1154"/>
      <c r="O75" s="1154"/>
      <c r="P75" s="2682"/>
      <c r="Q75" s="558"/>
    </row>
    <row r="76" spans="1:17" s="470" customFormat="1" ht="15.75" thickBot="1">
      <c r="A76" s="567"/>
      <c r="B76" s="568"/>
      <c r="C76" s="569"/>
      <c r="D76" s="569"/>
      <c r="E76" s="569"/>
      <c r="F76" s="569"/>
      <c r="G76" s="569"/>
      <c r="H76" s="570"/>
      <c r="I76" s="570"/>
      <c r="J76" s="570"/>
      <c r="K76" s="570"/>
      <c r="L76" s="570"/>
      <c r="M76" s="571"/>
      <c r="N76" s="1154"/>
      <c r="O76" s="1154"/>
      <c r="P76" s="2680"/>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2"/>
      <c r="O77" s="1152"/>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79"/>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2"/>
      <c r="O79" s="1152"/>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79"/>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2"/>
      <c r="O81" s="1152"/>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79"/>
      <c r="Q82" s="503"/>
    </row>
    <row r="83" spans="1:17" ht="15.75" thickTop="1">
      <c r="A83" s="533"/>
      <c r="B83" s="545" t="s">
        <v>2688</v>
      </c>
      <c r="C83" s="657" t="s">
        <v>2674</v>
      </c>
      <c r="D83" s="657" t="s">
        <v>2675</v>
      </c>
      <c r="E83" s="657" t="s">
        <v>2676</v>
      </c>
      <c r="F83" s="657" t="s">
        <v>2677</v>
      </c>
      <c r="G83" s="657" t="s">
        <v>2678</v>
      </c>
      <c r="H83" s="538"/>
      <c r="I83" s="538"/>
      <c r="J83" s="538"/>
      <c r="K83" s="538"/>
      <c r="L83" s="538"/>
      <c r="M83" s="1378"/>
      <c r="N83" s="1153"/>
      <c r="O83" s="1153"/>
      <c r="P83" s="2679"/>
      <c r="Q83" s="503"/>
    </row>
    <row r="84" spans="1:17" ht="15.75" thickBot="1">
      <c r="A84" s="533"/>
      <c r="B84" s="545"/>
      <c r="C84" s="543">
        <v>100</v>
      </c>
      <c r="D84" s="543">
        <f>C84-$K21</f>
        <v>100</v>
      </c>
      <c r="E84" s="543">
        <f>D84-$K21</f>
        <v>100</v>
      </c>
      <c r="F84" s="543">
        <f>E84-$K21</f>
        <v>100</v>
      </c>
      <c r="G84" s="543">
        <f>F84-$K21</f>
        <v>100</v>
      </c>
      <c r="H84" s="657"/>
      <c r="I84" s="657"/>
      <c r="J84" s="657"/>
      <c r="K84" s="657"/>
      <c r="L84" s="657"/>
      <c r="M84" s="449"/>
      <c r="N84" s="1153"/>
      <c r="O84" s="1153"/>
      <c r="P84" s="2679"/>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2"/>
      <c r="O85" s="1152"/>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79"/>
      <c r="Q86" s="503"/>
    </row>
    <row r="87" spans="1:17" s="117" customFormat="1" ht="27.75" thickTop="1">
      <c r="A87" s="578"/>
      <c r="B87" s="537" t="s">
        <v>2698</v>
      </c>
      <c r="C87" s="553"/>
      <c r="D87" s="553"/>
      <c r="E87" s="553"/>
      <c r="F87" s="553"/>
      <c r="G87" s="553"/>
      <c r="H87" s="553"/>
      <c r="I87" s="553"/>
      <c r="J87" s="553"/>
      <c r="K87" s="553"/>
      <c r="L87" s="579"/>
      <c r="M87" s="580"/>
      <c r="N87" s="1151"/>
      <c r="O87" s="1151"/>
      <c r="P87" s="267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79"/>
      <c r="Q88" s="503"/>
    </row>
    <row r="89" spans="1:17" s="117" customFormat="1" ht="15.75" thickTop="1">
      <c r="A89" s="578"/>
      <c r="B89" s="537" t="str">
        <f>B27</f>
        <v>楼层</v>
      </c>
      <c r="C89" s="553"/>
      <c r="D89" s="553"/>
      <c r="E89" s="553"/>
      <c r="F89" s="2630"/>
      <c r="G89" s="553"/>
      <c r="H89" s="553"/>
      <c r="I89" s="553"/>
      <c r="J89" s="553"/>
      <c r="K89" s="553"/>
      <c r="L89" s="553"/>
      <c r="M89" s="580"/>
      <c r="N89" s="1151"/>
      <c r="O89" s="1151"/>
      <c r="P89" s="267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79"/>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0"/>
      <c r="Q92" s="558"/>
    </row>
    <row r="93" spans="1:17" ht="15.75" thickTop="1">
      <c r="A93" s="533"/>
      <c r="B93" s="537">
        <f>B29</f>
        <v>111</v>
      </c>
      <c r="C93" s="553"/>
      <c r="D93" s="553"/>
      <c r="E93" s="553"/>
      <c r="F93" s="553"/>
      <c r="G93" s="553"/>
      <c r="H93" s="553"/>
      <c r="I93" s="553"/>
      <c r="J93" s="553"/>
      <c r="K93" s="553"/>
      <c r="L93" s="579"/>
      <c r="M93" s="580"/>
      <c r="N93" s="1152"/>
      <c r="O93" s="1152"/>
      <c r="P93" s="2679"/>
      <c r="Q93" s="503"/>
    </row>
    <row r="94" spans="1:17" ht="15.75" thickBot="1">
      <c r="A94" s="533"/>
      <c r="B94" s="542"/>
      <c r="C94" s="559"/>
      <c r="D94" s="535"/>
      <c r="E94" s="535"/>
      <c r="F94" s="535"/>
      <c r="G94" s="535"/>
      <c r="H94" s="535"/>
      <c r="I94" s="535"/>
      <c r="J94" s="535"/>
      <c r="K94" s="535"/>
      <c r="L94" s="535"/>
      <c r="M94" s="536"/>
      <c r="N94" s="1153"/>
      <c r="O94" s="1153"/>
      <c r="P94" s="2679"/>
      <c r="Q94" s="503"/>
    </row>
    <row r="95" spans="1:17" ht="15.75" thickTop="1">
      <c r="A95" s="533"/>
      <c r="B95" s="537">
        <f>B30</f>
        <v>111</v>
      </c>
      <c r="C95" s="553"/>
      <c r="D95" s="553"/>
      <c r="E95" s="553"/>
      <c r="F95" s="553"/>
      <c r="G95" s="582"/>
      <c r="H95" s="582"/>
      <c r="I95" s="582"/>
      <c r="J95" s="582"/>
      <c r="K95" s="583"/>
      <c r="L95" s="584"/>
      <c r="M95" s="585"/>
      <c r="N95" s="1152"/>
      <c r="O95" s="1152"/>
      <c r="P95" s="2679"/>
      <c r="Q95" s="503"/>
    </row>
    <row r="96" spans="1:17" ht="15.75" thickBot="1">
      <c r="A96" s="533"/>
      <c r="B96" s="542"/>
      <c r="C96" s="559"/>
      <c r="D96" s="559"/>
      <c r="E96" s="559"/>
      <c r="F96" s="559"/>
      <c r="G96" s="535"/>
      <c r="H96" s="535"/>
      <c r="I96" s="535"/>
      <c r="J96" s="535"/>
      <c r="K96" s="535"/>
      <c r="L96" s="535"/>
      <c r="M96" s="536"/>
      <c r="N96" s="1153"/>
      <c r="O96" s="1153"/>
      <c r="P96" s="2679"/>
      <c r="Q96" s="503"/>
    </row>
    <row r="97" spans="1:17" ht="15.75" thickTop="1">
      <c r="A97" s="533"/>
      <c r="B97" s="537">
        <f>B31</f>
        <v>111</v>
      </c>
      <c r="C97" s="553"/>
      <c r="D97" s="553"/>
      <c r="E97" s="553"/>
      <c r="F97" s="553"/>
      <c r="G97" s="582"/>
      <c r="H97" s="582"/>
      <c r="I97" s="582"/>
      <c r="J97" s="582"/>
      <c r="K97" s="583"/>
      <c r="L97" s="584"/>
      <c r="M97" s="585"/>
      <c r="N97" s="1152"/>
      <c r="O97" s="1152"/>
      <c r="P97" s="2679"/>
      <c r="Q97" s="503"/>
    </row>
    <row r="98" spans="1:17" ht="15.75" thickBot="1">
      <c r="A98" s="533"/>
      <c r="B98" s="542"/>
      <c r="C98" s="559"/>
      <c r="D98" s="535"/>
      <c r="E98" s="535"/>
      <c r="F98" s="535"/>
      <c r="G98" s="535"/>
      <c r="H98" s="535"/>
      <c r="I98" s="535"/>
      <c r="J98" s="535"/>
      <c r="K98" s="535"/>
      <c r="L98" s="535"/>
      <c r="M98" s="536"/>
      <c r="N98" s="1153"/>
      <c r="O98" s="1153"/>
      <c r="P98" s="2679"/>
      <c r="Q98" s="503"/>
    </row>
    <row r="99" spans="1:17" ht="15.75" thickTop="1">
      <c r="A99" s="533"/>
      <c r="B99" s="545">
        <f>B32</f>
        <v>111</v>
      </c>
      <c r="C99" s="522"/>
      <c r="D99" s="522"/>
      <c r="E99" s="522"/>
      <c r="F99" s="522"/>
      <c r="G99" s="586"/>
      <c r="H99" s="586"/>
      <c r="I99" s="586"/>
      <c r="J99" s="586"/>
      <c r="K99" s="587"/>
      <c r="L99" s="588"/>
      <c r="M99" s="589"/>
      <c r="N99" s="1152"/>
      <c r="O99" s="1152"/>
      <c r="P99" s="2679"/>
      <c r="Q99" s="503"/>
    </row>
    <row r="100" spans="1:17" ht="15.75" thickBot="1">
      <c r="A100" s="2631"/>
      <c r="B100" s="568"/>
      <c r="C100" s="569"/>
      <c r="D100" s="569"/>
      <c r="E100" s="569"/>
      <c r="F100" s="569"/>
      <c r="G100" s="590"/>
      <c r="H100" s="590"/>
      <c r="I100" s="590"/>
      <c r="J100" s="590"/>
      <c r="K100" s="590"/>
      <c r="L100" s="590"/>
      <c r="M100" s="591"/>
      <c r="N100" s="1153"/>
      <c r="O100" s="1153"/>
      <c r="P100" s="2679"/>
      <c r="Q100" s="503"/>
    </row>
    <row r="101" spans="1:17">
      <c r="A101" s="526" t="s">
        <v>2562</v>
      </c>
      <c r="B101" s="527" t="s">
        <v>2611</v>
      </c>
      <c r="C101" s="529"/>
      <c r="D101" s="529"/>
      <c r="E101" s="529"/>
      <c r="F101" s="529"/>
      <c r="G101" s="529"/>
      <c r="H101" s="529"/>
      <c r="I101" s="529"/>
      <c r="J101" s="529"/>
      <c r="K101" s="530"/>
      <c r="L101" s="531"/>
      <c r="M101" s="532"/>
      <c r="N101" s="1152"/>
      <c r="O101" s="1152"/>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79"/>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51"/>
      <c r="O103" s="1151"/>
      <c r="P103" s="2679"/>
      <c r="Q103" s="503"/>
    </row>
    <row r="104" spans="1:17" s="470" customFormat="1">
      <c r="A104" s="592"/>
      <c r="B104" s="593"/>
      <c r="C104" s="594"/>
      <c r="D104" s="594"/>
      <c r="E104" s="594"/>
      <c r="F104" s="594"/>
      <c r="G104" s="594"/>
      <c r="H104" s="594"/>
      <c r="I104" s="594"/>
      <c r="J104" s="595"/>
      <c r="K104" s="595"/>
      <c r="L104" s="596"/>
      <c r="M104" s="597"/>
      <c r="N104" s="1154"/>
      <c r="O104" s="1154"/>
      <c r="P104" s="2680"/>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0"/>
      <c r="Q105" s="558"/>
    </row>
    <row r="106" spans="1:17" ht="15" thickTop="1">
      <c r="A106" s="598"/>
      <c r="B106" s="537" t="s">
        <v>2613</v>
      </c>
      <c r="C106" s="553"/>
      <c r="D106" s="553"/>
      <c r="E106" s="582"/>
      <c r="F106" s="582"/>
      <c r="G106" s="582"/>
      <c r="H106" s="582"/>
      <c r="I106" s="582"/>
      <c r="J106" s="582"/>
      <c r="K106" s="583"/>
      <c r="L106" s="584"/>
      <c r="M106" s="585"/>
      <c r="N106" s="1152"/>
      <c r="O106" s="1152"/>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79"/>
      <c r="Q107" s="503"/>
    </row>
    <row r="108" spans="1:17" ht="15" thickTop="1">
      <c r="A108" s="598"/>
      <c r="B108" s="537" t="s">
        <v>2615</v>
      </c>
      <c r="C108" s="553"/>
      <c r="D108" s="553"/>
      <c r="E108" s="553"/>
      <c r="F108" s="582"/>
      <c r="G108" s="582"/>
      <c r="H108" s="582"/>
      <c r="I108" s="582"/>
      <c r="J108" s="582"/>
      <c r="K108" s="583"/>
      <c r="L108" s="584"/>
      <c r="M108" s="585"/>
      <c r="N108" s="1152"/>
      <c r="O108" s="1152"/>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79"/>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9"/>
      <c r="Q110" s="503"/>
    </row>
    <row r="111" spans="1:17">
      <c r="A111" s="598"/>
      <c r="B111" s="545"/>
      <c r="C111" s="602">
        <v>0.5</v>
      </c>
      <c r="D111" s="602">
        <v>0.6</v>
      </c>
      <c r="E111" s="602">
        <v>0.7</v>
      </c>
      <c r="F111" s="602">
        <v>0.8</v>
      </c>
      <c r="G111" s="602">
        <v>0.9</v>
      </c>
      <c r="H111" s="602">
        <v>1.0001</v>
      </c>
      <c r="I111" s="620"/>
      <c r="J111" s="620"/>
      <c r="K111" s="621"/>
      <c r="L111" s="622"/>
      <c r="M111" s="623"/>
      <c r="N111" s="1152"/>
      <c r="O111" s="1152"/>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79"/>
      <c r="Q112" s="503"/>
    </row>
    <row r="113" spans="1:17" s="470" customFormat="1" ht="15" thickTop="1">
      <c r="A113" s="592"/>
      <c r="B113" s="537" t="s">
        <v>2699</v>
      </c>
      <c r="C113" s="553"/>
      <c r="D113" s="553"/>
      <c r="E113" s="553"/>
      <c r="F113" s="553"/>
      <c r="G113" s="553"/>
      <c r="H113" s="582"/>
      <c r="I113" s="582"/>
      <c r="J113" s="582"/>
      <c r="K113" s="583"/>
      <c r="L113" s="584"/>
      <c r="M113" s="585"/>
      <c r="N113" s="1154"/>
      <c r="O113" s="1154"/>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0"/>
      <c r="Q114" s="558"/>
    </row>
    <row r="115" spans="1:17" ht="15" thickTop="1">
      <c r="A115" s="598"/>
      <c r="B115" s="537" t="s">
        <v>2616</v>
      </c>
      <c r="C115" s="553"/>
      <c r="D115" s="553"/>
      <c r="E115" s="582"/>
      <c r="F115" s="582"/>
      <c r="G115" s="582"/>
      <c r="H115" s="582"/>
      <c r="I115" s="582"/>
      <c r="J115" s="582"/>
      <c r="K115" s="583"/>
      <c r="L115" s="584"/>
      <c r="M115" s="585"/>
      <c r="N115" s="1152"/>
      <c r="O115" s="1152"/>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79"/>
      <c r="Q116" s="503"/>
    </row>
    <row r="117" spans="1:17" ht="15" thickTop="1">
      <c r="A117" s="598"/>
      <c r="B117" s="537" t="s">
        <v>2617</v>
      </c>
      <c r="C117" s="553"/>
      <c r="D117" s="553"/>
      <c r="E117" s="553"/>
      <c r="F117" s="553"/>
      <c r="G117" s="553"/>
      <c r="H117" s="582"/>
      <c r="I117" s="582"/>
      <c r="J117" s="582"/>
      <c r="K117" s="583"/>
      <c r="L117" s="584"/>
      <c r="M117" s="585"/>
      <c r="N117" s="1152"/>
      <c r="O117" s="1152"/>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79"/>
      <c r="Q118" s="503"/>
    </row>
    <row r="119" spans="1:17" ht="15" thickTop="1">
      <c r="A119" s="598"/>
      <c r="B119" s="633" t="s">
        <v>2700</v>
      </c>
      <c r="C119" s="582"/>
      <c r="D119" s="582"/>
      <c r="E119" s="582"/>
      <c r="F119" s="582"/>
      <c r="G119" s="582"/>
      <c r="H119" s="582"/>
      <c r="I119" s="582"/>
      <c r="J119" s="582"/>
      <c r="K119" s="582"/>
      <c r="L119" s="2684"/>
      <c r="M119" s="2685"/>
      <c r="N119" s="1153"/>
      <c r="O119" s="1153"/>
      <c r="P119" s="2686"/>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79"/>
      <c r="Q120" s="503"/>
    </row>
    <row r="121" spans="1:17" s="470" customFormat="1" ht="15" thickTop="1">
      <c r="A121" s="592"/>
      <c r="B121" s="537" t="s">
        <v>2683</v>
      </c>
      <c r="C121" s="553"/>
      <c r="D121" s="553"/>
      <c r="E121" s="553"/>
      <c r="F121" s="582"/>
      <c r="G121" s="554"/>
      <c r="H121" s="554"/>
      <c r="I121" s="554"/>
      <c r="J121" s="554"/>
      <c r="K121" s="554"/>
      <c r="L121" s="555"/>
      <c r="M121" s="556"/>
      <c r="N121" s="1154"/>
      <c r="O121" s="1154"/>
      <c r="P121" s="2680"/>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0"/>
      <c r="Q122" s="558"/>
    </row>
    <row r="123" spans="1:17" ht="15" thickTop="1">
      <c r="A123" s="598"/>
      <c r="B123" s="537" t="s">
        <v>2619</v>
      </c>
      <c r="C123" s="553"/>
      <c r="D123" s="553"/>
      <c r="E123" s="553"/>
      <c r="F123" s="582"/>
      <c r="G123" s="582"/>
      <c r="H123" s="582"/>
      <c r="I123" s="582"/>
      <c r="J123" s="582"/>
      <c r="K123" s="583"/>
      <c r="L123" s="584"/>
      <c r="M123" s="585"/>
      <c r="N123" s="1152"/>
      <c r="O123" s="1152"/>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79"/>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2"/>
      <c r="O125" s="1152"/>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79"/>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0"/>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0"/>
      <c r="Q128" s="558"/>
    </row>
    <row r="129" spans="1:17" ht="15" thickTop="1">
      <c r="A129" s="598"/>
      <c r="B129" s="537">
        <f>B46</f>
        <v>111</v>
      </c>
      <c r="C129" s="553"/>
      <c r="D129" s="553"/>
      <c r="E129" s="553"/>
      <c r="F129" s="553"/>
      <c r="G129" s="582"/>
      <c r="H129" s="582"/>
      <c r="I129" s="582"/>
      <c r="J129" s="582"/>
      <c r="K129" s="583"/>
      <c r="L129" s="584"/>
      <c r="M129" s="585"/>
      <c r="N129" s="1152"/>
      <c r="O129" s="1152"/>
      <c r="P129" s="2679"/>
      <c r="Q129" s="503"/>
    </row>
    <row r="130" spans="1:17" ht="15.75" thickBot="1">
      <c r="A130" s="533"/>
      <c r="B130" s="542"/>
      <c r="C130" s="559"/>
      <c r="D130" s="559"/>
      <c r="E130" s="559"/>
      <c r="F130" s="559"/>
      <c r="G130" s="535"/>
      <c r="H130" s="535"/>
      <c r="I130" s="535"/>
      <c r="J130" s="535"/>
      <c r="K130" s="535"/>
      <c r="L130" s="535"/>
      <c r="M130" s="536"/>
      <c r="N130" s="1153"/>
      <c r="O130" s="1153"/>
      <c r="P130" s="2679"/>
      <c r="Q130" s="503"/>
    </row>
    <row r="131" spans="1:17" ht="15" thickTop="1">
      <c r="A131" s="598"/>
      <c r="B131" s="545">
        <f>B47</f>
        <v>111</v>
      </c>
      <c r="C131" s="522"/>
      <c r="D131" s="522"/>
      <c r="E131" s="522"/>
      <c r="F131" s="522"/>
      <c r="G131" s="586"/>
      <c r="H131" s="586"/>
      <c r="I131" s="586"/>
      <c r="J131" s="586"/>
      <c r="K131" s="522"/>
      <c r="L131" s="523"/>
      <c r="M131" s="589"/>
      <c r="N131" s="1152"/>
      <c r="O131" s="1152"/>
      <c r="P131" s="2679"/>
      <c r="Q131" s="503"/>
    </row>
    <row r="132" spans="1:17" ht="15.75" thickBot="1">
      <c r="A132" s="2631"/>
      <c r="B132" s="568"/>
      <c r="C132" s="569"/>
      <c r="D132" s="569"/>
      <c r="E132" s="569"/>
      <c r="F132" s="569"/>
      <c r="G132" s="590"/>
      <c r="H132" s="590"/>
      <c r="I132" s="590"/>
      <c r="J132" s="590"/>
      <c r="K132" s="590"/>
      <c r="L132" s="590"/>
      <c r="M132" s="591"/>
      <c r="N132" s="1153"/>
      <c r="O132" s="1153"/>
      <c r="P132" s="267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9"/>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81"/>
      <c r="D2" s="1124" t="e">
        <f ca="1">SUMIF(INDIRECT("'"&amp;F2&amp;"'"&amp;"!A:A"),"承租人权益价值",INDIRECT("'"&amp;F2&amp;"'"&amp;"!c:c"))</f>
        <v>#REF!</v>
      </c>
      <c r="E2" s="2582" t="s">
        <v>2327</v>
      </c>
      <c r="F2" s="2583"/>
      <c r="G2" s="1125"/>
      <c r="H2" s="1125"/>
      <c r="I2" s="1125"/>
      <c r="J2" s="1125"/>
      <c r="K2" s="1127"/>
      <c r="L2" s="1128"/>
      <c r="M2" s="1129"/>
      <c r="N2" s="1129"/>
      <c r="O2" s="1129"/>
      <c r="P2" s="1415"/>
      <c r="Q2" s="765"/>
      <c r="R2" s="765"/>
      <c r="S2" s="765"/>
      <c r="T2" s="765"/>
      <c r="U2" s="765"/>
      <c r="V2" s="765"/>
      <c r="W2" s="765"/>
      <c r="X2" s="765"/>
      <c r="Y2" s="765"/>
      <c r="Z2" s="765"/>
      <c r="AA2" s="765"/>
      <c r="AB2" s="765"/>
      <c r="AC2" s="766"/>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5"/>
      <c r="H3" s="1125"/>
      <c r="I3" s="1125"/>
      <c r="J3" s="1125"/>
      <c r="K3" s="1127"/>
      <c r="L3" s="1128"/>
      <c r="M3" s="1129"/>
      <c r="N3" s="1129"/>
      <c r="O3" s="1129"/>
      <c r="P3" s="141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29"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2545</v>
      </c>
      <c r="D6" s="3227"/>
      <c r="E6" s="3228" t="s">
        <v>2545</v>
      </c>
      <c r="F6" s="3229"/>
      <c r="G6" s="3226" t="s">
        <v>2545</v>
      </c>
      <c r="H6" s="3227"/>
      <c r="I6" s="3226" t="s">
        <v>2545</v>
      </c>
      <c r="J6" s="3227"/>
      <c r="K6" s="609"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16" t="s">
        <v>2548</v>
      </c>
      <c r="Q7" s="3244"/>
      <c r="R7" s="767" t="s">
        <v>17</v>
      </c>
      <c r="S7" s="768">
        <f t="shared" ref="S7:S14" si="0">F7</f>
        <v>0</v>
      </c>
      <c r="T7" s="767" t="s">
        <v>17</v>
      </c>
      <c r="U7" s="768">
        <f t="shared" ref="U7:U14" si="1">H7</f>
        <v>0</v>
      </c>
      <c r="V7" s="767" t="s">
        <v>17</v>
      </c>
      <c r="W7" s="768">
        <f t="shared" ref="W7:W14" si="2">J7</f>
        <v>0</v>
      </c>
      <c r="X7" s="769"/>
      <c r="Y7" s="3216" t="s">
        <v>2548</v>
      </c>
      <c r="Z7" s="3217"/>
      <c r="AA7" s="770" t="e">
        <f>D7/F7</f>
        <v>#DIV/0!</v>
      </c>
      <c r="AB7" s="770" t="e">
        <f>D7/H7</f>
        <v>#DIV/0!</v>
      </c>
      <c r="AC7" s="770"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36" si="3">D8/F8</f>
        <v>#DIV/0!</v>
      </c>
      <c r="AB8" s="770" t="e">
        <f t="shared" ref="AB8:AB36" si="4">D8/H8</f>
        <v>#DIV/0!</v>
      </c>
      <c r="AC8" s="770" t="e">
        <f t="shared" ref="AC8:AC36" si="5">D8/J8</f>
        <v>#DIV/0!</v>
      </c>
    </row>
    <row r="9" spans="1:29" s="117" customFormat="1">
      <c r="A9" s="68" t="s">
        <v>2552</v>
      </c>
      <c r="B9" s="637" t="s">
        <v>2553</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48" t="s">
        <v>2554</v>
      </c>
      <c r="Q9" s="1790" t="str">
        <f t="shared" ref="Q9:Q14" si="6">B9</f>
        <v>用途</v>
      </c>
      <c r="R9" s="767" t="s">
        <v>17</v>
      </c>
      <c r="S9" s="768">
        <f t="shared" si="0"/>
        <v>100</v>
      </c>
      <c r="T9" s="767" t="s">
        <v>17</v>
      </c>
      <c r="U9" s="768">
        <f t="shared" si="1"/>
        <v>100</v>
      </c>
      <c r="V9" s="767" t="s">
        <v>17</v>
      </c>
      <c r="W9" s="768">
        <f t="shared" si="2"/>
        <v>100</v>
      </c>
      <c r="X9" s="769"/>
      <c r="Y9" s="3085" t="s">
        <v>2555</v>
      </c>
      <c r="Z9" s="55" t="str">
        <f t="shared" ref="Z9:Z14" si="7">Q9</f>
        <v>用途</v>
      </c>
      <c r="AA9" s="770">
        <f t="shared" si="3"/>
        <v>1</v>
      </c>
      <c r="AB9" s="770">
        <f t="shared" si="4"/>
        <v>1</v>
      </c>
      <c r="AC9" s="770">
        <f t="shared" si="5"/>
        <v>1</v>
      </c>
    </row>
    <row r="10" spans="1:29" s="426" customFormat="1" ht="27">
      <c r="A10" s="638"/>
      <c r="B10" s="639" t="s">
        <v>2556</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48"/>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640"/>
      <c r="B11" s="641">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48"/>
      <c r="Q11" s="1790">
        <f t="shared" si="6"/>
        <v>111</v>
      </c>
      <c r="R11" s="767" t="s">
        <v>17</v>
      </c>
      <c r="S11" s="768">
        <f t="shared" si="0"/>
        <v>100</v>
      </c>
      <c r="T11" s="767" t="s">
        <v>17</v>
      </c>
      <c r="U11" s="768">
        <f t="shared" si="1"/>
        <v>100</v>
      </c>
      <c r="V11" s="767" t="s">
        <v>17</v>
      </c>
      <c r="W11" s="768">
        <f t="shared" si="2"/>
        <v>100</v>
      </c>
      <c r="X11" s="769"/>
      <c r="Y11" s="3085"/>
      <c r="Z11" s="55">
        <f t="shared" si="7"/>
        <v>111</v>
      </c>
      <c r="AA11" s="770">
        <f t="shared" si="3"/>
        <v>1</v>
      </c>
      <c r="AB11" s="770">
        <f t="shared" si="4"/>
        <v>1</v>
      </c>
      <c r="AC11" s="770">
        <f t="shared" si="5"/>
        <v>1</v>
      </c>
    </row>
    <row r="12" spans="1:29" s="117" customFormat="1" ht="15">
      <c r="A12" s="642"/>
      <c r="B12" s="641">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75" thickBot="1">
      <c r="A13" s="643"/>
      <c r="B13" s="641">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85.5">
      <c r="A14" s="400" t="s">
        <v>2558</v>
      </c>
      <c r="B14" s="626" t="s">
        <v>2708</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50" t="s">
        <v>2559</v>
      </c>
      <c r="Q14" s="1805" t="str">
        <f t="shared" si="6"/>
        <v>交通便捷度</v>
      </c>
      <c r="R14" s="771" t="s">
        <v>17</v>
      </c>
      <c r="S14" s="772">
        <f t="shared" si="0"/>
        <v>100</v>
      </c>
      <c r="T14" s="771" t="s">
        <v>17</v>
      </c>
      <c r="U14" s="772">
        <f t="shared" si="1"/>
        <v>100</v>
      </c>
      <c r="V14" s="771" t="s">
        <v>17</v>
      </c>
      <c r="W14" s="772">
        <f t="shared" si="2"/>
        <v>100</v>
      </c>
      <c r="X14" s="1808"/>
      <c r="Y14" s="3250" t="s">
        <v>2559</v>
      </c>
      <c r="Z14" s="1809" t="str">
        <f t="shared" si="7"/>
        <v>交通便捷度</v>
      </c>
      <c r="AA14" s="1806">
        <f t="shared" si="3"/>
        <v>1</v>
      </c>
      <c r="AB14" s="1806">
        <f t="shared" si="4"/>
        <v>1</v>
      </c>
      <c r="AC14" s="1806">
        <f t="shared" si="5"/>
        <v>1</v>
      </c>
    </row>
    <row r="15" spans="1:29" ht="15">
      <c r="A15" s="403"/>
      <c r="B15" s="644"/>
      <c r="C15" s="446"/>
      <c r="D15" s="447"/>
      <c r="E15" s="446"/>
      <c r="F15" s="448"/>
      <c r="G15" s="446"/>
      <c r="H15" s="449"/>
      <c r="I15" s="446"/>
      <c r="J15" s="447"/>
      <c r="K15" s="614"/>
      <c r="L15" s="1140"/>
      <c r="M15" s="1131"/>
      <c r="N15" s="1131"/>
      <c r="O15" s="1131"/>
      <c r="P15" s="3251"/>
      <c r="Q15" s="1805"/>
      <c r="R15" s="771"/>
      <c r="S15" s="772"/>
      <c r="T15" s="771"/>
      <c r="U15" s="772"/>
      <c r="V15" s="771"/>
      <c r="W15" s="772"/>
      <c r="X15" s="1808"/>
      <c r="Y15" s="3251"/>
      <c r="Z15" s="1809"/>
      <c r="AA15" s="1806">
        <v>1</v>
      </c>
      <c r="AB15" s="1806">
        <v>1</v>
      </c>
      <c r="AC15" s="1806">
        <v>1</v>
      </c>
    </row>
    <row r="16" spans="1:29" ht="42.75">
      <c r="A16" s="403"/>
      <c r="B16" s="628" t="s">
        <v>2687</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51"/>
      <c r="Q16" s="1805" t="str">
        <f>B16</f>
        <v>公共配套设施</v>
      </c>
      <c r="R16" s="771" t="s">
        <v>17</v>
      </c>
      <c r="S16" s="772">
        <f>F16</f>
        <v>100</v>
      </c>
      <c r="T16" s="771" t="s">
        <v>17</v>
      </c>
      <c r="U16" s="772">
        <f>H16</f>
        <v>100</v>
      </c>
      <c r="V16" s="771" t="s">
        <v>17</v>
      </c>
      <c r="W16" s="772">
        <f>J16</f>
        <v>100</v>
      </c>
      <c r="X16" s="1808"/>
      <c r="Y16" s="3251"/>
      <c r="Z16" s="1809" t="str">
        <f>Q16</f>
        <v>公共配套设施</v>
      </c>
      <c r="AA16" s="1806">
        <f t="shared" si="3"/>
        <v>1</v>
      </c>
      <c r="AB16" s="1806">
        <f t="shared" si="4"/>
        <v>1</v>
      </c>
      <c r="AC16" s="1806">
        <f t="shared" si="5"/>
        <v>1</v>
      </c>
    </row>
    <row r="17" spans="1:29" ht="15">
      <c r="A17" s="403"/>
      <c r="B17" s="629"/>
      <c r="C17" s="2603"/>
      <c r="D17" s="447"/>
      <c r="E17" s="446"/>
      <c r="F17" s="448"/>
      <c r="G17" s="446"/>
      <c r="H17" s="447"/>
      <c r="I17" s="446"/>
      <c r="J17" s="447"/>
      <c r="K17" s="614"/>
      <c r="L17" s="1140"/>
      <c r="M17" s="1131"/>
      <c r="N17" s="1131"/>
      <c r="O17" s="1131"/>
      <c r="P17" s="3251"/>
      <c r="Q17" s="1805"/>
      <c r="R17" s="771"/>
      <c r="S17" s="772"/>
      <c r="T17" s="771"/>
      <c r="U17" s="772"/>
      <c r="V17" s="771"/>
      <c r="W17" s="772"/>
      <c r="X17" s="1808"/>
      <c r="Y17" s="3251"/>
      <c r="Z17" s="1809"/>
      <c r="AA17" s="1806">
        <v>1</v>
      </c>
      <c r="AB17" s="1806">
        <v>1</v>
      </c>
      <c r="AC17" s="1806">
        <v>1</v>
      </c>
    </row>
    <row r="18" spans="1:29" ht="28.5">
      <c r="A18" s="403"/>
      <c r="B18" s="630" t="s">
        <v>2688</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51"/>
      <c r="Q18" s="1805" t="str">
        <f>B18</f>
        <v>基础设施水平</v>
      </c>
      <c r="R18" s="771" t="s">
        <v>17</v>
      </c>
      <c r="S18" s="772">
        <f>F18</f>
        <v>100</v>
      </c>
      <c r="T18" s="771" t="s">
        <v>17</v>
      </c>
      <c r="U18" s="772">
        <f>H18</f>
        <v>100</v>
      </c>
      <c r="V18" s="771" t="s">
        <v>17</v>
      </c>
      <c r="W18" s="772">
        <f>J18</f>
        <v>100</v>
      </c>
      <c r="X18" s="1808"/>
      <c r="Y18" s="3251"/>
      <c r="Z18" s="1809" t="str">
        <f>Q18</f>
        <v>基础设施水平</v>
      </c>
      <c r="AA18" s="1806">
        <f t="shared" ref="AA18" si="8">D18/F18</f>
        <v>1</v>
      </c>
      <c r="AB18" s="1806">
        <f t="shared" ref="AB18" si="9">D18/H18</f>
        <v>1</v>
      </c>
      <c r="AC18" s="1806">
        <f t="shared" ref="AC18" si="10">D18/J18</f>
        <v>1</v>
      </c>
    </row>
    <row r="19" spans="1:29" ht="15">
      <c r="A19" s="403"/>
      <c r="B19" s="630"/>
      <c r="C19" s="2603"/>
      <c r="D19" s="449"/>
      <c r="E19" s="2603"/>
      <c r="F19" s="452"/>
      <c r="G19" s="2603"/>
      <c r="H19" s="447"/>
      <c r="I19" s="446"/>
      <c r="J19" s="447"/>
      <c r="K19" s="1379"/>
      <c r="L19" s="1140"/>
      <c r="M19" s="1131"/>
      <c r="N19" s="1131"/>
      <c r="O19" s="1131"/>
      <c r="P19" s="3251"/>
      <c r="Q19" s="1805"/>
      <c r="R19" s="771"/>
      <c r="S19" s="772"/>
      <c r="T19" s="771"/>
      <c r="U19" s="772"/>
      <c r="V19" s="771"/>
      <c r="W19" s="772"/>
      <c r="X19" s="1808"/>
      <c r="Y19" s="3251"/>
      <c r="Z19" s="1809"/>
      <c r="AA19" s="1806">
        <v>1</v>
      </c>
      <c r="AB19" s="1806">
        <v>1</v>
      </c>
      <c r="AC19" s="1806">
        <v>1</v>
      </c>
    </row>
    <row r="20" spans="1:29" ht="57">
      <c r="A20" s="403"/>
      <c r="B20" s="628" t="s">
        <v>2709</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51"/>
      <c r="Q20" s="1805" t="str">
        <f>B20</f>
        <v>自然及人文环境</v>
      </c>
      <c r="R20" s="771" t="s">
        <v>17</v>
      </c>
      <c r="S20" s="772">
        <f>F20</f>
        <v>100</v>
      </c>
      <c r="T20" s="771" t="s">
        <v>17</v>
      </c>
      <c r="U20" s="772">
        <f>H20</f>
        <v>100</v>
      </c>
      <c r="V20" s="771" t="s">
        <v>17</v>
      </c>
      <c r="W20" s="772">
        <f>J20</f>
        <v>100</v>
      </c>
      <c r="X20" s="1808"/>
      <c r="Y20" s="3251"/>
      <c r="Z20" s="1809" t="str">
        <f>Q20</f>
        <v>自然及人文环境</v>
      </c>
      <c r="AA20" s="1806">
        <f t="shared" si="3"/>
        <v>1</v>
      </c>
      <c r="AB20" s="1806">
        <f t="shared" si="4"/>
        <v>1</v>
      </c>
      <c r="AC20" s="1806">
        <f t="shared" si="5"/>
        <v>1</v>
      </c>
    </row>
    <row r="21" spans="1:29" ht="15">
      <c r="A21" s="403"/>
      <c r="B21" s="629"/>
      <c r="C21" s="446"/>
      <c r="D21" s="447"/>
      <c r="E21" s="446"/>
      <c r="F21" s="448"/>
      <c r="G21" s="446"/>
      <c r="H21" s="447"/>
      <c r="I21" s="446"/>
      <c r="J21" s="447"/>
      <c r="K21" s="614"/>
      <c r="L21" s="1140"/>
      <c r="M21" s="1131"/>
      <c r="N21" s="1131"/>
      <c r="O21" s="1131"/>
      <c r="P21" s="3251"/>
      <c r="Q21" s="1805"/>
      <c r="R21" s="771"/>
      <c r="S21" s="772"/>
      <c r="T21" s="771"/>
      <c r="U21" s="772"/>
      <c r="V21" s="771"/>
      <c r="W21" s="772"/>
      <c r="X21" s="1808"/>
      <c r="Y21" s="3251"/>
      <c r="Z21" s="1809"/>
      <c r="AA21" s="1806">
        <v>1</v>
      </c>
      <c r="AB21" s="1806">
        <v>1</v>
      </c>
      <c r="AC21" s="1806">
        <v>1</v>
      </c>
    </row>
    <row r="22" spans="1:29" ht="15">
      <c r="A22" s="403"/>
      <c r="B22" s="628" t="s">
        <v>2710</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51"/>
      <c r="Q22" s="1805" t="str">
        <f>B22</f>
        <v>楼层</v>
      </c>
      <c r="R22" s="771" t="s">
        <v>17</v>
      </c>
      <c r="S22" s="772">
        <f>F22</f>
        <v>100</v>
      </c>
      <c r="T22" s="771" t="s">
        <v>17</v>
      </c>
      <c r="U22" s="772">
        <f>H22</f>
        <v>100</v>
      </c>
      <c r="V22" s="771" t="s">
        <v>17</v>
      </c>
      <c r="W22" s="772">
        <f>J22</f>
        <v>100</v>
      </c>
      <c r="X22" s="1808"/>
      <c r="Y22" s="3251"/>
      <c r="Z22" s="1809" t="str">
        <f>Q22</f>
        <v>楼层</v>
      </c>
      <c r="AA22" s="1806">
        <f t="shared" si="3"/>
        <v>1</v>
      </c>
      <c r="AB22" s="1806">
        <f t="shared" si="4"/>
        <v>1</v>
      </c>
      <c r="AC22" s="1806">
        <f t="shared" si="5"/>
        <v>1</v>
      </c>
    </row>
    <row r="23" spans="1:29" ht="15">
      <c r="A23" s="403"/>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51"/>
      <c r="Q23" s="1805">
        <f>B23</f>
        <v>111</v>
      </c>
      <c r="R23" s="771" t="s">
        <v>17</v>
      </c>
      <c r="S23" s="772">
        <f>F23</f>
        <v>100</v>
      </c>
      <c r="T23" s="771" t="s">
        <v>17</v>
      </c>
      <c r="U23" s="772">
        <f>H23</f>
        <v>100</v>
      </c>
      <c r="V23" s="771" t="s">
        <v>17</v>
      </c>
      <c r="W23" s="772">
        <f>J23</f>
        <v>100</v>
      </c>
      <c r="X23" s="1808"/>
      <c r="Y23" s="3251"/>
      <c r="Z23" s="1809">
        <f>Q23</f>
        <v>111</v>
      </c>
      <c r="AA23" s="1806">
        <f t="shared" si="3"/>
        <v>1</v>
      </c>
      <c r="AB23" s="1806">
        <f t="shared" si="4"/>
        <v>1</v>
      </c>
      <c r="AC23" s="1806">
        <f t="shared" si="5"/>
        <v>1</v>
      </c>
    </row>
    <row r="24" spans="1:29" ht="15">
      <c r="A24" s="403"/>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51"/>
      <c r="Q24" s="1805">
        <f t="shared" ref="Q24:Q36" si="11">B24</f>
        <v>111</v>
      </c>
      <c r="R24" s="771" t="s">
        <v>17</v>
      </c>
      <c r="S24" s="772">
        <f>F24</f>
        <v>100</v>
      </c>
      <c r="T24" s="771" t="s">
        <v>17</v>
      </c>
      <c r="U24" s="772">
        <f>H24</f>
        <v>100</v>
      </c>
      <c r="V24" s="771" t="s">
        <v>17</v>
      </c>
      <c r="W24" s="772">
        <f>J24</f>
        <v>100</v>
      </c>
      <c r="X24" s="1808"/>
      <c r="Y24" s="3251"/>
      <c r="Z24" s="1809">
        <f>Q24</f>
        <v>111</v>
      </c>
      <c r="AA24" s="1806">
        <f t="shared" si="3"/>
        <v>1</v>
      </c>
      <c r="AB24" s="1806">
        <f t="shared" si="4"/>
        <v>1</v>
      </c>
      <c r="AC24" s="1806">
        <f t="shared" si="5"/>
        <v>1</v>
      </c>
    </row>
    <row r="25" spans="1:29" s="117"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2"/>
      <c r="M25" s="1133"/>
      <c r="N25" s="1133"/>
      <c r="O25" s="1133"/>
      <c r="P25" s="3251"/>
      <c r="Q25" s="1790">
        <f t="shared" si="11"/>
        <v>111</v>
      </c>
      <c r="R25" s="767" t="s">
        <v>17</v>
      </c>
      <c r="S25" s="768">
        <f>F25</f>
        <v>100</v>
      </c>
      <c r="T25" s="767" t="s">
        <v>17</v>
      </c>
      <c r="U25" s="768">
        <f>H25</f>
        <v>100</v>
      </c>
      <c r="V25" s="767" t="s">
        <v>17</v>
      </c>
      <c r="W25" s="768">
        <f>J25</f>
        <v>100</v>
      </c>
      <c r="X25" s="769"/>
      <c r="Y25" s="3251"/>
      <c r="Z25" s="55">
        <f>Q25</f>
        <v>111</v>
      </c>
      <c r="AA25" s="1806">
        <f>D25/F25</f>
        <v>1</v>
      </c>
      <c r="AB25" s="1806">
        <f>D25/H25</f>
        <v>1</v>
      </c>
      <c r="AC25" s="1806">
        <f>D25/J25</f>
        <v>1</v>
      </c>
    </row>
    <row r="26" spans="1:29" ht="15">
      <c r="A26" s="649" t="s">
        <v>2562</v>
      </c>
      <c r="B26" s="70" t="s">
        <v>2711</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78" t="s">
        <v>2564</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55" t="s">
        <v>2564</v>
      </c>
      <c r="Z26" s="1809" t="str">
        <f t="shared" ref="Z26:Z36" si="15">Q26</f>
        <v>配套类型</v>
      </c>
      <c r="AA26" s="1806">
        <f t="shared" si="3"/>
        <v>1</v>
      </c>
      <c r="AB26" s="1806">
        <f t="shared" si="4"/>
        <v>1</v>
      </c>
      <c r="AC26" s="1806">
        <f t="shared" si="5"/>
        <v>1</v>
      </c>
    </row>
    <row r="27" spans="1:29" s="470" customFormat="1" ht="15">
      <c r="A27" s="650"/>
      <c r="B27" s="651" t="s">
        <v>2712</v>
      </c>
      <c r="C27" s="652"/>
      <c r="D27" s="135">
        <v>100</v>
      </c>
      <c r="E27" s="652"/>
      <c r="F27" s="460">
        <f>SUMIF(81:81,E27,82:82)-SUMIF(81:81,C27,82:82)+100</f>
        <v>100</v>
      </c>
      <c r="G27" s="652"/>
      <c r="H27" s="434">
        <f>SUMIF(81:81,G27,82:82)-SUMIF(81:81,C27,82:82)+100</f>
        <v>100</v>
      </c>
      <c r="I27" s="652"/>
      <c r="J27" s="434">
        <f>SUMIF(81:81,I27,82:82)-SUMIF(81:81,C27,82:82)+100</f>
        <v>100</v>
      </c>
      <c r="K27" s="612"/>
      <c r="L27" s="1138"/>
      <c r="M27" s="1141"/>
      <c r="N27" s="1141"/>
      <c r="O27" s="1141"/>
      <c r="P27" s="3255"/>
      <c r="Q27" s="773" t="str">
        <f t="shared" si="11"/>
        <v>项目停车位配比</v>
      </c>
      <c r="R27" s="774" t="s">
        <v>17</v>
      </c>
      <c r="S27" s="775">
        <f t="shared" si="12"/>
        <v>100</v>
      </c>
      <c r="T27" s="774" t="s">
        <v>17</v>
      </c>
      <c r="U27" s="775">
        <f t="shared" si="13"/>
        <v>100</v>
      </c>
      <c r="V27" s="774" t="s">
        <v>17</v>
      </c>
      <c r="W27" s="775">
        <f t="shared" si="14"/>
        <v>100</v>
      </c>
      <c r="X27" s="776"/>
      <c r="Y27" s="3255"/>
      <c r="Z27" s="777" t="str">
        <f t="shared" si="15"/>
        <v>项目停车位配比</v>
      </c>
      <c r="AA27" s="1806">
        <f t="shared" si="3"/>
        <v>1</v>
      </c>
      <c r="AB27" s="1806">
        <f t="shared" si="4"/>
        <v>1</v>
      </c>
      <c r="AC27" s="1806">
        <f t="shared" si="5"/>
        <v>1</v>
      </c>
    </row>
    <row r="28" spans="1:29" ht="15">
      <c r="A28" s="653"/>
      <c r="B28" s="651" t="s">
        <v>2713</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55"/>
      <c r="Q28" s="1805" t="str">
        <f t="shared" si="11"/>
        <v>公共部分装修</v>
      </c>
      <c r="R28" s="771" t="s">
        <v>17</v>
      </c>
      <c r="S28" s="772">
        <f t="shared" si="12"/>
        <v>100</v>
      </c>
      <c r="T28" s="771" t="s">
        <v>17</v>
      </c>
      <c r="U28" s="772">
        <f t="shared" si="13"/>
        <v>100</v>
      </c>
      <c r="V28" s="771" t="s">
        <v>17</v>
      </c>
      <c r="W28" s="772">
        <f t="shared" si="14"/>
        <v>100</v>
      </c>
      <c r="X28" s="1808"/>
      <c r="Y28" s="3255"/>
      <c r="Z28" s="1809" t="str">
        <f t="shared" si="15"/>
        <v>公共部分装修</v>
      </c>
      <c r="AA28" s="1806">
        <f t="shared" si="3"/>
        <v>1</v>
      </c>
      <c r="AB28" s="1806">
        <f t="shared" si="4"/>
        <v>1</v>
      </c>
      <c r="AC28" s="1806">
        <f t="shared" si="5"/>
        <v>1</v>
      </c>
    </row>
    <row r="29" spans="1:29" ht="15">
      <c r="A29" s="653"/>
      <c r="B29" s="651"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55"/>
      <c r="Q29" s="1805" t="str">
        <f t="shared" si="11"/>
        <v>成新率</v>
      </c>
      <c r="R29" s="771" t="s">
        <v>17</v>
      </c>
      <c r="S29" s="772" t="e">
        <f t="shared" si="12"/>
        <v>#N/A</v>
      </c>
      <c r="T29" s="771" t="s">
        <v>17</v>
      </c>
      <c r="U29" s="772" t="e">
        <f t="shared" si="13"/>
        <v>#N/A</v>
      </c>
      <c r="V29" s="771" t="s">
        <v>17</v>
      </c>
      <c r="W29" s="772" t="e">
        <f t="shared" si="14"/>
        <v>#N/A</v>
      </c>
      <c r="X29" s="1808"/>
      <c r="Y29" s="3255"/>
      <c r="Z29" s="1809" t="str">
        <f t="shared" si="15"/>
        <v>成新率</v>
      </c>
      <c r="AA29" s="1806" t="e">
        <f t="shared" si="3"/>
        <v>#N/A</v>
      </c>
      <c r="AB29" s="1806" t="e">
        <f t="shared" si="4"/>
        <v>#N/A</v>
      </c>
      <c r="AC29" s="1806" t="e">
        <f t="shared" si="5"/>
        <v>#N/A</v>
      </c>
    </row>
    <row r="30" spans="1:29" ht="15">
      <c r="A30" s="653"/>
      <c r="B30" s="651" t="s">
        <v>2715</v>
      </c>
      <c r="C30" s="654"/>
      <c r="D30" s="434">
        <v>100</v>
      </c>
      <c r="E30" s="654"/>
      <c r="F30" s="460">
        <f>SUMIF(88:88,E30,89:89)-SUMIF(88:88,C30,89:89)+100</f>
        <v>100</v>
      </c>
      <c r="G30" s="654"/>
      <c r="H30" s="434">
        <f>SUMIF(88:88,E30,89:89)-SUMIF(88:88,C30,89:89)+100</f>
        <v>100</v>
      </c>
      <c r="I30" s="654"/>
      <c r="J30" s="434">
        <f>SUMIF(88:88,E30,89:89)-SUMIF(88:88,C30,89:89)+100</f>
        <v>100</v>
      </c>
      <c r="K30" s="611"/>
      <c r="L30" s="1140"/>
      <c r="M30" s="1131"/>
      <c r="N30" s="1131"/>
      <c r="O30" s="1131"/>
      <c r="P30" s="3255"/>
      <c r="Q30" s="1805" t="str">
        <f t="shared" si="11"/>
        <v>物业等级</v>
      </c>
      <c r="R30" s="771" t="s">
        <v>17</v>
      </c>
      <c r="S30" s="772">
        <f t="shared" si="12"/>
        <v>100</v>
      </c>
      <c r="T30" s="771" t="s">
        <v>17</v>
      </c>
      <c r="U30" s="772">
        <f t="shared" si="13"/>
        <v>100</v>
      </c>
      <c r="V30" s="771" t="s">
        <v>17</v>
      </c>
      <c r="W30" s="772">
        <f t="shared" si="14"/>
        <v>100</v>
      </c>
      <c r="X30" s="1808"/>
      <c r="Y30" s="3255"/>
      <c r="Z30" s="1809" t="str">
        <f t="shared" si="15"/>
        <v>物业等级</v>
      </c>
      <c r="AA30" s="1806">
        <f t="shared" si="3"/>
        <v>1</v>
      </c>
      <c r="AB30" s="1806">
        <f t="shared" si="4"/>
        <v>1</v>
      </c>
      <c r="AC30" s="1806">
        <f t="shared" si="5"/>
        <v>1</v>
      </c>
    </row>
    <row r="31" spans="1:29" s="117" customFormat="1" ht="15">
      <c r="A31" s="655"/>
      <c r="B31" s="651"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55"/>
      <c r="Q31" s="1790" t="str">
        <f t="shared" si="11"/>
        <v>停车位面积</v>
      </c>
      <c r="R31" s="767" t="s">
        <v>17</v>
      </c>
      <c r="S31" s="768" t="e">
        <f t="shared" si="12"/>
        <v>#N/A</v>
      </c>
      <c r="T31" s="767" t="s">
        <v>17</v>
      </c>
      <c r="U31" s="768" t="e">
        <f t="shared" si="13"/>
        <v>#N/A</v>
      </c>
      <c r="V31" s="767" t="s">
        <v>17</v>
      </c>
      <c r="W31" s="768" t="e">
        <f t="shared" si="14"/>
        <v>#N/A</v>
      </c>
      <c r="X31" s="769"/>
      <c r="Y31" s="3255"/>
      <c r="Z31" s="55" t="str">
        <f t="shared" si="15"/>
        <v>停车位面积</v>
      </c>
      <c r="AA31" s="770" t="e">
        <f t="shared" si="3"/>
        <v>#N/A</v>
      </c>
      <c r="AB31" s="770" t="e">
        <f t="shared" si="4"/>
        <v>#N/A</v>
      </c>
      <c r="AC31" s="770" t="e">
        <f t="shared" si="5"/>
        <v>#N/A</v>
      </c>
    </row>
    <row r="32" spans="1:29" ht="15">
      <c r="A32" s="653"/>
      <c r="B32" s="651" t="s">
        <v>2717</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55" t="s">
        <v>2564</v>
      </c>
      <c r="Q32" s="1805" t="str">
        <f t="shared" si="11"/>
        <v>车位类型</v>
      </c>
      <c r="R32" s="771" t="s">
        <v>17</v>
      </c>
      <c r="S32" s="772">
        <f t="shared" si="12"/>
        <v>100</v>
      </c>
      <c r="T32" s="771" t="s">
        <v>17</v>
      </c>
      <c r="U32" s="772">
        <f t="shared" si="13"/>
        <v>100</v>
      </c>
      <c r="V32" s="771" t="s">
        <v>17</v>
      </c>
      <c r="W32" s="772">
        <f t="shared" si="14"/>
        <v>100</v>
      </c>
      <c r="X32" s="1808"/>
      <c r="Y32" s="3255" t="s">
        <v>2564</v>
      </c>
      <c r="Z32" s="1809" t="str">
        <f t="shared" si="15"/>
        <v>车位类型</v>
      </c>
      <c r="AA32" s="1806">
        <f t="shared" si="3"/>
        <v>1</v>
      </c>
      <c r="AB32" s="1806">
        <f t="shared" si="4"/>
        <v>1</v>
      </c>
      <c r="AC32" s="1806">
        <f t="shared" si="5"/>
        <v>1</v>
      </c>
    </row>
    <row r="33" spans="1:29" ht="15">
      <c r="A33" s="653"/>
      <c r="B33" s="651" t="s">
        <v>2718</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55"/>
      <c r="Q33" s="1805" t="str">
        <f t="shared" si="11"/>
        <v>是否直接入户</v>
      </c>
      <c r="R33" s="771" t="s">
        <v>17</v>
      </c>
      <c r="S33" s="772">
        <f t="shared" si="12"/>
        <v>100</v>
      </c>
      <c r="T33" s="771" t="s">
        <v>17</v>
      </c>
      <c r="U33" s="772">
        <f t="shared" si="13"/>
        <v>100</v>
      </c>
      <c r="V33" s="771" t="s">
        <v>17</v>
      </c>
      <c r="W33" s="772">
        <f t="shared" si="14"/>
        <v>100</v>
      </c>
      <c r="X33" s="1808"/>
      <c r="Y33" s="3255"/>
      <c r="Z33" s="1809" t="str">
        <f t="shared" si="15"/>
        <v>是否直接入户</v>
      </c>
      <c r="AA33" s="1806">
        <f t="shared" si="3"/>
        <v>1</v>
      </c>
      <c r="AB33" s="1806">
        <f t="shared" si="4"/>
        <v>1</v>
      </c>
      <c r="AC33" s="1806">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55"/>
      <c r="Q34" s="1805">
        <f t="shared" si="11"/>
        <v>111</v>
      </c>
      <c r="R34" s="771" t="s">
        <v>17</v>
      </c>
      <c r="S34" s="772">
        <f t="shared" si="12"/>
        <v>100</v>
      </c>
      <c r="T34" s="771" t="s">
        <v>17</v>
      </c>
      <c r="U34" s="772">
        <f t="shared" si="13"/>
        <v>100</v>
      </c>
      <c r="V34" s="771" t="s">
        <v>17</v>
      </c>
      <c r="W34" s="772">
        <f t="shared" si="14"/>
        <v>100</v>
      </c>
      <c r="X34" s="1808"/>
      <c r="Y34" s="3255"/>
      <c r="Z34" s="1809">
        <f t="shared" si="15"/>
        <v>111</v>
      </c>
      <c r="AA34" s="1806">
        <f t="shared" si="3"/>
        <v>1</v>
      </c>
      <c r="AB34" s="1806">
        <f t="shared" si="4"/>
        <v>1</v>
      </c>
      <c r="AC34" s="1806">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55"/>
      <c r="Q35" s="773">
        <f t="shared" si="11"/>
        <v>111</v>
      </c>
      <c r="R35" s="774" t="s">
        <v>17</v>
      </c>
      <c r="S35" s="775">
        <f t="shared" si="12"/>
        <v>100</v>
      </c>
      <c r="T35" s="774" t="s">
        <v>17</v>
      </c>
      <c r="U35" s="775">
        <f t="shared" si="13"/>
        <v>100</v>
      </c>
      <c r="V35" s="774" t="s">
        <v>17</v>
      </c>
      <c r="W35" s="775">
        <f t="shared" si="14"/>
        <v>100</v>
      </c>
      <c r="X35" s="776"/>
      <c r="Y35" s="3255"/>
      <c r="Z35" s="777">
        <f t="shared" si="15"/>
        <v>111</v>
      </c>
      <c r="AA35" s="1806">
        <f t="shared" si="3"/>
        <v>1</v>
      </c>
      <c r="AB35" s="1806">
        <f t="shared" si="4"/>
        <v>1</v>
      </c>
      <c r="AC35" s="1806">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55"/>
      <c r="Q36" s="1805">
        <f t="shared" si="11"/>
        <v>111</v>
      </c>
      <c r="R36" s="771" t="s">
        <v>17</v>
      </c>
      <c r="S36" s="772">
        <f t="shared" si="12"/>
        <v>100</v>
      </c>
      <c r="T36" s="771" t="s">
        <v>17</v>
      </c>
      <c r="U36" s="772">
        <f t="shared" si="13"/>
        <v>100</v>
      </c>
      <c r="V36" s="771" t="s">
        <v>17</v>
      </c>
      <c r="W36" s="772">
        <f t="shared" si="14"/>
        <v>100</v>
      </c>
      <c r="X36" s="1808"/>
      <c r="Y36" s="3255"/>
      <c r="Z36" s="1809">
        <f t="shared" si="15"/>
        <v>111</v>
      </c>
      <c r="AA36" s="1806">
        <f t="shared" si="3"/>
        <v>1</v>
      </c>
      <c r="AB36" s="1806">
        <f t="shared" si="4"/>
        <v>1</v>
      </c>
      <c r="AC36" s="1806">
        <f t="shared" si="5"/>
        <v>1</v>
      </c>
    </row>
    <row r="37" spans="1:29" ht="15">
      <c r="A37" s="478" t="s">
        <v>2719</v>
      </c>
      <c r="B37" s="2690" t="s">
        <v>2720</v>
      </c>
      <c r="C37" s="1403" t="s">
        <v>1</v>
      </c>
      <c r="D37" s="1404"/>
      <c r="E37" s="1405"/>
      <c r="F37" s="1406"/>
      <c r="G37" s="1407"/>
      <c r="H37" s="1408"/>
      <c r="I37" s="1405"/>
      <c r="J37" s="1408"/>
      <c r="K37" s="616"/>
      <c r="L37" s="1143"/>
      <c r="M37" s="1144"/>
      <c r="N37" s="1131"/>
      <c r="O37" s="1144"/>
      <c r="P37" s="3248" t="str">
        <f>A37</f>
        <v>成交单价</v>
      </c>
      <c r="Q37" s="3248"/>
      <c r="R37" s="3249">
        <f>E37</f>
        <v>0</v>
      </c>
      <c r="S37" s="3249"/>
      <c r="T37" s="3249">
        <f>G37</f>
        <v>0</v>
      </c>
      <c r="U37" s="3249"/>
      <c r="V37" s="3249">
        <f>I37</f>
        <v>0</v>
      </c>
      <c r="W37" s="3249"/>
      <c r="X37" s="756"/>
      <c r="Y37" s="778"/>
      <c r="Z37" s="756"/>
      <c r="AA37" s="756"/>
      <c r="AB37" s="756"/>
      <c r="AC37" s="756"/>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7"/>
      <c r="L38" s="1143"/>
      <c r="M38" s="1144"/>
      <c r="N38" s="1144"/>
      <c r="O38" s="1144"/>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6"/>
      <c r="Y38" s="756"/>
      <c r="Z38" s="756"/>
      <c r="AA38" s="756"/>
      <c r="AB38" s="756"/>
      <c r="AC38" s="756"/>
    </row>
    <row r="39" spans="1:29" ht="15.75" thickBot="1">
      <c r="A39" s="491" t="s">
        <v>2722</v>
      </c>
      <c r="B39" s="492"/>
      <c r="C39" s="1413" t="e">
        <f>R39</f>
        <v>#DIV/0!</v>
      </c>
      <c r="D39" s="1413"/>
      <c r="E39" s="1413"/>
      <c r="F39" s="1413"/>
      <c r="G39" s="1413"/>
      <c r="H39" s="1413"/>
      <c r="I39" s="1413"/>
      <c r="J39" s="1413"/>
      <c r="K39" s="618"/>
      <c r="L39" s="1143"/>
      <c r="M39" s="1144"/>
      <c r="N39" s="1144"/>
      <c r="O39" s="1144"/>
      <c r="P39" s="3245" t="str">
        <f>A39</f>
        <v>估价对象XX用房的比较价值（楼面单价，元/平方米）</v>
      </c>
      <c r="Q39" s="3246"/>
      <c r="R39" s="3247" t="e">
        <f>IF(F1="售价",ROUND(AVERAGE(R38:V38),0),ROUND(AVERAGE(R38:V38),1))</f>
        <v>#DIV/0!</v>
      </c>
      <c r="S39" s="3247"/>
      <c r="T39" s="3247"/>
      <c r="U39" s="3247"/>
      <c r="V39" s="3247"/>
      <c r="W39" s="3247"/>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6"/>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6"/>
      <c r="Q41" s="1144"/>
      <c r="R41" s="1144"/>
      <c r="S41" s="1144"/>
      <c r="T41" s="1144"/>
      <c r="U41" s="1144"/>
      <c r="V41" s="1144"/>
      <c r="W41" s="1144"/>
      <c r="X41" s="1144"/>
      <c r="Y41" s="1144"/>
      <c r="Z41" s="1144"/>
      <c r="AA41" s="1144"/>
      <c r="AB41" s="1144"/>
      <c r="AC41" s="1144"/>
    </row>
    <row r="42" spans="1:29" ht="13.5" customHeight="1">
      <c r="A42" s="1144"/>
      <c r="B42" s="1144"/>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6"/>
      <c r="Q42" s="1144"/>
      <c r="R42" s="1144"/>
      <c r="S42" s="1144"/>
      <c r="T42" s="1144"/>
      <c r="U42" s="1144"/>
      <c r="V42" s="1144"/>
      <c r="W42" s="1144"/>
      <c r="X42" s="1144"/>
      <c r="Y42" s="1144"/>
      <c r="Z42" s="1144"/>
      <c r="AA42" s="1144"/>
      <c r="AB42" s="1144"/>
      <c r="AC42" s="1144"/>
    </row>
    <row r="43" spans="1:29" ht="13.5" customHeight="1">
      <c r="A43" s="1144"/>
      <c r="B43" s="1144"/>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6"/>
      <c r="Q43" s="1144"/>
      <c r="R43" s="1144"/>
      <c r="S43" s="1144"/>
      <c r="T43" s="1144"/>
      <c r="U43" s="1144"/>
      <c r="V43" s="1144"/>
      <c r="W43" s="1144"/>
      <c r="X43" s="1144"/>
      <c r="Y43" s="1144"/>
      <c r="Z43" s="1144"/>
      <c r="AA43" s="1144"/>
      <c r="AB43" s="1144"/>
      <c r="AC43" s="1144"/>
    </row>
    <row r="44" spans="1:29" s="501" customFormat="1" ht="13.5" customHeight="1">
      <c r="A44" s="1145"/>
      <c r="B44" s="1145"/>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17"/>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17"/>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6"/>
      <c r="Q46" s="1144"/>
      <c r="R46" s="1144"/>
      <c r="S46" s="1144"/>
      <c r="T46" s="1144"/>
      <c r="U46" s="1144"/>
      <c r="V46" s="1144"/>
      <c r="W46" s="1144"/>
      <c r="X46" s="1144"/>
      <c r="Y46" s="1144"/>
      <c r="Z46" s="1144"/>
      <c r="AA46" s="1144"/>
      <c r="AB46" s="1144"/>
      <c r="AC46" s="1144"/>
    </row>
    <row r="47" spans="1:29" ht="21.75" thickBot="1">
      <c r="A47" s="1420" t="s">
        <v>2726</v>
      </c>
      <c r="B47" s="1144"/>
      <c r="C47" s="1159"/>
      <c r="D47" s="1159"/>
      <c r="E47" s="1159"/>
      <c r="F47" s="1421"/>
      <c r="G47" s="1421"/>
      <c r="H47" s="1159"/>
      <c r="I47" s="1159"/>
      <c r="J47" s="1159"/>
      <c r="K47" s="1160"/>
      <c r="L47" s="1161"/>
      <c r="M47" s="1159"/>
      <c r="N47" s="1159"/>
      <c r="O47" s="1159"/>
      <c r="P47" s="1418"/>
      <c r="Q47" s="1419"/>
      <c r="R47" s="1144"/>
      <c r="S47" s="1144"/>
      <c r="T47" s="1144"/>
      <c r="U47" s="1144"/>
      <c r="V47" s="1144"/>
      <c r="W47" s="1144"/>
      <c r="X47" s="1144"/>
      <c r="Y47" s="1144"/>
      <c r="Z47" s="1144"/>
      <c r="AA47" s="1144"/>
      <c r="AB47" s="1144"/>
      <c r="AC47" s="1144"/>
    </row>
    <row r="48" spans="1:29" s="507" customFormat="1" ht="15">
      <c r="A48" s="504" t="s">
        <v>2727</v>
      </c>
      <c r="B48" s="505"/>
      <c r="C48" s="1570" t="str">
        <f>YEAR(C7)&amp;"-"&amp;MONTH(C7)</f>
        <v>2018-9</v>
      </c>
      <c r="D48" s="1571">
        <f>EDATE(C48,-1)</f>
        <v>43313</v>
      </c>
      <c r="E48" s="1571">
        <f t="shared" ref="E48:O48" si="16">EDATE(D48,-1)</f>
        <v>43282</v>
      </c>
      <c r="F48" s="1571">
        <f t="shared" si="16"/>
        <v>43252</v>
      </c>
      <c r="G48" s="1571">
        <f t="shared" si="16"/>
        <v>43221</v>
      </c>
      <c r="H48" s="1571">
        <f t="shared" si="16"/>
        <v>43191</v>
      </c>
      <c r="I48" s="1571">
        <f t="shared" si="16"/>
        <v>43160</v>
      </c>
      <c r="J48" s="1571">
        <f t="shared" si="16"/>
        <v>43132</v>
      </c>
      <c r="K48" s="1571">
        <f t="shared" si="16"/>
        <v>43101</v>
      </c>
      <c r="L48" s="1571">
        <f t="shared" si="16"/>
        <v>43070</v>
      </c>
      <c r="M48" s="1571">
        <f t="shared" si="16"/>
        <v>43040</v>
      </c>
      <c r="N48" s="1571">
        <f t="shared" si="16"/>
        <v>43009</v>
      </c>
      <c r="O48" s="1571">
        <f t="shared" si="16"/>
        <v>42979</v>
      </c>
      <c r="P48" s="1434"/>
      <c r="Q48" s="1435"/>
      <c r="R48" s="1435"/>
      <c r="S48" s="1435"/>
      <c r="T48" s="1435"/>
      <c r="U48" s="1435"/>
      <c r="V48" s="1435"/>
      <c r="W48" s="1435"/>
      <c r="X48" s="1435"/>
      <c r="Y48" s="1435"/>
      <c r="Z48" s="1435"/>
      <c r="AA48" s="1435"/>
      <c r="AB48" s="1435"/>
      <c r="AC48" s="1435"/>
    </row>
    <row r="49" spans="1:29" s="117"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7"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7" customFormat="1" ht="15">
      <c r="A51" s="520" t="s">
        <v>2549</v>
      </c>
      <c r="B51" s="509"/>
      <c r="C51" s="521" t="s">
        <v>2651</v>
      </c>
      <c r="D51" s="522"/>
      <c r="E51" s="522"/>
      <c r="F51" s="522"/>
      <c r="G51" s="522"/>
      <c r="H51" s="522"/>
      <c r="I51" s="522"/>
      <c r="J51" s="522"/>
      <c r="K51" s="522"/>
      <c r="L51" s="523"/>
      <c r="M51" s="524"/>
      <c r="N51" s="1151"/>
      <c r="O51" s="1151"/>
      <c r="P51" s="1422"/>
      <c r="Q51" s="1419"/>
      <c r="R51" s="1423"/>
      <c r="S51" s="1423"/>
      <c r="T51" s="1423"/>
      <c r="U51" s="1423"/>
      <c r="V51" s="1423"/>
      <c r="W51" s="1423"/>
      <c r="X51" s="1423"/>
      <c r="Y51" s="1423"/>
      <c r="Z51" s="1423"/>
      <c r="AA51" s="1423"/>
      <c r="AB51" s="1423"/>
      <c r="AC51" s="1423"/>
    </row>
    <row r="52" spans="1:29" s="117" customFormat="1" ht="15.75" thickBot="1">
      <c r="A52" s="520"/>
      <c r="B52" s="509"/>
      <c r="C52" s="636">
        <v>100</v>
      </c>
      <c r="D52" s="511"/>
      <c r="E52" s="511"/>
      <c r="F52" s="511"/>
      <c r="G52" s="511"/>
      <c r="H52" s="511"/>
      <c r="I52" s="511"/>
      <c r="J52" s="511"/>
      <c r="K52" s="511"/>
      <c r="L52" s="511"/>
      <c r="M52" s="513"/>
      <c r="N52" s="1151"/>
      <c r="O52" s="1151"/>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52"/>
      <c r="O53" s="1152"/>
      <c r="P53" s="1425"/>
      <c r="Q53" s="1419"/>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5"/>
      <c r="Q54" s="1419"/>
      <c r="R54" s="1144"/>
      <c r="S54" s="1144"/>
      <c r="T54" s="1144"/>
      <c r="U54" s="1144"/>
      <c r="V54" s="1144"/>
      <c r="W54" s="1144"/>
      <c r="X54" s="1144"/>
      <c r="Y54" s="1144"/>
      <c r="Z54" s="1144"/>
      <c r="AA54" s="1144"/>
      <c r="AB54" s="1144"/>
      <c r="AC54" s="1144"/>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2"/>
      <c r="O55" s="1152"/>
      <c r="P55" s="1425"/>
      <c r="Q55" s="1419"/>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5"/>
      <c r="Q56" s="1419"/>
      <c r="R56" s="1144"/>
      <c r="S56" s="1144"/>
      <c r="T56" s="1144"/>
      <c r="U56" s="1144"/>
      <c r="V56" s="1144"/>
      <c r="W56" s="1144"/>
      <c r="X56" s="1144"/>
      <c r="Y56" s="1144"/>
      <c r="Z56" s="1144"/>
      <c r="AA56" s="1144"/>
      <c r="AB56" s="1144"/>
      <c r="AC56" s="1144"/>
    </row>
    <row r="57" spans="1:29" ht="15.75" thickTop="1">
      <c r="A57" s="533"/>
      <c r="B57" s="657">
        <f>B11</f>
        <v>111</v>
      </c>
      <c r="C57" s="548"/>
      <c r="D57" s="548"/>
      <c r="E57" s="548"/>
      <c r="F57" s="548"/>
      <c r="G57" s="548"/>
      <c r="H57" s="548"/>
      <c r="I57" s="548"/>
      <c r="J57" s="548"/>
      <c r="K57" s="549"/>
      <c r="L57" s="550"/>
      <c r="M57" s="551"/>
      <c r="N57" s="1152"/>
      <c r="O57" s="1152"/>
      <c r="P57" s="1425"/>
      <c r="Q57" s="1419"/>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5"/>
      <c r="Q58" s="1419"/>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53"/>
      <c r="O60" s="1153"/>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4"/>
      <c r="O61" s="1154"/>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4"/>
      <c r="O62" s="1154"/>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2"/>
      <c r="O63" s="1152"/>
      <c r="P63" s="1431"/>
      <c r="Q63" s="1419"/>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5"/>
      <c r="Q64" s="1419"/>
      <c r="R64" s="1144"/>
      <c r="S64" s="1144"/>
      <c r="T64" s="1144"/>
      <c r="U64" s="1144"/>
      <c r="V64" s="1144"/>
      <c r="W64" s="1144"/>
      <c r="X64" s="1144"/>
      <c r="Y64" s="1144"/>
      <c r="Z64" s="1144"/>
      <c r="AA64" s="1144"/>
      <c r="AB64" s="1144"/>
      <c r="AC64" s="1144"/>
    </row>
    <row r="65" spans="1:29" ht="15.75" thickTop="1">
      <c r="A65" s="533"/>
      <c r="B65" s="537" t="s">
        <v>2602</v>
      </c>
      <c r="C65" s="577" t="s">
        <v>2596</v>
      </c>
      <c r="D65" s="577" t="s">
        <v>2597</v>
      </c>
      <c r="E65" s="577" t="s">
        <v>2598</v>
      </c>
      <c r="F65" s="577" t="s">
        <v>2599</v>
      </c>
      <c r="G65" s="577" t="s">
        <v>2600</v>
      </c>
      <c r="H65" s="538"/>
      <c r="I65" s="538"/>
      <c r="J65" s="538"/>
      <c r="K65" s="539"/>
      <c r="L65" s="540"/>
      <c r="M65" s="541"/>
      <c r="N65" s="1152"/>
      <c r="O65" s="1152"/>
      <c r="P65" s="1425"/>
      <c r="Q65" s="1419"/>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5"/>
      <c r="Q66" s="1419"/>
      <c r="R66" s="1144"/>
      <c r="S66" s="1144"/>
      <c r="T66" s="1144"/>
      <c r="U66" s="1144"/>
      <c r="V66" s="1144"/>
      <c r="W66" s="1144"/>
      <c r="X66" s="1144"/>
      <c r="Y66" s="1144"/>
      <c r="Z66" s="1144"/>
      <c r="AA66" s="1144"/>
      <c r="AB66" s="1144"/>
      <c r="AC66" s="1144"/>
    </row>
    <row r="67" spans="1:29" ht="15.75" thickTop="1">
      <c r="A67" s="533"/>
      <c r="B67" s="545" t="s">
        <v>2688</v>
      </c>
      <c r="C67" s="657" t="s">
        <v>2674</v>
      </c>
      <c r="D67" s="657" t="s">
        <v>2675</v>
      </c>
      <c r="E67" s="657" t="s">
        <v>2676</v>
      </c>
      <c r="F67" s="657" t="s">
        <v>2677</v>
      </c>
      <c r="G67" s="657" t="s">
        <v>2678</v>
      </c>
      <c r="H67" s="538"/>
      <c r="I67" s="538"/>
      <c r="J67" s="538"/>
      <c r="K67" s="538"/>
      <c r="L67" s="538"/>
      <c r="M67" s="1378"/>
      <c r="N67" s="1153"/>
      <c r="O67" s="1153"/>
      <c r="P67" s="1425"/>
      <c r="Q67" s="1419"/>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3"/>
      <c r="O68" s="1153"/>
      <c r="P68" s="1425"/>
      <c r="Q68" s="1419"/>
      <c r="R68" s="1144"/>
      <c r="S68" s="1144"/>
      <c r="T68" s="1144"/>
      <c r="U68" s="1144"/>
      <c r="V68" s="1144"/>
      <c r="W68" s="1144"/>
      <c r="X68" s="1144"/>
      <c r="Y68" s="1144"/>
      <c r="Z68" s="1144"/>
      <c r="AA68" s="1144"/>
      <c r="AB68" s="1144"/>
      <c r="AC68" s="1144"/>
    </row>
    <row r="69" spans="1:29" ht="15.75" thickTop="1">
      <c r="A69" s="533"/>
      <c r="B69" s="537" t="s">
        <v>2608</v>
      </c>
      <c r="C69" s="577" t="s">
        <v>2596</v>
      </c>
      <c r="D69" s="577" t="s">
        <v>2597</v>
      </c>
      <c r="E69" s="577" t="s">
        <v>2598</v>
      </c>
      <c r="F69" s="577" t="s">
        <v>2599</v>
      </c>
      <c r="G69" s="577" t="s">
        <v>2600</v>
      </c>
      <c r="H69" s="538"/>
      <c r="I69" s="538"/>
      <c r="J69" s="538"/>
      <c r="K69" s="539"/>
      <c r="L69" s="540"/>
      <c r="M69" s="541"/>
      <c r="N69" s="1152"/>
      <c r="O69" s="1152"/>
      <c r="P69" s="1425"/>
      <c r="Q69" s="1419"/>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5"/>
      <c r="Q70" s="1419"/>
      <c r="R70" s="1144"/>
      <c r="S70" s="1144"/>
      <c r="T70" s="1144"/>
      <c r="U70" s="1144"/>
      <c r="V70" s="1144"/>
      <c r="W70" s="1144"/>
      <c r="X70" s="1144"/>
      <c r="Y70" s="1144"/>
      <c r="Z70" s="1144"/>
      <c r="AA70" s="1144"/>
      <c r="AB70" s="1144"/>
      <c r="AC70" s="1144"/>
    </row>
    <row r="71" spans="1:29" ht="15.75" thickTop="1">
      <c r="A71" s="533"/>
      <c r="B71" s="537" t="s">
        <v>2728</v>
      </c>
      <c r="C71" s="553"/>
      <c r="D71" s="553"/>
      <c r="E71" s="553"/>
      <c r="F71" s="553"/>
      <c r="G71" s="553"/>
      <c r="H71" s="582"/>
      <c r="I71" s="582"/>
      <c r="J71" s="582"/>
      <c r="K71" s="583"/>
      <c r="L71" s="584"/>
      <c r="M71" s="585"/>
      <c r="N71" s="1152"/>
      <c r="O71" s="1152"/>
      <c r="P71" s="1425"/>
      <c r="Q71" s="1419"/>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5"/>
      <c r="Q72" s="1419"/>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5"/>
      <c r="Q73" s="1419"/>
      <c r="R73" s="1423"/>
      <c r="S73" s="1423"/>
      <c r="T73" s="1423"/>
      <c r="U73" s="1423"/>
      <c r="V73" s="1423"/>
      <c r="W73" s="1423"/>
      <c r="X73" s="1423"/>
      <c r="Y73" s="1423"/>
      <c r="Z73" s="1423"/>
      <c r="AA73" s="1423"/>
      <c r="AB73" s="1423"/>
      <c r="AC73" s="1423"/>
    </row>
    <row r="74" spans="1:29" s="117" customFormat="1" ht="15.75" thickBot="1">
      <c r="A74" s="578"/>
      <c r="B74" s="542"/>
      <c r="C74" s="559"/>
      <c r="D74" s="535"/>
      <c r="E74" s="535"/>
      <c r="F74" s="535"/>
      <c r="G74" s="535"/>
      <c r="H74" s="535"/>
      <c r="I74" s="535"/>
      <c r="J74" s="535"/>
      <c r="K74" s="535"/>
      <c r="L74" s="535"/>
      <c r="M74" s="536"/>
      <c r="N74" s="1153"/>
      <c r="O74" s="1153"/>
      <c r="P74" s="1425"/>
      <c r="Q74" s="1419"/>
      <c r="R74" s="1423"/>
      <c r="S74" s="1423"/>
      <c r="T74" s="1423"/>
      <c r="U74" s="1423"/>
      <c r="V74" s="1423"/>
      <c r="W74" s="1423"/>
      <c r="X74" s="1423"/>
      <c r="Y74" s="1423"/>
      <c r="Z74" s="1423"/>
      <c r="AA74" s="1423"/>
      <c r="AB74" s="1423"/>
      <c r="AC74" s="1423"/>
    </row>
    <row r="75" spans="1:29" s="117" customFormat="1" ht="15.75" thickTop="1">
      <c r="A75" s="578"/>
      <c r="B75" s="537">
        <f>B24</f>
        <v>111</v>
      </c>
      <c r="C75" s="548"/>
      <c r="D75" s="548"/>
      <c r="E75" s="548"/>
      <c r="F75" s="548"/>
      <c r="G75" s="553"/>
      <c r="H75" s="553"/>
      <c r="I75" s="553"/>
      <c r="J75" s="553"/>
      <c r="K75" s="553"/>
      <c r="L75" s="553"/>
      <c r="M75" s="580"/>
      <c r="N75" s="1151"/>
      <c r="O75" s="1151"/>
      <c r="P75" s="1425"/>
      <c r="Q75" s="1419"/>
      <c r="R75" s="1423"/>
      <c r="S75" s="1423"/>
      <c r="T75" s="1423"/>
      <c r="U75" s="1423"/>
      <c r="V75" s="1423"/>
      <c r="W75" s="1423"/>
      <c r="X75" s="1423"/>
      <c r="Y75" s="1423"/>
      <c r="Z75" s="1423"/>
      <c r="AA75" s="1423"/>
      <c r="AB75" s="1423"/>
      <c r="AC75" s="1423"/>
    </row>
    <row r="76" spans="1:29" s="117" customFormat="1" ht="15.75" thickBot="1">
      <c r="A76" s="578"/>
      <c r="B76" s="542"/>
      <c r="C76" s="559"/>
      <c r="D76" s="535"/>
      <c r="E76" s="535"/>
      <c r="F76" s="535"/>
      <c r="G76" s="535"/>
      <c r="H76" s="535"/>
      <c r="I76" s="535"/>
      <c r="J76" s="535"/>
      <c r="K76" s="535"/>
      <c r="L76" s="535"/>
      <c r="M76" s="536"/>
      <c r="N76" s="1153"/>
      <c r="O76" s="1153"/>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4"/>
      <c r="O77" s="1154"/>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4"/>
      <c r="O78" s="1154"/>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52"/>
      <c r="O79" s="1152"/>
      <c r="P79" s="1425"/>
      <c r="Q79" s="1419"/>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5"/>
      <c r="Q80" s="1419"/>
      <c r="R80" s="1144"/>
      <c r="S80" s="1144"/>
      <c r="T80" s="1144"/>
      <c r="U80" s="1144"/>
      <c r="V80" s="1144"/>
      <c r="W80" s="1144"/>
      <c r="X80" s="1144"/>
      <c r="Y80" s="1144"/>
      <c r="Z80" s="1144"/>
      <c r="AA80" s="1144"/>
      <c r="AB80" s="1144"/>
      <c r="AC80" s="1144"/>
    </row>
    <row r="81" spans="1:29" ht="15.75" thickTop="1">
      <c r="A81" s="533"/>
      <c r="B81" s="537" t="s">
        <v>2730</v>
      </c>
      <c r="C81" s="658"/>
      <c r="D81" s="658"/>
      <c r="E81" s="658"/>
      <c r="F81" s="658"/>
      <c r="G81" s="658"/>
      <c r="H81" s="658"/>
      <c r="I81" s="658"/>
      <c r="J81" s="658"/>
      <c r="K81" s="659"/>
      <c r="L81" s="660"/>
      <c r="M81" s="661"/>
      <c r="N81" s="1151"/>
      <c r="O81" s="1151"/>
      <c r="P81" s="1425"/>
      <c r="Q81" s="1419"/>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52"/>
      <c r="O83" s="1152"/>
      <c r="P83" s="1425"/>
      <c r="Q83" s="1419"/>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5"/>
      <c r="Q84" s="1419"/>
      <c r="R84" s="1144"/>
      <c r="S84" s="1144"/>
      <c r="T84" s="1144"/>
      <c r="U84" s="1144"/>
      <c r="V84" s="1144"/>
      <c r="W84" s="1144"/>
      <c r="X84" s="1144"/>
      <c r="Y84" s="1144"/>
      <c r="Z84" s="1144"/>
      <c r="AA84" s="1144"/>
      <c r="AB84" s="1144"/>
      <c r="AC84" s="1144"/>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5"/>
      <c r="Q85" s="1419"/>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0"/>
      <c r="J86" s="620"/>
      <c r="K86" s="621"/>
      <c r="L86" s="622"/>
      <c r="M86" s="623"/>
      <c r="N86" s="1152"/>
      <c r="O86" s="1152"/>
      <c r="P86" s="1425"/>
      <c r="Q86" s="1419"/>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5"/>
      <c r="Q87" s="1419"/>
      <c r="R87" s="1144"/>
      <c r="S87" s="1144"/>
      <c r="T87" s="1144"/>
      <c r="U87" s="1144"/>
      <c r="V87" s="1144"/>
      <c r="W87" s="1144"/>
      <c r="X87" s="1144"/>
      <c r="Y87" s="1144"/>
      <c r="Z87" s="1144"/>
      <c r="AA87" s="1144"/>
      <c r="AB87" s="1144"/>
      <c r="AC87" s="1144"/>
    </row>
    <row r="88" spans="1:29" ht="15" thickTop="1">
      <c r="A88" s="598"/>
      <c r="B88" s="545" t="s">
        <v>2732</v>
      </c>
      <c r="C88" s="529"/>
      <c r="D88" s="529"/>
      <c r="E88" s="529"/>
      <c r="F88" s="529"/>
      <c r="G88" s="529"/>
      <c r="H88" s="529"/>
      <c r="I88" s="529"/>
      <c r="J88" s="529"/>
      <c r="K88" s="530"/>
      <c r="L88" s="531"/>
      <c r="M88" s="532"/>
      <c r="N88" s="1152"/>
      <c r="O88" s="1152"/>
      <c r="P88" s="1425"/>
      <c r="Q88" s="1419"/>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5"/>
      <c r="Q89" s="1419"/>
      <c r="R89" s="1144"/>
      <c r="S89" s="1144"/>
      <c r="T89" s="1144"/>
      <c r="U89" s="1144"/>
      <c r="V89" s="1144"/>
      <c r="W89" s="1144"/>
      <c r="X89" s="1144"/>
      <c r="Y89" s="1144"/>
      <c r="Z89" s="1144"/>
      <c r="AA89" s="1144"/>
      <c r="AB89" s="1144"/>
      <c r="AC89" s="1144"/>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4"/>
      <c r="O90" s="1154"/>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4"/>
      <c r="O91" s="1154"/>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4"/>
      <c r="O92" s="1154"/>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52"/>
      <c r="O93" s="1152"/>
      <c r="P93" s="1425"/>
      <c r="Q93" s="1419"/>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5"/>
      <c r="Q94" s="1419"/>
      <c r="R94" s="1144"/>
      <c r="S94" s="1144"/>
      <c r="T94" s="1144"/>
      <c r="U94" s="1144"/>
      <c r="V94" s="1144"/>
      <c r="W94" s="1144"/>
      <c r="X94" s="1144"/>
      <c r="Y94" s="1144"/>
      <c r="Z94" s="1144"/>
      <c r="AA94" s="1144"/>
      <c r="AB94" s="1144"/>
      <c r="AC94" s="1144"/>
    </row>
    <row r="95" spans="1:29" ht="15" thickTop="1">
      <c r="A95" s="598"/>
      <c r="B95" s="537" t="s">
        <v>2735</v>
      </c>
      <c r="C95" s="529"/>
      <c r="D95" s="529"/>
      <c r="E95" s="529"/>
      <c r="F95" s="529"/>
      <c r="G95" s="529"/>
      <c r="H95" s="529"/>
      <c r="I95" s="529"/>
      <c r="J95" s="529"/>
      <c r="K95" s="530"/>
      <c r="L95" s="531"/>
      <c r="M95" s="532"/>
      <c r="N95" s="1152"/>
      <c r="O95" s="1152"/>
      <c r="P95" s="1425"/>
      <c r="Q95" s="1419"/>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5"/>
      <c r="Q96" s="1419"/>
      <c r="R96" s="1144"/>
      <c r="S96" s="1144"/>
      <c r="T96" s="1144"/>
      <c r="U96" s="1144"/>
      <c r="V96" s="1144"/>
      <c r="W96" s="1144"/>
      <c r="X96" s="1144"/>
      <c r="Y96" s="1144"/>
      <c r="Z96" s="1144"/>
      <c r="AA96" s="1144"/>
      <c r="AB96" s="1144"/>
      <c r="AC96" s="1144"/>
    </row>
    <row r="97" spans="1:29" ht="15" thickTop="1">
      <c r="A97" s="598"/>
      <c r="B97" s="633">
        <f>B34</f>
        <v>111</v>
      </c>
      <c r="C97" s="548"/>
      <c r="D97" s="548"/>
      <c r="E97" s="548"/>
      <c r="F97" s="548"/>
      <c r="G97" s="553"/>
      <c r="H97" s="554"/>
      <c r="I97" s="554"/>
      <c r="J97" s="554"/>
      <c r="K97" s="554"/>
      <c r="L97" s="555"/>
      <c r="M97" s="556"/>
      <c r="N97" s="1153"/>
      <c r="O97" s="1153"/>
      <c r="P97" s="1432"/>
      <c r="Q97" s="1433"/>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5"/>
      <c r="Q98" s="1419"/>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4"/>
      <c r="O100" s="1154"/>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52"/>
      <c r="O101" s="1152"/>
      <c r="P101" s="1425"/>
      <c r="Q101" s="1419"/>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5"/>
      <c r="Q102" s="1419"/>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2525</v>
      </c>
      <c r="B1" s="2557"/>
      <c r="C1" s="2557"/>
      <c r="D1" s="2557"/>
      <c r="E1" s="2558"/>
    </row>
    <row r="2" spans="1:6" ht="15.75">
      <c r="A2" s="2559" t="s">
        <v>2326</v>
      </c>
      <c r="B2" s="2560">
        <f ca="1">SUMIF(B6:B13,"&lt;&gt;#ref!",B6:B13)</f>
        <v>533</v>
      </c>
      <c r="C2" s="2561" t="s">
        <v>2518</v>
      </c>
      <c r="D2" s="2562" t="s">
        <v>2519</v>
      </c>
      <c r="E2" s="2563">
        <f>SUM(E6:E13)</f>
        <v>133.31</v>
      </c>
    </row>
    <row r="3" spans="1:6" ht="15.75">
      <c r="A3" s="2559" t="s">
        <v>1395</v>
      </c>
      <c r="B3" s="2560">
        <f ca="1">ROUND(B2*10000/E2,0)</f>
        <v>39982</v>
      </c>
      <c r="C3" s="2561" t="s">
        <v>2526</v>
      </c>
      <c r="D3" s="2564"/>
      <c r="E3" s="2565"/>
    </row>
    <row r="4" spans="1:6" ht="15.75">
      <c r="A4" s="2566"/>
      <c r="B4" s="2564"/>
      <c r="C4" s="2564"/>
      <c r="D4" s="2564"/>
      <c r="E4" s="2565"/>
    </row>
    <row r="5" spans="1:6" ht="15">
      <c r="A5" s="2567" t="s">
        <v>2520</v>
      </c>
      <c r="B5" s="3279" t="s">
        <v>2521</v>
      </c>
      <c r="C5" s="3279"/>
      <c r="D5" s="2568"/>
      <c r="E5" s="2569" t="s">
        <v>2522</v>
      </c>
      <c r="F5" s="2570" t="s">
        <v>2523</v>
      </c>
    </row>
    <row r="6" spans="1:6">
      <c r="A6" s="2571" t="str">
        <f>'数据-取费表'!AN6</f>
        <v>收益法 (元)</v>
      </c>
      <c r="B6" s="2570">
        <f ca="1">IF(F6="是",'数据-取费表'!AO6,0)</f>
        <v>533</v>
      </c>
      <c r="C6" s="2561" t="s">
        <v>2518</v>
      </c>
      <c r="D6" s="2564"/>
      <c r="E6" s="2572">
        <f>IF(OR(A6=0,F6="否"),0,'数据-取费表'!K6+'数据-取费表'!S6)</f>
        <v>133.31</v>
      </c>
      <c r="F6" s="2573" t="s">
        <v>2524</v>
      </c>
    </row>
    <row r="7" spans="1:6">
      <c r="A7" s="2571">
        <f>'数据-取费表'!AN7</f>
        <v>0</v>
      </c>
      <c r="B7" s="2570" t="e">
        <f ca="1">IF(F7="是",'数据-取费表'!AO7,0)</f>
        <v>#REF!</v>
      </c>
      <c r="C7" s="2561" t="s">
        <v>2518</v>
      </c>
      <c r="D7" s="2564"/>
      <c r="E7" s="2572">
        <f>IF(OR(A7=0,F7="否"),0,'数据-取费表'!K7+'数据-取费表'!S7)</f>
        <v>0</v>
      </c>
      <c r="F7" s="2573" t="s">
        <v>2524</v>
      </c>
    </row>
    <row r="8" spans="1:6">
      <c r="A8" s="2571">
        <f>'数据-取费表'!AN8</f>
        <v>0</v>
      </c>
      <c r="B8" s="2570" t="e">
        <f ca="1">IF(F8="是",'数据-取费表'!AO8,0)</f>
        <v>#REF!</v>
      </c>
      <c r="C8" s="2561" t="s">
        <v>2518</v>
      </c>
      <c r="D8" s="2564"/>
      <c r="E8" s="2572">
        <f>IF(OR(A8=0,F8="否"),0,'数据-取费表'!K8+'数据-取费表'!S8)</f>
        <v>0</v>
      </c>
      <c r="F8" s="2573" t="s">
        <v>2524</v>
      </c>
    </row>
    <row r="9" spans="1:6">
      <c r="A9" s="2571">
        <f>'数据-取费表'!AN9</f>
        <v>0</v>
      </c>
      <c r="B9" s="2570" t="e">
        <f ca="1">IF(F9="是",'数据-取费表'!AO9,0)</f>
        <v>#REF!</v>
      </c>
      <c r="C9" s="2561" t="s">
        <v>2518</v>
      </c>
      <c r="D9" s="2564"/>
      <c r="E9" s="2572">
        <f>IF(OR(A9=0,F9="否"),0,'数据-取费表'!K9+'数据-取费表'!S9)</f>
        <v>0</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1" sqref="C11"/>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535</v>
      </c>
      <c r="C2" s="1840" t="s">
        <v>1516</v>
      </c>
      <c r="D2" s="1840"/>
      <c r="E2" s="1841"/>
      <c r="F2" s="1842"/>
      <c r="G2" s="1843"/>
      <c r="H2" s="1835"/>
      <c r="I2" s="1835"/>
      <c r="J2" s="1835"/>
      <c r="K2" s="1836"/>
      <c r="L2" s="1835"/>
      <c r="M2" s="1835"/>
    </row>
    <row r="3" spans="1:37" ht="18" customHeight="1" thickBot="1">
      <c r="A3" s="1844" t="s">
        <v>1517</v>
      </c>
      <c r="B3" s="1845">
        <f ca="1">IF(ISERROR(B2*10000/F43),0,ROUND(B2*10000/F43,0))</f>
        <v>40132</v>
      </c>
      <c r="C3" s="1840" t="s">
        <v>1518</v>
      </c>
      <c r="D3" s="1840"/>
      <c r="E3" s="1841"/>
      <c r="F3" s="1842"/>
      <c r="G3" s="1843"/>
      <c r="H3" s="741"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8">
        <f ca="1">C6+C10+C12</f>
        <v>30</v>
      </c>
      <c r="D5" s="1817" t="s">
        <v>1402</v>
      </c>
      <c r="E5" s="1289"/>
      <c r="F5" s="1290"/>
      <c r="G5" s="1846"/>
      <c r="H5" s="343">
        <v>1</v>
      </c>
      <c r="I5" s="344" t="s">
        <v>1401</v>
      </c>
      <c r="J5" s="1288">
        <f ca="1">J6+J10+J12</f>
        <v>0</v>
      </c>
      <c r="K5" s="1817" t="s">
        <v>1402</v>
      </c>
      <c r="L5" s="1289"/>
      <c r="M5" s="1290"/>
    </row>
    <row r="6" spans="1:37" ht="18" customHeight="1">
      <c r="A6" s="1287" t="s">
        <v>1035</v>
      </c>
      <c r="B6" s="3282" t="s">
        <v>1403</v>
      </c>
      <c r="C6" s="1292">
        <f ca="1">ROUND(F6*F8*F7*(1-F9)/10000,0)</f>
        <v>30</v>
      </c>
      <c r="D6" s="163" t="s">
        <v>3030</v>
      </c>
      <c r="E6" s="346" t="s">
        <v>1405</v>
      </c>
      <c r="F6" s="347">
        <f ca="1">INDIRECT("'数据-取费表'!u"&amp;$G$1)</f>
        <v>6.5</v>
      </c>
      <c r="G6" s="1846"/>
      <c r="H6" s="1287" t="s">
        <v>1035</v>
      </c>
      <c r="I6" s="3282" t="s">
        <v>1403</v>
      </c>
      <c r="J6" s="345">
        <f ca="1">ROUND(M6*M8*M7*(1-M9)/10000,0)</f>
        <v>0</v>
      </c>
      <c r="K6" s="163" t="s">
        <v>3029</v>
      </c>
      <c r="L6" s="346" t="s">
        <v>1405</v>
      </c>
      <c r="M6" s="347">
        <f ca="1">INDIRECT("'数据-取费表'!z"&amp;$G$1)</f>
        <v>0</v>
      </c>
    </row>
    <row r="7" spans="1:37" ht="18" customHeight="1">
      <c r="A7" s="1291"/>
      <c r="B7" s="3283"/>
      <c r="C7" s="1293"/>
      <c r="D7" s="351"/>
      <c r="E7" s="1294" t="s">
        <v>1406</v>
      </c>
      <c r="F7" s="347">
        <f ca="1">IF(INDIRECT("'数据-取费表'!ah"&amp;$G$1)="",INDIRECT("'数据-取费表'!k"&amp;$G$1),INDIRECT("'数据-取费表'!ah"&amp;$G$1))</f>
        <v>133.31</v>
      </c>
      <c r="G7" s="1846"/>
      <c r="H7" s="348"/>
      <c r="I7" s="3283"/>
      <c r="J7" s="350"/>
      <c r="K7" s="351"/>
      <c r="L7" s="346" t="s">
        <v>1406</v>
      </c>
      <c r="M7" s="347">
        <f ca="1">F7</f>
        <v>133.31</v>
      </c>
    </row>
    <row r="8" spans="1:37" ht="18" customHeight="1">
      <c r="A8" s="348"/>
      <c r="B8" s="3283"/>
      <c r="C8" s="350"/>
      <c r="D8" s="351"/>
      <c r="E8" s="346" t="s">
        <v>1407</v>
      </c>
      <c r="F8" s="347">
        <f ca="1">INDIRECT("'数据-取费表'!ai"&amp;$G$1)</f>
        <v>365</v>
      </c>
      <c r="G8" s="1846"/>
      <c r="H8" s="348"/>
      <c r="I8" s="3283"/>
      <c r="J8" s="350"/>
      <c r="K8" s="351"/>
      <c r="L8" s="346" t="s">
        <v>1407</v>
      </c>
      <c r="M8" s="347">
        <f ca="1">INDIRECT("'数据-取费表'!ai"&amp;$G$1)</f>
        <v>365</v>
      </c>
    </row>
    <row r="9" spans="1:37" ht="18" customHeight="1">
      <c r="A9" s="348"/>
      <c r="B9" s="3284"/>
      <c r="C9" s="350"/>
      <c r="D9" s="351"/>
      <c r="E9" s="346" t="s">
        <v>1408</v>
      </c>
      <c r="F9" s="356">
        <f ca="1">INDIRECT("'数据-取费表'!w"&amp;$G$1)</f>
        <v>0.05</v>
      </c>
      <c r="G9" s="1846"/>
      <c r="H9" s="348"/>
      <c r="I9" s="3284"/>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3039</v>
      </c>
      <c r="E10" s="357" t="s">
        <v>1410</v>
      </c>
      <c r="F10" s="1362" t="s">
        <v>3495</v>
      </c>
      <c r="G10" s="1846"/>
      <c r="H10" s="1287" t="s">
        <v>1039</v>
      </c>
      <c r="I10" s="1818" t="s">
        <v>1409</v>
      </c>
      <c r="J10" s="345">
        <f ca="1">ROUND(IF(M10="押一",J6/12*M11,IF(M10="押二",J6/12*2*M11,IF(M10="押三",J6/12*3*M11,J11*M11))),0)</f>
        <v>0</v>
      </c>
      <c r="K10" s="1819" t="s">
        <v>3038</v>
      </c>
      <c r="L10" s="357" t="s">
        <v>1410</v>
      </c>
      <c r="M10" s="1362" t="s">
        <v>1411</v>
      </c>
    </row>
    <row r="11" spans="1:37" ht="18" customHeight="1">
      <c r="A11" s="352"/>
      <c r="B11" s="1820" t="s">
        <v>1388</v>
      </c>
      <c r="C11" s="1178"/>
      <c r="D11" s="1821"/>
      <c r="E11" s="357" t="s">
        <v>1412</v>
      </c>
      <c r="F11" s="358">
        <f ca="1">'数据-取费表'!B39</f>
        <v>1.4999999999999999E-2</v>
      </c>
      <c r="G11" s="1846"/>
      <c r="H11" s="1295"/>
      <c r="I11" s="1820" t="s">
        <v>1388</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INDIRECT("'数据-取费表'!m"&amp;$G$1)+INDIRECT("'数据-取费表'!t"&amp;$G$1)</f>
        <v>53</v>
      </c>
      <c r="D14" s="1795" t="s">
        <v>1418</v>
      </c>
      <c r="E14" s="1789"/>
      <c r="F14" s="363"/>
      <c r="G14" s="1846"/>
      <c r="H14" s="1201" t="s">
        <v>1035</v>
      </c>
      <c r="I14" s="346" t="s">
        <v>1419</v>
      </c>
      <c r="J14" s="24">
        <f ca="1">C29</f>
        <v>79</v>
      </c>
      <c r="K14" s="15"/>
      <c r="L14" s="979"/>
      <c r="M14" s="980"/>
    </row>
    <row r="15" spans="1:37" s="1853" customFormat="1" ht="18" customHeight="1" thickBot="1">
      <c r="A15" s="1201" t="s">
        <v>1036</v>
      </c>
      <c r="B15" s="346" t="s">
        <v>1420</v>
      </c>
      <c r="C15" s="24">
        <f ca="1">ROUND(C14*F15,0)</f>
        <v>3</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ROUND(INDIRECT("'数据-取费表'!m"&amp;$G$1)*F16,0)</f>
        <v>0</v>
      </c>
      <c r="D16" s="346" t="s">
        <v>1421</v>
      </c>
      <c r="E16" s="346" t="s">
        <v>1422</v>
      </c>
      <c r="F16" s="366">
        <f ca="1">IF(INDIRECT("'数据-取费表'!c"&amp;$G$1)="住宅",'数据-取费表'!B34,0)</f>
        <v>0</v>
      </c>
      <c r="G16" s="1846"/>
      <c r="H16" s="1325" t="s">
        <v>1030</v>
      </c>
      <c r="I16" s="1326" t="s">
        <v>1424</v>
      </c>
      <c r="J16" s="354">
        <f ca="1">ROUND(J17+J22+J23+J24,0)</f>
        <v>3</v>
      </c>
      <c r="K16" s="1333" t="s">
        <v>1425</v>
      </c>
      <c r="L16" s="1334"/>
      <c r="M16" s="1290"/>
    </row>
    <row r="17" spans="1:37" s="1853" customFormat="1" ht="18" customHeight="1">
      <c r="A17" s="1201" t="s">
        <v>1390</v>
      </c>
      <c r="B17" s="346" t="s">
        <v>1426</v>
      </c>
      <c r="C17" s="24">
        <f ca="1">ROUND(F17*(F43+INDIRECT("'数据-取费表'!S"&amp;$G$1))/10000,0)</f>
        <v>3</v>
      </c>
      <c r="D17" s="346" t="s">
        <v>1427</v>
      </c>
      <c r="E17" s="346" t="s">
        <v>1428</v>
      </c>
      <c r="F17" s="26">
        <f>'数据-取费表'!B35</f>
        <v>200</v>
      </c>
      <c r="G17" s="1849"/>
      <c r="H17" s="1201" t="s">
        <v>1035</v>
      </c>
      <c r="I17" s="346" t="s">
        <v>1429</v>
      </c>
      <c r="J17" s="24">
        <f ca="1">ROUND(IF(项目基本情况!B11="自然人",J5*M17,J18+J19+J20),1)</f>
        <v>0.7</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1</v>
      </c>
      <c r="D18" s="346" t="s">
        <v>1421</v>
      </c>
      <c r="E18" s="346" t="s">
        <v>1422</v>
      </c>
      <c r="F18" s="366">
        <f>'数据-取费表'!B36</f>
        <v>1.4999999999999999E-2</v>
      </c>
      <c r="G18" s="1849"/>
      <c r="H18" s="1201" t="s">
        <v>1034</v>
      </c>
      <c r="I18" s="346" t="s">
        <v>1433</v>
      </c>
      <c r="J18" s="24">
        <f ca="1">ROUND(J5*M18/(1+'数据-取费表'!C42),2)</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60</v>
      </c>
      <c r="D19" s="139" t="s">
        <v>1436</v>
      </c>
      <c r="E19" s="1813"/>
      <c r="F19" s="26"/>
      <c r="G19" s="1846"/>
      <c r="H19" s="1201" t="s">
        <v>1036</v>
      </c>
      <c r="I19" s="346" t="s">
        <v>1437</v>
      </c>
      <c r="J19" s="24">
        <f ca="1">IF(K19="按租金收入计税",ROUND(J5*M19,2),ROUND(C29*M19*0.7,2))</f>
        <v>0.66</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v>
      </c>
      <c r="D20" s="368" t="s">
        <v>1440</v>
      </c>
      <c r="E20" s="346" t="s">
        <v>1422</v>
      </c>
      <c r="F20" s="366">
        <f>'数据-取费表'!B37</f>
        <v>0.02</v>
      </c>
      <c r="G20" s="1849"/>
      <c r="H20" s="1201" t="s">
        <v>1389</v>
      </c>
      <c r="I20" s="163" t="s">
        <v>1441</v>
      </c>
      <c r="J20" s="25">
        <f ca="1">ROUND(M20*M21/10000,2)</f>
        <v>0.01</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18</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ROUND(J14*M22,1)</f>
        <v>2</v>
      </c>
      <c r="K22" s="1793" t="s">
        <v>1450</v>
      </c>
      <c r="L22" s="346" t="s">
        <v>1422</v>
      </c>
      <c r="M22" s="373">
        <f ca="1">INDIRECT("'数据-取费表'!Ak"&amp;$G$1)</f>
        <v>2.5000000000000001E-2</v>
      </c>
    </row>
    <row r="23" spans="1:37" s="1853" customFormat="1" ht="18" customHeight="1">
      <c r="A23" s="1201" t="s">
        <v>1034</v>
      </c>
      <c r="B23" s="346" t="s">
        <v>1451</v>
      </c>
      <c r="C23" s="24">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ROUND(J13*M23,1)</f>
        <v>0</v>
      </c>
      <c r="K23" s="1793" t="s">
        <v>1454</v>
      </c>
      <c r="L23" s="346" t="s">
        <v>1455</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ROUND(J5*M24,1)</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1460</v>
      </c>
      <c r="B25" s="346" t="s">
        <v>1461</v>
      </c>
      <c r="C25" s="24"/>
      <c r="D25" s="139" t="s">
        <v>1462</v>
      </c>
      <c r="E25" s="1813"/>
      <c r="F25" s="26"/>
      <c r="G25" s="1846"/>
      <c r="H25" s="1325" t="s">
        <v>1031</v>
      </c>
      <c r="I25" s="1340" t="s">
        <v>1463</v>
      </c>
      <c r="J25" s="354">
        <f ca="1">J5-J16</f>
        <v>-3</v>
      </c>
      <c r="K25" s="1341" t="s">
        <v>1464</v>
      </c>
      <c r="L25" s="1342"/>
      <c r="M25" s="1343"/>
    </row>
    <row r="26" spans="1:37">
      <c r="A26" s="1201" t="s">
        <v>1034</v>
      </c>
      <c r="B26" s="346" t="s">
        <v>1465</v>
      </c>
      <c r="C26" s="24">
        <f ca="1">ROUND((C19+C20)*F26,0)</f>
        <v>9</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8</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ROUND(IF(项目基本情况!B11="自然人",C5*F31,C32+C33+C34),1)</f>
        <v>5.2</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IF(项目基本情况!B11="自然人","——",ROUND(C5*F32/(1+'数据-取费表'!C42),2))</f>
        <v>1.6</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IF(项目基本情况!B11="自然人","——",IF(D33="按租金收入计税",ROUND(C5*F33,2),IF(D33="按房产原值计税",ROUND(C29*F33*0.7,2),INDIRECT("'数据-取费表'!Aj"&amp;$G$1))))</f>
        <v>3.6</v>
      </c>
      <c r="D33" s="1823" t="s">
        <v>3144</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IF(项目基本情况!B11="自然人","——",ROUND(F34*F35/10000,2))</f>
        <v>0.01</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ROUND(C29*F36,1)</f>
        <v>2</v>
      </c>
      <c r="D36" s="1793" t="s">
        <v>1482</v>
      </c>
      <c r="E36" s="346" t="s">
        <v>1422</v>
      </c>
      <c r="F36" s="373">
        <f ca="1">INDIRECT("'数据-取费表'!Ak"&amp;$G$1)</f>
        <v>2.5000000000000001E-2</v>
      </c>
      <c r="G36" s="1846"/>
      <c r="H36" s="1854"/>
      <c r="I36" s="1855"/>
      <c r="J36" s="1856"/>
      <c r="K36" s="748"/>
      <c r="L36" s="1854"/>
      <c r="M36" s="1854"/>
    </row>
    <row r="37" spans="1:18" ht="18" customHeight="1">
      <c r="A37" s="1201" t="s">
        <v>1075</v>
      </c>
      <c r="B37" s="346" t="s">
        <v>1453</v>
      </c>
      <c r="C37" s="24">
        <f ca="1">ROUND(C13*F37,1)</f>
        <v>0.1</v>
      </c>
      <c r="D37" s="1793" t="s">
        <v>1454</v>
      </c>
      <c r="E37" s="346" t="s">
        <v>1455</v>
      </c>
      <c r="F37" s="375">
        <f ca="1">INDIRECT("'数据-取费表'!Al"&amp;$G$1)</f>
        <v>1.5E-3</v>
      </c>
      <c r="G37" s="1846"/>
      <c r="H37" s="1854"/>
      <c r="I37" s="1855"/>
      <c r="J37" s="1856"/>
      <c r="K37" s="748"/>
      <c r="L37" s="1854"/>
      <c r="M37" s="1854"/>
    </row>
    <row r="38" spans="1:18" ht="18" customHeight="1" thickBot="1">
      <c r="A38" s="1335" t="s">
        <v>1393</v>
      </c>
      <c r="B38" s="1336" t="s">
        <v>1439</v>
      </c>
      <c r="C38" s="1337">
        <f ca="1">ROUND(C5*F38,1)</f>
        <v>0.9</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22</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533</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ROUND(C40*10000/F43,0)</f>
        <v>39982</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-674</v>
      </c>
      <c r="D46" s="1867" t="str">
        <f>C2</f>
        <v>万元</v>
      </c>
      <c r="E46" s="1861"/>
      <c r="F46" s="1861"/>
      <c r="I46" s="1868" t="s">
        <v>1521</v>
      </c>
      <c r="J46" s="1869"/>
      <c r="K46" s="1870"/>
      <c r="L46" s="1871">
        <f ca="1">IF(M47="住宅",0,IF(L48&gt;J51,L60,J60))</f>
        <v>2</v>
      </c>
      <c r="O46" s="1872" t="s">
        <v>1522</v>
      </c>
      <c r="P46" s="1873" t="s">
        <v>1523</v>
      </c>
      <c r="Q46" s="1874" t="s">
        <v>1524</v>
      </c>
      <c r="R46" s="1874" t="s">
        <v>1525</v>
      </c>
    </row>
    <row r="47" spans="1:18" s="1837" customFormat="1" ht="13.5" thickBot="1">
      <c r="A47" s="1165" t="s">
        <v>1396</v>
      </c>
      <c r="B47" s="1197" t="s">
        <v>1397</v>
      </c>
      <c r="C47" s="1363" t="s">
        <v>1398</v>
      </c>
      <c r="D47" s="1197" t="s">
        <v>1399</v>
      </c>
      <c r="E47" s="1275" t="s">
        <v>1400</v>
      </c>
      <c r="F47" s="1276"/>
      <c r="G47" s="789"/>
      <c r="I47" s="1875" t="s">
        <v>1526</v>
      </c>
      <c r="J47" s="1876" t="s">
        <v>3145</v>
      </c>
      <c r="K47" s="1877" t="s">
        <v>1527</v>
      </c>
      <c r="L47" s="1878">
        <f ca="1">INDIRECT("'数据-取费表'!d"&amp;$G$1)</f>
        <v>40</v>
      </c>
      <c r="M47" s="1833" t="str">
        <f>IF(ISNUMBER(FIND("住宅",C1)),"住宅","非住宅")</f>
        <v>非住宅</v>
      </c>
      <c r="O47" s="1879" t="s">
        <v>1040</v>
      </c>
      <c r="P47" s="1880" t="s">
        <v>1528</v>
      </c>
      <c r="Q47" s="1881">
        <f ca="1">C40+J29</f>
        <v>533</v>
      </c>
      <c r="R47" s="1881" t="s">
        <v>1529</v>
      </c>
    </row>
    <row r="48" spans="1:18" s="1837" customFormat="1" ht="28.5" thickBot="1">
      <c r="A48" s="1356" t="s">
        <v>1135</v>
      </c>
      <c r="B48" s="344" t="s">
        <v>1401</v>
      </c>
      <c r="C48" s="1812">
        <f ca="1">C49+C53+C55</f>
        <v>0</v>
      </c>
      <c r="D48" s="1358"/>
      <c r="E48" s="1359"/>
      <c r="F48" s="1181"/>
      <c r="G48" s="789"/>
      <c r="H48" s="790"/>
      <c r="I48" s="1882" t="s">
        <v>1530</v>
      </c>
      <c r="J48" s="1883" t="s">
        <v>3146</v>
      </c>
      <c r="K48" s="1884" t="s">
        <v>1531</v>
      </c>
      <c r="L48" s="1885">
        <f ca="1">INDIRECT("'数据-取费表'!f"&amp;$G$1)</f>
        <v>31.38</v>
      </c>
      <c r="O48" s="1879" t="s">
        <v>1041</v>
      </c>
      <c r="P48" s="1880" t="s">
        <v>1532</v>
      </c>
      <c r="Q48" s="1881">
        <f ca="1">J60</f>
        <v>2</v>
      </c>
      <c r="R48" s="1881" t="s">
        <v>1533</v>
      </c>
    </row>
    <row r="49" spans="1:18" s="1837" customFormat="1" ht="13.5" thickBot="1">
      <c r="A49" s="1194" t="s">
        <v>1136</v>
      </c>
      <c r="B49" s="1824" t="s">
        <v>1490</v>
      </c>
      <c r="C49" s="1360">
        <f ca="1">ROUND(F49*F51*F50*(1-F52)/10000,0)</f>
        <v>0</v>
      </c>
      <c r="D49" s="1272" t="s">
        <v>3031</v>
      </c>
      <c r="E49" s="1825" t="s">
        <v>1491</v>
      </c>
      <c r="F49" s="1277"/>
      <c r="G49" s="1886"/>
      <c r="H49" s="790"/>
      <c r="I49" s="1882" t="s">
        <v>1534</v>
      </c>
      <c r="J49" s="1887">
        <v>2014</v>
      </c>
      <c r="K49" s="1884" t="s">
        <v>1535</v>
      </c>
      <c r="L49" s="1887"/>
      <c r="O49" s="1888" t="s">
        <v>1042</v>
      </c>
      <c r="P49" s="1880" t="s">
        <v>1536</v>
      </c>
      <c r="Q49" s="1881">
        <f ca="1">C29</f>
        <v>79</v>
      </c>
      <c r="R49" s="1881" t="s">
        <v>1529</v>
      </c>
    </row>
    <row r="50" spans="1:18" s="1837" customFormat="1" ht="13.5" thickBot="1">
      <c r="A50" s="1195"/>
      <c r="B50" s="1198"/>
      <c r="C50" s="1364"/>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263</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24.75" thickBot="1">
      <c r="A53" s="1401" t="s">
        <v>1137</v>
      </c>
      <c r="B53" s="1826" t="s">
        <v>1409</v>
      </c>
      <c r="C53" s="360">
        <f ca="1">ROUND(IF(F53="押一",C49/12*F11,IF(F53="押二",C49/12*2*F11,IF(F53="押三",C49/12*3*F11,C54*F11))),0)</f>
        <v>0</v>
      </c>
      <c r="D53" s="1819" t="s">
        <v>3038</v>
      </c>
      <c r="E53" s="357" t="s">
        <v>1410</v>
      </c>
      <c r="F53" s="1362"/>
      <c r="I53" s="1899" t="s">
        <v>1547</v>
      </c>
      <c r="J53" s="1900">
        <f ca="1">IF(M47="住宅",J51,IF(D1="——",MIN(J51,L48),IF(D1="在建（套用方法）",MIN(J51,L48-'数据-取费表'!B24),IF(D1="土地（套用方法）",MIN(J51,L48-'数据-取费表'!B20)))))</f>
        <v>31.38</v>
      </c>
      <c r="K53" s="3280" t="s">
        <v>1548</v>
      </c>
      <c r="L53" s="3281"/>
      <c r="O53" s="1879" t="s">
        <v>1046</v>
      </c>
      <c r="P53" s="1880" t="s">
        <v>1549</v>
      </c>
      <c r="Q53" s="1881">
        <f ca="1">Q47+Q48</f>
        <v>535</v>
      </c>
      <c r="R53" s="1881" t="s">
        <v>1047</v>
      </c>
    </row>
    <row r="54" spans="1:18" s="1837" customFormat="1" ht="13.5" thickBot="1">
      <c r="A54" s="1402"/>
      <c r="B54" s="1820" t="s">
        <v>1388</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t="s">
        <v>1553</v>
      </c>
      <c r="O55" s="1872" t="s">
        <v>1522</v>
      </c>
      <c r="P55" s="1873" t="s">
        <v>1523</v>
      </c>
      <c r="Q55" s="1874" t="s">
        <v>1524</v>
      </c>
      <c r="R55" s="1874" t="s">
        <v>1525</v>
      </c>
    </row>
    <row r="56" spans="1:18" s="1837" customFormat="1" ht="25.5" thickTop="1" thickBot="1">
      <c r="A56" s="1176">
        <v>2</v>
      </c>
      <c r="B56" s="1177" t="s">
        <v>1414</v>
      </c>
      <c r="C56" s="275">
        <f ca="1">C13</f>
        <v>73</v>
      </c>
      <c r="D56" s="1908"/>
      <c r="E56" s="1909"/>
      <c r="F56" s="1901"/>
      <c r="I56" s="1910" t="s">
        <v>1554</v>
      </c>
      <c r="J56" s="1911" t="s">
        <v>3147</v>
      </c>
      <c r="K56" s="1882" t="s">
        <v>1555</v>
      </c>
      <c r="L56" s="1885" t="str">
        <f ca="1">IF(L48&lt;J51,"——",L48-J53)</f>
        <v>——</v>
      </c>
      <c r="O56" s="1879" t="s">
        <v>1040</v>
      </c>
      <c r="P56" s="1880" t="s">
        <v>1528</v>
      </c>
      <c r="Q56" s="1881">
        <f ca="1">C40+J29</f>
        <v>533</v>
      </c>
      <c r="R56" s="1881" t="s">
        <v>1529</v>
      </c>
    </row>
    <row r="57" spans="1:18" s="1837" customFormat="1" ht="24.75" thickBot="1">
      <c r="A57" s="1912"/>
      <c r="B57" s="1169" t="s">
        <v>1478</v>
      </c>
      <c r="C57" s="281">
        <f ca="1">C29</f>
        <v>79</v>
      </c>
      <c r="D57" s="1913"/>
      <c r="E57" s="1914"/>
      <c r="F57" s="1915"/>
      <c r="I57" s="1916" t="s">
        <v>1556</v>
      </c>
      <c r="J57" s="1917">
        <f ca="1">IF(OR(M47="住宅",J51&lt;L48,J56="是"),"——",J51-L48)</f>
        <v>24.62</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9" t="s">
        <v>1030</v>
      </c>
      <c r="B58" s="1177" t="s">
        <v>1424</v>
      </c>
      <c r="C58" s="360">
        <f ca="1">ROUND(C59+C64+C65+C66,0)</f>
        <v>9</v>
      </c>
      <c r="D58" s="1179" t="s">
        <v>1425</v>
      </c>
      <c r="E58" s="1180"/>
      <c r="F58" s="1181"/>
      <c r="I58" s="1916" t="s">
        <v>1560</v>
      </c>
      <c r="J58" s="1918">
        <f ca="1">IF(J55&lt;0.4,0.4,J55)</f>
        <v>0.41</v>
      </c>
      <c r="K58" s="1894" t="s">
        <v>1561</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ROUND(IF(项目基本情况!B11="自然人",C48*F59,C60+C61+C62),1)</f>
        <v>6.7</v>
      </c>
      <c r="D59" s="1182" t="s">
        <v>1430</v>
      </c>
      <c r="E59" s="1183" t="s">
        <v>1431</v>
      </c>
      <c r="F59" s="367" t="str">
        <f ca="1">IF(项目基本情况!B11="企业","",IF(INDIRECT("'数据-取费表'!c"&amp;$G$1)="住宅",5%,IF(F49*F50*F51/12/(1+'数据-取费表'!C42)&gt;20000,12%,7%)))</f>
        <v/>
      </c>
      <c r="I59" s="1916" t="s">
        <v>1563</v>
      </c>
      <c r="J59" s="1917">
        <f ca="1">IF(OR(M47="住宅",J51&lt;L48,J56="是"),"——",ROUND(C29*J58,0))</f>
        <v>32</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IF(项目基本情况!B11="自然人","——",ROUND(C48*F60/(1+'数据-取费表'!C42),2))</f>
        <v>0</v>
      </c>
      <c r="D60" s="1183" t="s">
        <v>1434</v>
      </c>
      <c r="E60" s="1169" t="s">
        <v>1422</v>
      </c>
      <c r="F60" s="376">
        <f t="shared" ref="F60:F66" si="0">F32</f>
        <v>5.6000000000000001E-2</v>
      </c>
      <c r="I60" s="1919" t="s">
        <v>1565</v>
      </c>
      <c r="J60" s="1920">
        <f ca="1">IF(OR(M47="住宅",J51&lt;L48,J56="是"),"0",ROUND(J59/(1+J52)^J53,0))</f>
        <v>2</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IF(项目基本情况!B11="自然人","——",IF(D61="按租金收入计税",ROUND(C48*F61,2),IF(D61="按房产原值计税",ROUND(C57*F61*0.7,2),INDIRECT("'数据-取费表'!Aj"&amp;$G$1))))</f>
        <v>6.64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IF(项目基本情况!B11="自然人","——",ROUND(F62*F63/10000,2))</f>
        <v>0.01</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533</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ROUND(C57*F64,1)</f>
        <v>2</v>
      </c>
      <c r="D64" s="1183" t="s">
        <v>1502</v>
      </c>
      <c r="E64" s="1169" t="s">
        <v>1494</v>
      </c>
      <c r="F64" s="373">
        <f t="shared" ca="1" si="0"/>
        <v>2.5000000000000001E-2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ROUND(C56*F65,1)</f>
        <v>0.1</v>
      </c>
      <c r="D65" s="1183" t="s">
        <v>1454</v>
      </c>
      <c r="E65" s="1169" t="s">
        <v>1455</v>
      </c>
      <c r="F65" s="375">
        <f t="shared" ca="1" si="0"/>
        <v>1.5E-3</v>
      </c>
      <c r="I65" s="1923" t="s">
        <v>1579</v>
      </c>
      <c r="J65" s="1924">
        <v>40</v>
      </c>
      <c r="K65" s="1924">
        <v>30</v>
      </c>
      <c r="L65" s="1924">
        <v>50</v>
      </c>
      <c r="M65" s="1926">
        <v>0.02</v>
      </c>
      <c r="O65" s="1879" t="s">
        <v>1040</v>
      </c>
      <c r="P65" s="1880" t="s">
        <v>1580</v>
      </c>
      <c r="Q65" s="1881">
        <f ca="1">C40+J29</f>
        <v>533</v>
      </c>
      <c r="R65" s="1881" t="s">
        <v>1529</v>
      </c>
    </row>
    <row r="66" spans="1:18" s="1837" customFormat="1" ht="16.5" thickBot="1">
      <c r="A66" s="1201" t="s">
        <v>1504</v>
      </c>
      <c r="B66" s="1169" t="s">
        <v>1439</v>
      </c>
      <c r="C66" s="24">
        <f ca="1">ROUND(C48*F66,1)</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-9</v>
      </c>
      <c r="D67" s="1182" t="s">
        <v>1464</v>
      </c>
      <c r="E67" s="1187"/>
      <c r="F67" s="1188"/>
      <c r="O67" s="1888" t="s">
        <v>1042</v>
      </c>
      <c r="P67" s="1880" t="s">
        <v>1562</v>
      </c>
      <c r="Q67" s="1927">
        <f ca="1">L51</f>
        <v>263</v>
      </c>
      <c r="R67" s="1881" t="s">
        <v>1582</v>
      </c>
    </row>
    <row r="68" spans="1:18" s="1837" customFormat="1" ht="16.5" thickBot="1">
      <c r="A68" s="1166" t="s">
        <v>1032</v>
      </c>
      <c r="B68" s="1167" t="s">
        <v>1485</v>
      </c>
      <c r="C68" s="345">
        <f ca="1">ROUND(C67*(1-((1+F70)/(1+F68))^F69)/(F68-F70),0)</f>
        <v>-141</v>
      </c>
      <c r="D68" s="1184" t="s">
        <v>1469</v>
      </c>
      <c r="E68" s="1169" t="s">
        <v>1470</v>
      </c>
      <c r="F68" s="356">
        <f ca="1">F40</f>
        <v>0.05</v>
      </c>
      <c r="O68" s="1888" t="s">
        <v>1043</v>
      </c>
      <c r="P68" s="1928" t="s">
        <v>1583</v>
      </c>
      <c r="Q68" s="1881">
        <f ca="1">ROUND(Q69-Q70*Q71,0)</f>
        <v>16</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22</v>
      </c>
      <c r="R69" s="1881" t="s">
        <v>1529</v>
      </c>
    </row>
    <row r="70" spans="1:18" s="1837" customFormat="1" ht="13.5" thickBot="1">
      <c r="A70" s="1173"/>
      <c r="B70" s="1174"/>
      <c r="C70" s="354"/>
      <c r="D70" s="1185"/>
      <c r="E70" s="1169" t="s">
        <v>1477</v>
      </c>
      <c r="F70" s="1271"/>
      <c r="O70" s="1888" t="s">
        <v>1049</v>
      </c>
      <c r="P70" s="1928" t="s">
        <v>1585</v>
      </c>
      <c r="Q70" s="1881">
        <f ca="1">C13</f>
        <v>73</v>
      </c>
      <c r="R70" s="1881" t="s">
        <v>1529</v>
      </c>
    </row>
    <row r="71" spans="1:18" s="1837" customFormat="1" ht="13.5" thickBot="1">
      <c r="A71" s="1190" t="s">
        <v>1033</v>
      </c>
      <c r="B71" s="1191" t="s">
        <v>1487</v>
      </c>
      <c r="C71" s="381">
        <f ca="1">ROUND(C68*10000/F71,0)</f>
        <v>-10577</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v>
      </c>
      <c r="D75" s="1837"/>
      <c r="E75" s="1837"/>
      <c r="F75" s="1837"/>
      <c r="K75" s="1863"/>
      <c r="L75" s="1837"/>
      <c r="O75" s="1879" t="s">
        <v>1046</v>
      </c>
      <c r="P75" s="1880" t="s">
        <v>1549</v>
      </c>
      <c r="Q75" s="1881">
        <f ca="1">Q65+Q66</f>
        <v>533</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0.72699999999999998</v>
      </c>
    </row>
    <row r="80" spans="1:18">
      <c r="B80" s="385" t="s">
        <v>1511</v>
      </c>
      <c r="C80" s="317">
        <f ca="1">ROUND(C75/C39,3)</f>
        <v>0.27300000000000002</v>
      </c>
    </row>
    <row r="81" spans="2:3">
      <c r="B81" s="313" t="s">
        <v>1512</v>
      </c>
      <c r="C81" s="281"/>
    </row>
    <row r="82" spans="2:3">
      <c r="B82" s="316" t="s">
        <v>1513</v>
      </c>
      <c r="C82" s="318">
        <f ca="1">1-C83</f>
        <v>0.86299999999999999</v>
      </c>
    </row>
    <row r="83" spans="2:3">
      <c r="B83" s="316" t="s">
        <v>1514</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2" priority="56">
      <formula>$L$48&gt;$J$51</formula>
    </cfRule>
  </conditionalFormatting>
  <conditionalFormatting sqref="I55 I60">
    <cfRule type="expression" dxfId="71" priority="57">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f ca="1">ROUND(D2/10000,0)</f>
        <v>533</v>
      </c>
      <c r="C2" s="1840" t="s">
        <v>1591</v>
      </c>
      <c r="D2" s="1932">
        <f ca="1">C40+J29+L46</f>
        <v>5328773</v>
      </c>
      <c r="E2" s="1841" t="s">
        <v>1592</v>
      </c>
      <c r="F2" s="1842"/>
      <c r="G2" s="1843"/>
      <c r="H2" s="1835"/>
      <c r="I2" s="1835"/>
      <c r="J2" s="1835"/>
      <c r="K2" s="1836"/>
      <c r="L2" s="1835"/>
      <c r="M2" s="1835"/>
    </row>
    <row r="3" spans="1:37" ht="18" customHeight="1" thickBot="1">
      <c r="A3" s="1844" t="s">
        <v>1593</v>
      </c>
      <c r="B3" s="1845">
        <f ca="1">IF(ISERROR(D2/F43),0,ROUND(D2/F43,0))</f>
        <v>39973</v>
      </c>
      <c r="C3" s="1840" t="s">
        <v>1594</v>
      </c>
      <c r="D3" s="1840"/>
      <c r="E3" s="1841"/>
      <c r="F3" s="1842"/>
      <c r="G3" s="1843"/>
      <c r="H3" s="741" t="s">
        <v>1588</v>
      </c>
      <c r="I3" s="1835"/>
      <c r="J3" s="1835"/>
      <c r="K3" s="1836"/>
      <c r="L3" s="1835"/>
      <c r="M3" s="1835"/>
    </row>
    <row r="4" spans="1:37" ht="18" customHeight="1">
      <c r="A4" s="339" t="s">
        <v>1595</v>
      </c>
      <c r="B4" s="340" t="s">
        <v>1596</v>
      </c>
      <c r="C4" s="340" t="s">
        <v>1597</v>
      </c>
      <c r="D4" s="340" t="s">
        <v>1598</v>
      </c>
      <c r="E4" s="341" t="s">
        <v>1599</v>
      </c>
      <c r="F4" s="342"/>
      <c r="G4" s="1846"/>
      <c r="H4" s="339" t="s">
        <v>1595</v>
      </c>
      <c r="I4" s="340" t="s">
        <v>1596</v>
      </c>
      <c r="J4" s="340" t="s">
        <v>1597</v>
      </c>
      <c r="K4" s="340" t="s">
        <v>1598</v>
      </c>
      <c r="L4" s="341" t="s">
        <v>1599</v>
      </c>
      <c r="M4" s="342"/>
    </row>
    <row r="5" spans="1:37" ht="18" customHeight="1">
      <c r="A5" s="343">
        <v>1</v>
      </c>
      <c r="B5" s="344" t="s">
        <v>1600</v>
      </c>
      <c r="C5" s="1288">
        <f ca="1">C6+C10+C12</f>
        <v>301215</v>
      </c>
      <c r="D5" s="1817" t="s">
        <v>1601</v>
      </c>
      <c r="E5" s="1289"/>
      <c r="F5" s="1290"/>
      <c r="G5" s="1846"/>
      <c r="H5" s="343">
        <v>1</v>
      </c>
      <c r="I5" s="344" t="s">
        <v>1600</v>
      </c>
      <c r="J5" s="1288">
        <f ca="1">J6+J10+J12</f>
        <v>0</v>
      </c>
      <c r="K5" s="1817" t="s">
        <v>1601</v>
      </c>
      <c r="L5" s="1289"/>
      <c r="M5" s="1290"/>
    </row>
    <row r="6" spans="1:37" ht="18" customHeight="1">
      <c r="A6" s="1287" t="s">
        <v>1035</v>
      </c>
      <c r="B6" s="3282" t="s">
        <v>1403</v>
      </c>
      <c r="C6" s="1292">
        <f ca="1">ROUND(F6*F8*F7*(1-F9),0)</f>
        <v>300464</v>
      </c>
      <c r="D6" s="163" t="s">
        <v>3027</v>
      </c>
      <c r="E6" s="346" t="s">
        <v>1405</v>
      </c>
      <c r="F6" s="347">
        <f ca="1">INDIRECT("'数据-取费表'!u"&amp;$G$1)</f>
        <v>6.5</v>
      </c>
      <c r="G6" s="1846"/>
      <c r="H6" s="1287" t="s">
        <v>1035</v>
      </c>
      <c r="I6" s="3282" t="s">
        <v>1403</v>
      </c>
      <c r="J6" s="345">
        <f ca="1">ROUND(M6*M8*M7*(1-M9),0)</f>
        <v>0</v>
      </c>
      <c r="K6" s="1829" t="s">
        <v>3028</v>
      </c>
      <c r="L6" s="346" t="s">
        <v>1405</v>
      </c>
      <c r="M6" s="347">
        <f ca="1">INDIRECT("'数据-取费表'!z"&amp;$G$1)</f>
        <v>0</v>
      </c>
    </row>
    <row r="7" spans="1:37" ht="18" customHeight="1">
      <c r="A7" s="1291"/>
      <c r="B7" s="3283"/>
      <c r="C7" s="1293"/>
      <c r="D7" s="351"/>
      <c r="E7" s="1294" t="s">
        <v>1406</v>
      </c>
      <c r="F7" s="347">
        <f ca="1">IF(INDIRECT("'数据-取费表'!ah"&amp;$G$1)="",INDIRECT("'数据-取费表'!k"&amp;$G$1),INDIRECT("'数据-取费表'!ah"&amp;$G$1))</f>
        <v>133.31</v>
      </c>
      <c r="G7" s="1846"/>
      <c r="H7" s="348"/>
      <c r="I7" s="3283"/>
      <c r="J7" s="350"/>
      <c r="K7" s="351"/>
      <c r="L7" s="346" t="s">
        <v>1406</v>
      </c>
      <c r="M7" s="347">
        <f ca="1">F7</f>
        <v>133.31</v>
      </c>
    </row>
    <row r="8" spans="1:37" ht="18" customHeight="1">
      <c r="A8" s="348"/>
      <c r="B8" s="3283"/>
      <c r="C8" s="350"/>
      <c r="D8" s="351"/>
      <c r="E8" s="346" t="s">
        <v>1407</v>
      </c>
      <c r="F8" s="347">
        <f ca="1">INDIRECT("'数据-取费表'!ai"&amp;$G$1)</f>
        <v>365</v>
      </c>
      <c r="G8" s="1846"/>
      <c r="H8" s="348"/>
      <c r="I8" s="3283"/>
      <c r="J8" s="350"/>
      <c r="K8" s="351"/>
      <c r="L8" s="346" t="s">
        <v>1407</v>
      </c>
      <c r="M8" s="347">
        <f ca="1">INDIRECT("'数据-取费表'!ai"&amp;$G$1)</f>
        <v>365</v>
      </c>
    </row>
    <row r="9" spans="1:37" ht="18" customHeight="1">
      <c r="A9" s="348"/>
      <c r="B9" s="3284"/>
      <c r="C9" s="350"/>
      <c r="D9" s="351"/>
      <c r="E9" s="346" t="s">
        <v>1408</v>
      </c>
      <c r="F9" s="356">
        <f ca="1">INDIRECT("'数据-取费表'!w"&amp;$G$1)</f>
        <v>0.05</v>
      </c>
      <c r="G9" s="1846"/>
      <c r="H9" s="348"/>
      <c r="I9" s="3284"/>
      <c r="J9" s="350"/>
      <c r="K9" s="351"/>
      <c r="L9" s="357" t="s">
        <v>1408</v>
      </c>
      <c r="M9" s="358">
        <f ca="1">INDIRECT("'数据-取费表'!ab"&amp;$G$1)</f>
        <v>0</v>
      </c>
    </row>
    <row r="10" spans="1:37" ht="18" customHeight="1">
      <c r="A10" s="1287" t="s">
        <v>1039</v>
      </c>
      <c r="B10" s="1818" t="s">
        <v>1409</v>
      </c>
      <c r="C10" s="360">
        <f ca="1">ROUND(IF(F10="押一",C6/12*F11,IF(F10="押二",C6/12*2*F11,IF(F10="押三",C6/12*3*F11,C11*F11))),0)</f>
        <v>751</v>
      </c>
      <c r="D10" s="1819" t="s">
        <v>3038</v>
      </c>
      <c r="E10" s="357" t="s">
        <v>1410</v>
      </c>
      <c r="F10" s="1362" t="s">
        <v>3182</v>
      </c>
      <c r="G10" s="1846"/>
      <c r="H10" s="1287" t="s">
        <v>1039</v>
      </c>
      <c r="I10" s="1818" t="s">
        <v>1409</v>
      </c>
      <c r="J10" s="345">
        <f ca="1">ROUND(IF(M10="押一",J6/12*M11,IF(M10="押二",J6/12*2*M11,IF(M10="押三",J6/12*3*M11,J11*M11))),0)</f>
        <v>0</v>
      </c>
      <c r="K10" s="1830" t="s">
        <v>3040</v>
      </c>
      <c r="L10" s="357" t="s">
        <v>1410</v>
      </c>
      <c r="M10" s="1362"/>
    </row>
    <row r="11" spans="1:37" ht="18" customHeight="1">
      <c r="A11" s="352"/>
      <c r="B11" s="1820" t="s">
        <v>1602</v>
      </c>
      <c r="C11" s="1178"/>
      <c r="D11" s="351"/>
      <c r="E11" s="357" t="s">
        <v>1412</v>
      </c>
      <c r="F11" s="358">
        <f ca="1">'数据-取费表'!B39</f>
        <v>1.4999999999999999E-2</v>
      </c>
      <c r="G11" s="1846"/>
      <c r="H11" s="1295"/>
      <c r="I11" s="1820" t="s">
        <v>1603</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731974</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ROUND(INDIRECT("'数据-取费表'!l"&amp;$G$1)*F43+'数据-取费表'!L14*INDIRECT("'数据-取费表'!S"&amp;$G$1),0)</f>
        <v>533240</v>
      </c>
      <c r="D14" s="1795" t="s">
        <v>1418</v>
      </c>
      <c r="E14" s="1789"/>
      <c r="F14" s="363"/>
      <c r="G14" s="1846"/>
      <c r="H14" s="1201" t="s">
        <v>1035</v>
      </c>
      <c r="I14" s="346" t="s">
        <v>1419</v>
      </c>
      <c r="J14" s="24">
        <f ca="1">C29</f>
        <v>787069</v>
      </c>
      <c r="K14" s="15"/>
      <c r="L14" s="979"/>
      <c r="M14" s="980"/>
    </row>
    <row r="15" spans="1:37" s="1853" customFormat="1" ht="18" customHeight="1" thickBot="1">
      <c r="A15" s="1201" t="s">
        <v>1036</v>
      </c>
      <c r="B15" s="346" t="s">
        <v>1420</v>
      </c>
      <c r="C15" s="24">
        <f ca="1">ROUND(C14*F15,0)</f>
        <v>26662</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ROUND(INDIRECT("'数据-取费表'!l"&amp;$G$1)*F43*F16,0)</f>
        <v>0</v>
      </c>
      <c r="D16" s="346" t="s">
        <v>1421</v>
      </c>
      <c r="E16" s="346" t="s">
        <v>1422</v>
      </c>
      <c r="F16" s="366">
        <f ca="1">IF(INDIRECT("'数据-取费表'!c"&amp;$G$1)="住宅",'数据-取费表'!B34,0)</f>
        <v>0</v>
      </c>
      <c r="G16" s="1846"/>
      <c r="H16" s="1325" t="s">
        <v>1030</v>
      </c>
      <c r="I16" s="1326" t="s">
        <v>1424</v>
      </c>
      <c r="J16" s="354">
        <f ca="1">ROUND(J17+J22+J23+J24,0)</f>
        <v>26380</v>
      </c>
      <c r="K16" s="1333" t="s">
        <v>1425</v>
      </c>
      <c r="L16" s="1334"/>
      <c r="M16" s="1290"/>
    </row>
    <row r="17" spans="1:37" s="1853" customFormat="1" ht="18" customHeight="1">
      <c r="A17" s="1201" t="s">
        <v>1390</v>
      </c>
      <c r="B17" s="346" t="s">
        <v>1426</v>
      </c>
      <c r="C17" s="24">
        <f ca="1">ROUND(F17*(F43+INDIRECT("'数据-取费表'!S"&amp;$G$1)),0)</f>
        <v>26662</v>
      </c>
      <c r="D17" s="346" t="s">
        <v>1427</v>
      </c>
      <c r="E17" s="346" t="s">
        <v>1428</v>
      </c>
      <c r="F17" s="26">
        <f>'数据-取费表'!B35</f>
        <v>200</v>
      </c>
      <c r="G17" s="1849"/>
      <c r="H17" s="1201" t="s">
        <v>1035</v>
      </c>
      <c r="I17" s="346" t="s">
        <v>1429</v>
      </c>
      <c r="J17" s="24">
        <f ca="1">ROUND(IF(项目基本情况!B11="自然人",J5*M17,J18+J19+J20),0)</f>
        <v>6703</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7999</v>
      </c>
      <c r="D18" s="346" t="s">
        <v>1421</v>
      </c>
      <c r="E18" s="346" t="s">
        <v>1422</v>
      </c>
      <c r="F18" s="366">
        <f>'数据-取费表'!B36</f>
        <v>1.4999999999999999E-2</v>
      </c>
      <c r="G18" s="1849"/>
      <c r="H18" s="1201" t="s">
        <v>1034</v>
      </c>
      <c r="I18" s="346" t="s">
        <v>1433</v>
      </c>
      <c r="J18" s="24">
        <f ca="1">ROUND(J5*M18/(1+'数据-取费表'!C42),0)</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594563</v>
      </c>
      <c r="D19" s="139" t="s">
        <v>1436</v>
      </c>
      <c r="E19" s="1813"/>
      <c r="F19" s="26"/>
      <c r="G19" s="1846"/>
      <c r="H19" s="1201" t="s">
        <v>1036</v>
      </c>
      <c r="I19" s="346" t="s">
        <v>1437</v>
      </c>
      <c r="J19" s="24">
        <f ca="1">IF(K19="按租金收入计税",ROUND(J5*M19,0),ROUND(C29*M19*0.7,0))</f>
        <v>6611</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11891</v>
      </c>
      <c r="D20" s="368" t="s">
        <v>1440</v>
      </c>
      <c r="E20" s="346" t="s">
        <v>1422</v>
      </c>
      <c r="F20" s="366">
        <f>'数据-取费表'!B37</f>
        <v>0.02</v>
      </c>
      <c r="G20" s="1849"/>
      <c r="H20" s="1201" t="s">
        <v>1389</v>
      </c>
      <c r="I20" s="163" t="s">
        <v>1441</v>
      </c>
      <c r="J20" s="25">
        <f ca="1">ROUND(M20*M21,0)</f>
        <v>92</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ROUND(J14*M22,0)</f>
        <v>19677</v>
      </c>
      <c r="K22" s="1793" t="s">
        <v>1450</v>
      </c>
      <c r="L22" s="346" t="s">
        <v>1422</v>
      </c>
      <c r="M22" s="373">
        <f ca="1">INDIRECT("'数据-取费表'!Ak"&amp;$G$1)</f>
        <v>2.5000000000000001E-2</v>
      </c>
    </row>
    <row r="23" spans="1:37" s="1853" customFormat="1" ht="18" customHeight="1">
      <c r="A23" s="1201" t="s">
        <v>1034</v>
      </c>
      <c r="B23" s="346" t="s">
        <v>1451</v>
      </c>
      <c r="C23" s="24">
        <f ca="1">IF('数据-取费表'!B22&lt;=1,ROUND(C19*F24*F23/2,0)+ROUND(C20*F24*F23/2,0),ROUND(C19*(POWER((1+F24),F23/2)-1),0)+ROUND(C20*(POWER((1+F24),F23/2)-1),0))</f>
        <v>28807</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ROUND(J13*M23,0)</f>
        <v>0</v>
      </c>
      <c r="K23" s="1793" t="s">
        <v>1454</v>
      </c>
      <c r="L23" s="346" t="s">
        <v>1455</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ROUND(J5*M24,0)</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1460</v>
      </c>
      <c r="B25" s="346" t="s">
        <v>1461</v>
      </c>
      <c r="C25" s="24"/>
      <c r="D25" s="139" t="s">
        <v>1462</v>
      </c>
      <c r="E25" s="1813"/>
      <c r="F25" s="26"/>
      <c r="G25" s="1846"/>
      <c r="H25" s="1325" t="s">
        <v>1031</v>
      </c>
      <c r="I25" s="1340" t="s">
        <v>1463</v>
      </c>
      <c r="J25" s="354">
        <f ca="1">J5-J16</f>
        <v>-26380</v>
      </c>
      <c r="K25" s="1341" t="s">
        <v>1464</v>
      </c>
      <c r="L25" s="1342"/>
      <c r="M25" s="1343"/>
    </row>
    <row r="26" spans="1:37" ht="18" customHeight="1">
      <c r="A26" s="1201" t="s">
        <v>1034</v>
      </c>
      <c r="B26" s="346" t="s">
        <v>1465</v>
      </c>
      <c r="C26" s="24">
        <f ca="1">ROUND((C19+C20)*F26,0)</f>
        <v>90968</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787069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82115</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ROUND(IF(项目基本情况!B11="自然人",C5*F31,C32+C33+C34),0)</f>
        <v>52303</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IF(项目基本情况!B11="自然人","——",ROUND(C5*F32/(1+'数据-取费表'!C42),0))</f>
        <v>16065</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IF(项目基本情况!B11="自然人","——",IF(D33="按租金收入计税",ROUND(C5*F33,0),IF(D33="按房产原值计税",ROUND(C29*F33*0.7,0),INDIRECT("'数据-取费表'!Aj"&amp;$G$1))))</f>
        <v>36146</v>
      </c>
      <c r="D33" s="1823" t="s">
        <v>3144</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f>
        <v>92</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ROUND(C29*F36,0)</f>
        <v>19677</v>
      </c>
      <c r="D36" s="1793" t="s">
        <v>1482</v>
      </c>
      <c r="E36" s="346" t="s">
        <v>1422</v>
      </c>
      <c r="F36" s="373">
        <f ca="1">INDIRECT("'数据-取费表'!Ak"&amp;$G$1)</f>
        <v>2.5000000000000001E-2</v>
      </c>
      <c r="G36" s="1846"/>
      <c r="H36" s="1854"/>
      <c r="I36" s="1855"/>
      <c r="J36" s="1856"/>
      <c r="K36" s="748"/>
      <c r="L36" s="1854"/>
      <c r="M36" s="1854"/>
    </row>
    <row r="37" spans="1:18" ht="18" customHeight="1">
      <c r="A37" s="1201" t="s">
        <v>1075</v>
      </c>
      <c r="B37" s="346" t="s">
        <v>1453</v>
      </c>
      <c r="C37" s="24">
        <f ca="1">ROUND(C13*F37,0)</f>
        <v>1098</v>
      </c>
      <c r="D37" s="1793" t="s">
        <v>1454</v>
      </c>
      <c r="E37" s="346" t="s">
        <v>1455</v>
      </c>
      <c r="F37" s="375">
        <f ca="1">INDIRECT("'数据-取费表'!Al"&amp;$G$1)</f>
        <v>1.5E-3</v>
      </c>
      <c r="G37" s="1846"/>
      <c r="H37" s="1854"/>
      <c r="I37" s="1855"/>
      <c r="J37" s="1856"/>
      <c r="K37" s="748"/>
      <c r="L37" s="1854"/>
      <c r="M37" s="1854"/>
    </row>
    <row r="38" spans="1:18" ht="18" customHeight="1" thickBot="1">
      <c r="A38" s="1335" t="s">
        <v>1393</v>
      </c>
      <c r="B38" s="1336" t="s">
        <v>1439</v>
      </c>
      <c r="C38" s="1337">
        <f ca="1">ROUND(C5*F38,1)</f>
        <v>9036.5</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219100</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5307178</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ROUND(C40/F43,0)</f>
        <v>39811</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f ca="1">C68-C40</f>
        <v>-7414086</v>
      </c>
      <c r="D45" s="1934" t="s">
        <v>1604</v>
      </c>
      <c r="E45" s="1861"/>
      <c r="F45" s="1861"/>
      <c r="O45" s="1864" t="s">
        <v>1519</v>
      </c>
      <c r="P45" s="1834"/>
      <c r="Q45" s="1834"/>
      <c r="R45" s="1834"/>
    </row>
    <row r="46" spans="1:18" s="1837" customFormat="1" ht="13.5" thickBot="1">
      <c r="A46" s="1865" t="s">
        <v>1520</v>
      </c>
      <c r="C46" s="1866">
        <f ca="1">ROUND(C45/10000,0)</f>
        <v>-741</v>
      </c>
      <c r="D46" s="1867" t="str">
        <f>C2</f>
        <v>万元</v>
      </c>
      <c r="I46" s="1868" t="s">
        <v>1521</v>
      </c>
      <c r="J46" s="1869"/>
      <c r="K46" s="1870"/>
      <c r="L46" s="1871">
        <f ca="1">IF(M47="住宅",0,IF(L48&gt;J51,L60,J60))</f>
        <v>21595</v>
      </c>
      <c r="O46" s="1872" t="s">
        <v>1522</v>
      </c>
      <c r="P46" s="1873" t="s">
        <v>1523</v>
      </c>
      <c r="Q46" s="1874" t="s">
        <v>1524</v>
      </c>
      <c r="R46" s="1874" t="s">
        <v>1525</v>
      </c>
    </row>
    <row r="47" spans="1:18" s="1837" customFormat="1" ht="13.5" thickBot="1">
      <c r="A47" s="1165" t="s">
        <v>1396</v>
      </c>
      <c r="B47" s="1197" t="s">
        <v>1397</v>
      </c>
      <c r="C47" s="1197" t="s">
        <v>1398</v>
      </c>
      <c r="D47" s="1197" t="s">
        <v>1399</v>
      </c>
      <c r="E47" s="1275" t="s">
        <v>1400</v>
      </c>
      <c r="F47" s="1276"/>
      <c r="G47" s="789"/>
      <c r="I47" s="1875" t="s">
        <v>1526</v>
      </c>
      <c r="J47" s="1876" t="s">
        <v>3145</v>
      </c>
      <c r="K47" s="1877" t="s">
        <v>1527</v>
      </c>
      <c r="L47" s="1878">
        <f ca="1">INDIRECT("'数据-取费表'!d"&amp;$G$1)</f>
        <v>40</v>
      </c>
      <c r="M47" s="1833" t="str">
        <f>IF(ISNUMBER(FIND("住宅",C1)),"住宅","非住宅")</f>
        <v>非住宅</v>
      </c>
      <c r="O47" s="1879" t="s">
        <v>1040</v>
      </c>
      <c r="P47" s="1880" t="s">
        <v>1528</v>
      </c>
      <c r="Q47" s="1881">
        <f ca="1">C40+J29</f>
        <v>5307178</v>
      </c>
      <c r="R47" s="1881" t="s">
        <v>1529</v>
      </c>
    </row>
    <row r="48" spans="1:18" s="1837" customFormat="1" ht="28.5" thickBot="1">
      <c r="A48" s="1356" t="s">
        <v>1135</v>
      </c>
      <c r="B48" s="344" t="s">
        <v>1401</v>
      </c>
      <c r="C48" s="1812">
        <f ca="1">C49+C53+C55</f>
        <v>0</v>
      </c>
      <c r="D48" s="1358"/>
      <c r="E48" s="1359"/>
      <c r="F48" s="1181"/>
      <c r="G48" s="789"/>
      <c r="H48" s="790"/>
      <c r="I48" s="1882" t="s">
        <v>1530</v>
      </c>
      <c r="J48" s="1883" t="s">
        <v>3146</v>
      </c>
      <c r="K48" s="1884" t="s">
        <v>1531</v>
      </c>
      <c r="L48" s="1885">
        <f ca="1">INDIRECT("'数据-取费表'!f"&amp;$G$1)</f>
        <v>31.38</v>
      </c>
      <c r="O48" s="1879" t="s">
        <v>1041</v>
      </c>
      <c r="P48" s="1880" t="s">
        <v>1532</v>
      </c>
      <c r="Q48" s="1881">
        <f ca="1">J60</f>
        <v>21595</v>
      </c>
      <c r="R48" s="1881" t="s">
        <v>1533</v>
      </c>
    </row>
    <row r="49" spans="1:18" s="1837" customFormat="1" ht="13.5" thickBot="1">
      <c r="A49" s="1194" t="s">
        <v>1136</v>
      </c>
      <c r="B49" s="1824" t="s">
        <v>1490</v>
      </c>
      <c r="C49" s="1360">
        <f ca="1">ROUND(F49*F51*F50*(1-F52),0)</f>
        <v>0</v>
      </c>
      <c r="D49" s="1272" t="s">
        <v>1404</v>
      </c>
      <c r="E49" s="1825" t="s">
        <v>1491</v>
      </c>
      <c r="F49" s="1277"/>
      <c r="G49" s="1886"/>
      <c r="H49" s="790"/>
      <c r="I49" s="1882" t="s">
        <v>1534</v>
      </c>
      <c r="J49" s="1887">
        <v>2014</v>
      </c>
      <c r="K49" s="1884" t="s">
        <v>1535</v>
      </c>
      <c r="L49" s="1887"/>
      <c r="O49" s="1888" t="s">
        <v>1042</v>
      </c>
      <c r="P49" s="1880" t="s">
        <v>1536</v>
      </c>
      <c r="Q49" s="1881">
        <f ca="1">C29</f>
        <v>787069</v>
      </c>
      <c r="R49" s="1881" t="s">
        <v>1529</v>
      </c>
    </row>
    <row r="50" spans="1:18" s="1837" customFormat="1" ht="13.5" thickBot="1">
      <c r="A50" s="1195"/>
      <c r="B50" s="1198"/>
      <c r="C50" s="1199"/>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2610296</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30.75" customHeight="1" thickBot="1">
      <c r="A53" s="1357" t="s">
        <v>1137</v>
      </c>
      <c r="B53" s="368" t="s">
        <v>1409</v>
      </c>
      <c r="C53" s="360">
        <f ca="1">ROUND(IF(F53="押一",C49/12*F11,IF(F53="押二",C49/12*2*F11,IF(F53="押三",C49/12*3*F11,C54*F11))),0)</f>
        <v>0</v>
      </c>
      <c r="D53" s="1819" t="s">
        <v>3041</v>
      </c>
      <c r="E53" s="357" t="s">
        <v>1410</v>
      </c>
      <c r="F53" s="1362"/>
      <c r="I53" s="1899" t="s">
        <v>1547</v>
      </c>
      <c r="J53" s="1900">
        <f ca="1">IF(M47="住宅",J51,IF(D1="——",MIN(J51,L48),IF(D1="在建（套用方法）",MIN(J51,L48-'数据-取费表'!B24),IF(D1="土地（套用方法）",MIN(J51,L48-'数据-取费表'!B20)))))</f>
        <v>31.38</v>
      </c>
      <c r="K53" s="3280" t="s">
        <v>1548</v>
      </c>
      <c r="L53" s="3281"/>
      <c r="O53" s="1879" t="s">
        <v>1046</v>
      </c>
      <c r="P53" s="1880" t="s">
        <v>1549</v>
      </c>
      <c r="Q53" s="1881">
        <f ca="1">Q47+Q48</f>
        <v>5328773</v>
      </c>
      <c r="R53" s="1881" t="s">
        <v>1047</v>
      </c>
    </row>
    <row r="54" spans="1:18" s="1837" customFormat="1" ht="13.5" thickBot="1">
      <c r="A54" s="1194"/>
      <c r="B54" s="1935" t="s">
        <v>1603</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c r="O55" s="1872" t="s">
        <v>1522</v>
      </c>
      <c r="P55" s="1873" t="s">
        <v>1523</v>
      </c>
      <c r="Q55" s="1874" t="s">
        <v>1524</v>
      </c>
      <c r="R55" s="1874" t="s">
        <v>1525</v>
      </c>
    </row>
    <row r="56" spans="1:18" s="1837" customFormat="1" ht="36" customHeight="1" thickTop="1" thickBot="1">
      <c r="A56" s="1176">
        <v>2</v>
      </c>
      <c r="B56" s="1177" t="s">
        <v>1414</v>
      </c>
      <c r="C56" s="275">
        <f ca="1">C13</f>
        <v>731974</v>
      </c>
      <c r="D56" s="1908"/>
      <c r="E56" s="1909"/>
      <c r="F56" s="1901"/>
      <c r="I56" s="1910" t="s">
        <v>1554</v>
      </c>
      <c r="J56" s="1911" t="s">
        <v>3147</v>
      </c>
      <c r="K56" s="1882" t="s">
        <v>1555</v>
      </c>
      <c r="L56" s="1885" t="str">
        <f ca="1">IF(L48&lt;J51,"——",L48-J51)</f>
        <v>——</v>
      </c>
      <c r="O56" s="1879" t="s">
        <v>1040</v>
      </c>
      <c r="P56" s="1880" t="s">
        <v>1528</v>
      </c>
      <c r="Q56" s="1881">
        <f ca="1">C40+J29</f>
        <v>5307178</v>
      </c>
      <c r="R56" s="1881" t="s">
        <v>1529</v>
      </c>
    </row>
    <row r="57" spans="1:18" s="1837" customFormat="1" ht="24.75" thickBot="1">
      <c r="A57" s="1912"/>
      <c r="B57" s="1169" t="s">
        <v>1478</v>
      </c>
      <c r="C57" s="281">
        <f ca="1">C29</f>
        <v>787069</v>
      </c>
      <c r="D57" s="1913"/>
      <c r="E57" s="1914"/>
      <c r="F57" s="1915"/>
      <c r="I57" s="1916" t="s">
        <v>1556</v>
      </c>
      <c r="J57" s="1917">
        <f ca="1">IF(OR(M47="住宅",J51&lt;L48,J56="是"),"——",J51-L48)</f>
        <v>24.62</v>
      </c>
      <c r="K57" s="1882" t="s">
        <v>1605</v>
      </c>
      <c r="L57" s="1885" t="str">
        <f ca="1">IF(L48&lt;J51,"——",IF(L55="比较法",L49,IF(L55="基准地价",L50,L51)))</f>
        <v>——</v>
      </c>
      <c r="O57" s="1879" t="s">
        <v>1041</v>
      </c>
      <c r="P57" s="1880" t="s">
        <v>1606</v>
      </c>
      <c r="Q57" s="1881">
        <f ca="1">L60</f>
        <v>0</v>
      </c>
      <c r="R57" s="1881" t="s">
        <v>1607</v>
      </c>
    </row>
    <row r="58" spans="1:18" s="1837" customFormat="1" ht="24.75" thickBot="1">
      <c r="A58" s="359" t="s">
        <v>1030</v>
      </c>
      <c r="B58" s="1177" t="s">
        <v>1424</v>
      </c>
      <c r="C58" s="360">
        <f ca="1">ROUND(C59+C64+C65+C66,0)</f>
        <v>86981</v>
      </c>
      <c r="D58" s="1179" t="s">
        <v>1425</v>
      </c>
      <c r="E58" s="1180"/>
      <c r="F58" s="1181"/>
      <c r="I58" s="1916" t="s">
        <v>1560</v>
      </c>
      <c r="J58" s="1918">
        <f ca="1">IF(J55&lt;0.4,0.4,J55)</f>
        <v>0.41</v>
      </c>
      <c r="K58" s="1894" t="s">
        <v>1608</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ROUND(IF(项目基本情况!B11="自然人",C48*F59,C60+C61+C62),0)</f>
        <v>66206</v>
      </c>
      <c r="D59" s="1182" t="s">
        <v>1430</v>
      </c>
      <c r="E59" s="1183" t="s">
        <v>1431</v>
      </c>
      <c r="F59" s="367" t="str">
        <f ca="1">IF(项目基本情况!B11="企业","",IF(INDIRECT("'数据-取费表'!c"&amp;$G$1)="住宅",5%,IF(F49*F50*F51/12/(1+'数据-取费表'!C42)&gt;20000,12%,7%)))</f>
        <v/>
      </c>
      <c r="I59" s="1916" t="s">
        <v>1563</v>
      </c>
      <c r="J59" s="1917">
        <f ca="1">IF(OR(M47="住宅",J51&lt;L48,J56="是"),"——",ROUND(C29*J58,0))</f>
        <v>322698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IF(项目基本情况!B11="自然人","——",ROUND(C48*F60/(1+'数据-取费表'!C42),0))</f>
        <v>0</v>
      </c>
      <c r="D60" s="1183" t="s">
        <v>1434</v>
      </c>
      <c r="E60" s="1169" t="s">
        <v>1422</v>
      </c>
      <c r="F60" s="376">
        <f t="shared" ref="F60:F66" si="0">F32</f>
        <v>5.6000000000000001E-2</v>
      </c>
      <c r="I60" s="1919" t="s">
        <v>1565</v>
      </c>
      <c r="J60" s="1920">
        <f ca="1">IF(OR(M47="住宅",J51&lt;L48,J56="是"),"0",ROUND(J59/(1+J52)^J53,0))</f>
        <v>21595</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IF(项目基本情况!B11="自然人","——",IF(D61="按租金收入计税",ROUND(C48*F61,0),IF(D61="按房产原值计税",ROUND(C57*F61*0.7,0),INDIRECT("'数据-取费表'!Aj"&amp;$G$1))))</f>
        <v>66114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IF(项目基本情况!B11="自然人","——",ROUND(F62*F63,0))</f>
        <v>92</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5307178</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ROUND(C57*F64,0)</f>
        <v>19677</v>
      </c>
      <c r="D64" s="1183" t="s">
        <v>1502</v>
      </c>
      <c r="E64" s="1169" t="s">
        <v>1494</v>
      </c>
      <c r="F64" s="373">
        <f t="shared" ca="1" si="0"/>
        <v>2.5000000000000001E-2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ROUND(C56*F65,0)</f>
        <v>1098</v>
      </c>
      <c r="D65" s="1183" t="s">
        <v>1454</v>
      </c>
      <c r="E65" s="1169" t="s">
        <v>1455</v>
      </c>
      <c r="F65" s="375">
        <f t="shared" ca="1" si="0"/>
        <v>1.5E-3</v>
      </c>
      <c r="I65" s="1923" t="s">
        <v>1579</v>
      </c>
      <c r="J65" s="1924">
        <v>40</v>
      </c>
      <c r="K65" s="1924">
        <v>30</v>
      </c>
      <c r="L65" s="1924">
        <v>50</v>
      </c>
      <c r="M65" s="1926">
        <v>0.02</v>
      </c>
      <c r="O65" s="1879" t="s">
        <v>1040</v>
      </c>
      <c r="P65" s="1880" t="s">
        <v>1580</v>
      </c>
      <c r="Q65" s="1881">
        <f ca="1">C40+J29</f>
        <v>5307178</v>
      </c>
      <c r="R65" s="1881" t="s">
        <v>1529</v>
      </c>
    </row>
    <row r="66" spans="1:18" s="1837" customFormat="1" ht="16.5" thickBot="1">
      <c r="A66" s="1201" t="s">
        <v>1504</v>
      </c>
      <c r="B66" s="1169" t="s">
        <v>1439</v>
      </c>
      <c r="C66" s="24">
        <f ca="1">ROUND(C48*F66,0)</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-86981</v>
      </c>
      <c r="D67" s="1182" t="s">
        <v>1464</v>
      </c>
      <c r="E67" s="1187"/>
      <c r="F67" s="1188"/>
      <c r="O67" s="1888" t="s">
        <v>1042</v>
      </c>
      <c r="P67" s="1880" t="s">
        <v>1562</v>
      </c>
      <c r="Q67" s="1927">
        <f ca="1">L51</f>
        <v>2610296</v>
      </c>
      <c r="R67" s="1881" t="s">
        <v>1582</v>
      </c>
    </row>
    <row r="68" spans="1:18" s="1837" customFormat="1" ht="16.5" thickBot="1">
      <c r="A68" s="1166" t="s">
        <v>1032</v>
      </c>
      <c r="B68" s="1167" t="s">
        <v>1485</v>
      </c>
      <c r="C68" s="345">
        <f ca="1">ROUND(C67*(1-((1+F70)/(1+F68))^F69)/(F68-F70),0)</f>
        <v>-2106908</v>
      </c>
      <c r="D68" s="1184" t="s">
        <v>1469</v>
      </c>
      <c r="E68" s="1169" t="s">
        <v>1470</v>
      </c>
      <c r="F68" s="356">
        <f ca="1">F40</f>
        <v>0.05</v>
      </c>
      <c r="O68" s="1888" t="s">
        <v>1043</v>
      </c>
      <c r="P68" s="1928" t="s">
        <v>1583</v>
      </c>
      <c r="Q68" s="1881">
        <f ca="1">ROUND(Q69-Q70*Q71,0)</f>
        <v>156882</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219100</v>
      </c>
      <c r="R69" s="1881" t="s">
        <v>1529</v>
      </c>
    </row>
    <row r="70" spans="1:18" s="1837" customFormat="1" ht="13.5" thickBot="1">
      <c r="A70" s="1173"/>
      <c r="B70" s="1174"/>
      <c r="C70" s="354"/>
      <c r="D70" s="1185"/>
      <c r="E70" s="1169" t="s">
        <v>1477</v>
      </c>
      <c r="F70" s="1271">
        <f ca="1">F42</f>
        <v>3.5000000000000003E-2</v>
      </c>
      <c r="O70" s="1888" t="s">
        <v>1049</v>
      </c>
      <c r="P70" s="1928" t="s">
        <v>1585</v>
      </c>
      <c r="Q70" s="1881">
        <f ca="1">C13</f>
        <v>731974</v>
      </c>
      <c r="R70" s="1881" t="s">
        <v>1529</v>
      </c>
    </row>
    <row r="71" spans="1:18" s="1837" customFormat="1" ht="13.5" thickBot="1">
      <c r="A71" s="1190" t="s">
        <v>1033</v>
      </c>
      <c r="B71" s="1191" t="s">
        <v>1487</v>
      </c>
      <c r="C71" s="381">
        <f ca="1">ROUND(C68/F71,0)</f>
        <v>-15805</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62218</v>
      </c>
      <c r="D75" s="1837"/>
      <c r="E75" s="1837"/>
      <c r="F75" s="1837"/>
      <c r="K75" s="1863"/>
      <c r="L75" s="1837"/>
      <c r="O75" s="1879" t="s">
        <v>1046</v>
      </c>
      <c r="P75" s="1880" t="s">
        <v>1549</v>
      </c>
      <c r="Q75" s="1881">
        <f ca="1">Q65+Q66</f>
        <v>5307178</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0.71599999999999997</v>
      </c>
    </row>
    <row r="80" spans="1:18">
      <c r="B80" s="385" t="s">
        <v>1511</v>
      </c>
      <c r="C80" s="317">
        <f ca="1">ROUND(C75/C39,3)</f>
        <v>0.28399999999999997</v>
      </c>
    </row>
    <row r="81" spans="2:3">
      <c r="B81" s="313" t="s">
        <v>1512</v>
      </c>
      <c r="C81" s="281"/>
    </row>
    <row r="82" spans="2:3">
      <c r="B82" s="316" t="s">
        <v>1513</v>
      </c>
      <c r="C82" s="318">
        <f ca="1">1-C83</f>
        <v>0.86199999999999999</v>
      </c>
    </row>
    <row r="83" spans="2:3">
      <c r="B83" s="316" t="s">
        <v>1514</v>
      </c>
      <c r="C83" s="317">
        <f ca="1">ROUND(C13/C40,3)</f>
        <v>0.13800000000000001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中信信托有限责任公司：</v>
      </c>
    </row>
    <row r="4" spans="1:1" ht="36">
      <c r="A4" s="1942" t="str">
        <f>"受贵公司委托，我公司对"&amp;项目基本情况!S1&amp;"进行了预评估。"</f>
        <v>受贵公司委托，我公司对江苏省镇江市京口区解放路27号镇江财富广场8幢101室等共79套商业用房房地产抵押价值进行了预评估。</v>
      </c>
    </row>
    <row r="5" spans="1:1" ht="18.75">
      <c r="A5" s="1943" t="s">
        <v>1612</v>
      </c>
    </row>
    <row r="6" spans="1:1" ht="18.75">
      <c r="A6" s="1944" t="s">
        <v>1613</v>
      </c>
    </row>
    <row r="7" spans="1:1" ht="90">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1" ht="57.75">
      <c r="A8" s="1945" t="s">
        <v>1614</v>
      </c>
    </row>
    <row r="9" spans="1:1" ht="18.75">
      <c r="A9" s="1944" t="s">
        <v>1615</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1" spans="1:1" ht="76.5">
      <c r="A11" s="1945" t="s">
        <v>1616</v>
      </c>
    </row>
    <row r="12" spans="1:1" ht="18.75">
      <c r="A12" s="1943" t="s">
        <v>1617</v>
      </c>
    </row>
    <row r="13" spans="1:1" ht="38.25" customHeight="1">
      <c r="A13" s="1946" t="str">
        <f>IF(项目基本情况!B8="抵押",IF(项目基本情况!B5=项目基本情况!B6,定义!C51,定义!B51),定义!D51)</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2018年9月3日（评估专业人员实地查勘之日）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本次评估采用的主估价方法为比较法和收益法。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85" t="s">
        <v>1076</v>
      </c>
      <c r="B1" s="3286"/>
      <c r="C1" s="3287"/>
      <c r="D1" s="3288">
        <f>SUM(I10,I15,I20,I21,I23)</f>
        <v>0</v>
      </c>
      <c r="E1" s="3288"/>
      <c r="F1" s="3288"/>
      <c r="G1" s="3288"/>
      <c r="H1" s="3288"/>
      <c r="I1" s="3289"/>
    </row>
    <row r="2" spans="1:9">
      <c r="A2" s="3290" t="s">
        <v>1077</v>
      </c>
      <c r="B2" s="3291" t="s">
        <v>1078</v>
      </c>
      <c r="C2" s="3291"/>
      <c r="D2" s="1297" t="s">
        <v>1079</v>
      </c>
      <c r="E2" s="1297" t="s">
        <v>1080</v>
      </c>
      <c r="F2" s="1297" t="s">
        <v>1081</v>
      </c>
      <c r="G2" s="1297" t="s">
        <v>1082</v>
      </c>
      <c r="H2" s="1297" t="s">
        <v>1083</v>
      </c>
      <c r="I2" s="1298" t="s">
        <v>1084</v>
      </c>
    </row>
    <row r="3" spans="1:9">
      <c r="A3" s="3290"/>
      <c r="B3" s="3291" t="s">
        <v>1085</v>
      </c>
      <c r="C3" s="3291"/>
      <c r="D3" s="1299"/>
      <c r="E3" s="1297"/>
      <c r="F3" s="1300"/>
      <c r="G3" s="1300"/>
      <c r="H3" s="1301"/>
      <c r="I3" s="1302">
        <f>ROUND(D3*E3*F3*G3*H3/10000,0)</f>
        <v>0</v>
      </c>
    </row>
    <row r="4" spans="1:9">
      <c r="A4" s="3290"/>
      <c r="B4" s="3291" t="s">
        <v>1086</v>
      </c>
      <c r="C4" s="3291"/>
      <c r="D4" s="1299"/>
      <c r="E4" s="1297"/>
      <c r="F4" s="1300"/>
      <c r="G4" s="1300"/>
      <c r="H4" s="1301"/>
      <c r="I4" s="1302">
        <f t="shared" ref="I4:I9" si="0">ROUND(D4*E4*F4*G4*H4/10000,0)</f>
        <v>0</v>
      </c>
    </row>
    <row r="5" spans="1:9">
      <c r="A5" s="3290"/>
      <c r="B5" s="3291" t="s">
        <v>1087</v>
      </c>
      <c r="C5" s="3291"/>
      <c r="D5" s="1299"/>
      <c r="E5" s="1297"/>
      <c r="F5" s="1300"/>
      <c r="G5" s="1300"/>
      <c r="H5" s="1301"/>
      <c r="I5" s="1302">
        <f t="shared" si="0"/>
        <v>0</v>
      </c>
    </row>
    <row r="6" spans="1:9">
      <c r="A6" s="3290"/>
      <c r="B6" s="3291" t="s">
        <v>1088</v>
      </c>
      <c r="C6" s="3291"/>
      <c r="D6" s="1299"/>
      <c r="E6" s="1297"/>
      <c r="F6" s="1300"/>
      <c r="G6" s="1300"/>
      <c r="H6" s="1301"/>
      <c r="I6" s="1302">
        <f t="shared" si="0"/>
        <v>0</v>
      </c>
    </row>
    <row r="7" spans="1:9">
      <c r="A7" s="3290"/>
      <c r="B7" s="3291" t="s">
        <v>1089</v>
      </c>
      <c r="C7" s="3291"/>
      <c r="D7" s="1299"/>
      <c r="E7" s="1297"/>
      <c r="F7" s="1300"/>
      <c r="G7" s="1300"/>
      <c r="H7" s="1301"/>
      <c r="I7" s="1302">
        <f t="shared" si="0"/>
        <v>0</v>
      </c>
    </row>
    <row r="8" spans="1:9">
      <c r="A8" s="3290"/>
      <c r="B8" s="3291" t="s">
        <v>1090</v>
      </c>
      <c r="C8" s="3291"/>
      <c r="D8" s="1299"/>
      <c r="E8" s="1297"/>
      <c r="F8" s="1300"/>
      <c r="G8" s="1300"/>
      <c r="H8" s="1301"/>
      <c r="I8" s="1302">
        <f t="shared" si="0"/>
        <v>0</v>
      </c>
    </row>
    <row r="9" spans="1:9">
      <c r="A9" s="3290"/>
      <c r="B9" s="3291" t="s">
        <v>1091</v>
      </c>
      <c r="C9" s="3291"/>
      <c r="D9" s="1299"/>
      <c r="E9" s="1297"/>
      <c r="F9" s="1300"/>
      <c r="G9" s="1300"/>
      <c r="H9" s="1301"/>
      <c r="I9" s="1302">
        <f t="shared" si="0"/>
        <v>0</v>
      </c>
    </row>
    <row r="10" spans="1:9">
      <c r="A10" s="3290"/>
      <c r="B10" s="3292" t="s">
        <v>1092</v>
      </c>
      <c r="C10" s="3292"/>
      <c r="D10" s="1303"/>
      <c r="E10" s="1303" t="e">
        <f>ROUND(D1*10000/D10/H9,0)</f>
        <v>#DIV/0!</v>
      </c>
      <c r="F10" s="1304"/>
      <c r="G10" s="1304"/>
      <c r="H10" s="1305"/>
      <c r="I10" s="1306">
        <f>SUM(I3:I9)</f>
        <v>0</v>
      </c>
    </row>
    <row r="11" spans="1:9" ht="14.25">
      <c r="A11" s="3290" t="s">
        <v>1093</v>
      </c>
      <c r="B11" s="3291" t="s">
        <v>1094</v>
      </c>
      <c r="C11" s="3291"/>
      <c r="D11" s="1299" t="s">
        <v>1095</v>
      </c>
      <c r="E11" s="1299" t="s">
        <v>1096</v>
      </c>
      <c r="F11" s="1300" t="s">
        <v>1097</v>
      </c>
      <c r="G11" s="1300" t="s">
        <v>1083</v>
      </c>
      <c r="H11" s="1307" t="s">
        <v>1098</v>
      </c>
      <c r="I11" s="1298" t="s">
        <v>1084</v>
      </c>
    </row>
    <row r="12" spans="1:9">
      <c r="A12" s="3290"/>
      <c r="B12" s="3291" t="s">
        <v>1099</v>
      </c>
      <c r="C12" s="3291"/>
      <c r="D12" s="1299"/>
      <c r="E12" s="1299"/>
      <c r="F12" s="1300"/>
      <c r="G12" s="1301"/>
      <c r="H12" s="1308"/>
      <c r="I12" s="1298">
        <f>ROUND(D12*E12*F12*G12/10000,0)</f>
        <v>0</v>
      </c>
    </row>
    <row r="13" spans="1:9">
      <c r="A13" s="3290"/>
      <c r="B13" s="3291" t="s">
        <v>1100</v>
      </c>
      <c r="C13" s="3291"/>
      <c r="D13" s="1299"/>
      <c r="E13" s="1299"/>
      <c r="F13" s="1300"/>
      <c r="G13" s="1301"/>
      <c r="H13" s="1308"/>
      <c r="I13" s="1298">
        <f>ROUND(D13*E13*F13*G13/10000,0)</f>
        <v>0</v>
      </c>
    </row>
    <row r="14" spans="1:9">
      <c r="A14" s="3290"/>
      <c r="B14" s="3291" t="s">
        <v>1101</v>
      </c>
      <c r="C14" s="3291"/>
      <c r="D14" s="1299"/>
      <c r="E14" s="1299"/>
      <c r="F14" s="1300"/>
      <c r="G14" s="1301"/>
      <c r="H14" s="1308"/>
      <c r="I14" s="1298">
        <f>ROUND(D14*E14*F14*G14/10000,0)</f>
        <v>0</v>
      </c>
    </row>
    <row r="15" spans="1:9">
      <c r="A15" s="3290"/>
      <c r="B15" s="3292" t="s">
        <v>1092</v>
      </c>
      <c r="C15" s="3292"/>
      <c r="D15" s="1303"/>
      <c r="E15" s="1303">
        <f>SUM(E12:E14)</f>
        <v>0</v>
      </c>
      <c r="F15" s="1304"/>
      <c r="G15" s="1301"/>
      <c r="H15" s="1308"/>
      <c r="I15" s="1309">
        <f>SUM(I12:I14)</f>
        <v>0</v>
      </c>
    </row>
    <row r="16" spans="1:9" ht="24">
      <c r="A16" s="3290" t="s">
        <v>1102</v>
      </c>
      <c r="B16" s="3291" t="s">
        <v>1103</v>
      </c>
      <c r="C16" s="3291"/>
      <c r="D16" s="1299" t="s">
        <v>1079</v>
      </c>
      <c r="E16" s="1310" t="s">
        <v>1104</v>
      </c>
      <c r="F16" s="1300" t="s">
        <v>1105</v>
      </c>
      <c r="G16" s="1301" t="s">
        <v>1083</v>
      </c>
      <c r="H16" s="1307" t="s">
        <v>1098</v>
      </c>
      <c r="I16" s="1298" t="s">
        <v>1084</v>
      </c>
    </row>
    <row r="17" spans="1:9" ht="14.25">
      <c r="A17" s="3290"/>
      <c r="B17" s="3291" t="s">
        <v>1106</v>
      </c>
      <c r="C17" s="3291"/>
      <c r="D17" s="1299"/>
      <c r="E17" s="1299"/>
      <c r="F17" s="1300"/>
      <c r="G17" s="1301"/>
      <c r="H17" s="1311"/>
      <c r="I17" s="1312">
        <f>ROUND(D17*E17*F17*G17/10000,0)</f>
        <v>0</v>
      </c>
    </row>
    <row r="18" spans="1:9" ht="14.25">
      <c r="A18" s="3290"/>
      <c r="B18" s="3291" t="s">
        <v>1107</v>
      </c>
      <c r="C18" s="3291"/>
      <c r="D18" s="1299"/>
      <c r="E18" s="1299"/>
      <c r="F18" s="1300"/>
      <c r="G18" s="1301"/>
      <c r="H18" s="1311"/>
      <c r="I18" s="1312">
        <f>ROUND(D18*E18*F18*G18/10000,0)</f>
        <v>0</v>
      </c>
    </row>
    <row r="19" spans="1:9" ht="14.25">
      <c r="A19" s="3290"/>
      <c r="B19" s="3291" t="s">
        <v>1108</v>
      </c>
      <c r="C19" s="3291"/>
      <c r="D19" s="1299"/>
      <c r="E19" s="1299"/>
      <c r="F19" s="1300"/>
      <c r="G19" s="1301"/>
      <c r="H19" s="1311"/>
      <c r="I19" s="1312">
        <f>ROUND(D19*E19*F19*G19/10000,0)</f>
        <v>0</v>
      </c>
    </row>
    <row r="20" spans="1:9">
      <c r="A20" s="3290"/>
      <c r="B20" s="3292" t="s">
        <v>1092</v>
      </c>
      <c r="C20" s="3292"/>
      <c r="D20" s="1303">
        <f>SUM(D17:D19)</f>
        <v>0</v>
      </c>
      <c r="E20" s="1303"/>
      <c r="F20" s="1304"/>
      <c r="G20" s="1301"/>
      <c r="H20" s="1308"/>
      <c r="I20" s="1309">
        <f>SUM(I17:I19)</f>
        <v>0</v>
      </c>
    </row>
    <row r="21" spans="1:9">
      <c r="A21" s="3290" t="s">
        <v>1109</v>
      </c>
      <c r="B21" s="3294"/>
      <c r="C21" s="3294"/>
      <c r="D21" s="3294"/>
      <c r="E21" s="3294"/>
      <c r="F21" s="3294"/>
      <c r="G21" s="3294"/>
      <c r="H21" s="1760">
        <v>0.1</v>
      </c>
      <c r="I21" s="1306">
        <f>ROUND(I10*H21,0)</f>
        <v>0</v>
      </c>
    </row>
    <row r="22" spans="1:9" ht="14.25">
      <c r="A22" s="3295" t="s">
        <v>1110</v>
      </c>
      <c r="B22" s="3296"/>
      <c r="C22" s="3297"/>
      <c r="D22" s="1313" t="s">
        <v>1111</v>
      </c>
      <c r="E22" s="1313" t="s">
        <v>1112</v>
      </c>
      <c r="F22" s="1314" t="s">
        <v>1113</v>
      </c>
      <c r="G22" s="1314" t="s">
        <v>1114</v>
      </c>
      <c r="H22" s="1307" t="s">
        <v>1115</v>
      </c>
      <c r="I22" s="1298" t="s">
        <v>1116</v>
      </c>
    </row>
    <row r="23" spans="1:9" ht="14.25" thickBot="1">
      <c r="A23" s="3298"/>
      <c r="B23" s="3299"/>
      <c r="C23" s="3300"/>
      <c r="D23" s="1315"/>
      <c r="E23" s="1315"/>
      <c r="F23" s="1315"/>
      <c r="G23" s="1316"/>
      <c r="H23" s="1317"/>
      <c r="I23" s="1318">
        <f>ROUND(E23*D23*F23*(1-G23)/10000,0)</f>
        <v>0</v>
      </c>
    </row>
    <row r="26" spans="1:9">
      <c r="A26" s="1319" t="s">
        <v>1117</v>
      </c>
      <c r="B26" s="1319"/>
      <c r="C26" s="1319"/>
      <c r="D26" s="1319"/>
      <c r="E26" s="3301">
        <f>C27-C30-C31-C32</f>
        <v>0</v>
      </c>
      <c r="F26" s="3301"/>
      <c r="G26" s="3301"/>
      <c r="H26" s="1732" t="s">
        <v>1340</v>
      </c>
    </row>
    <row r="27" spans="1:9">
      <c r="A27" s="1320">
        <v>1</v>
      </c>
      <c r="B27" s="1321" t="s">
        <v>1118</v>
      </c>
      <c r="C27" s="1321">
        <f>C28+C29</f>
        <v>0</v>
      </c>
      <c r="D27" s="1321"/>
      <c r="E27" s="3302"/>
      <c r="F27" s="3302"/>
      <c r="G27" s="3302"/>
    </row>
    <row r="28" spans="1:9">
      <c r="A28" s="1322" t="s">
        <v>1119</v>
      </c>
      <c r="B28" s="1321" t="s">
        <v>1120</v>
      </c>
      <c r="C28" s="1321"/>
      <c r="D28" s="1321"/>
      <c r="E28" s="3302"/>
      <c r="F28" s="3302"/>
      <c r="G28" s="330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93"/>
      <c r="F32" s="3293"/>
      <c r="G32" s="3293"/>
    </row>
    <row r="33" spans="1:7" hidden="1">
      <c r="A33" s="3303" t="s">
        <v>1129</v>
      </c>
      <c r="B33" s="3304"/>
      <c r="C33" s="3304"/>
      <c r="D33" s="3305"/>
      <c r="E33" s="3301"/>
      <c r="F33" s="3301"/>
      <c r="G33" s="3301"/>
    </row>
    <row r="34" spans="1:7" hidden="1">
      <c r="A34" s="1324">
        <v>1</v>
      </c>
      <c r="B34" s="1321" t="s">
        <v>1130</v>
      </c>
      <c r="C34" s="1321"/>
      <c r="D34" s="1321"/>
      <c r="E34" s="3302"/>
      <c r="F34" s="3302"/>
      <c r="G34" s="3302"/>
    </row>
    <row r="35" spans="1:7" hidden="1">
      <c r="A35" s="1324">
        <v>2</v>
      </c>
      <c r="B35" s="1321" t="s">
        <v>1131</v>
      </c>
      <c r="C35" s="1321"/>
      <c r="D35" s="1321"/>
      <c r="E35" s="3302"/>
      <c r="F35" s="3302"/>
      <c r="G35" s="3302"/>
    </row>
    <row r="36" spans="1:7" hidden="1">
      <c r="A36" s="1324">
        <v>3</v>
      </c>
      <c r="B36" s="1321" t="s">
        <v>1132</v>
      </c>
      <c r="C36" s="1321"/>
      <c r="D36" s="1321"/>
      <c r="E36" s="3302"/>
      <c r="F36" s="3302"/>
      <c r="G36" s="3302"/>
    </row>
    <row r="37" spans="1:7" hidden="1">
      <c r="A37" s="1324">
        <v>4</v>
      </c>
      <c r="B37" s="1321" t="s">
        <v>1133</v>
      </c>
      <c r="C37" s="1321"/>
      <c r="D37" s="1321"/>
      <c r="E37" s="3302"/>
      <c r="F37" s="3302"/>
      <c r="G37" s="3302"/>
    </row>
    <row r="38" spans="1:7" hidden="1">
      <c r="A38" s="3303" t="s">
        <v>1134</v>
      </c>
      <c r="B38" s="3304"/>
      <c r="C38" s="3304"/>
      <c r="D38" s="3305"/>
      <c r="E38" s="3301"/>
      <c r="F38" s="3301"/>
      <c r="G38" s="33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4" t="s">
        <v>2701</v>
      </c>
      <c r="C1" s="1616" t="s">
        <v>2529</v>
      </c>
      <c r="D1" s="1617"/>
      <c r="E1" s="1626"/>
      <c r="F1" s="2579"/>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81"/>
      <c r="D2" s="1124" t="e">
        <f ca="1">SUMIF(INDIRECT("'"&amp;F2&amp;"'"&amp;"!A:A"),"承租人权益价值",INDIRECT("'"&amp;F2&amp;"'"&amp;"!c:c"))</f>
        <v>#REF!</v>
      </c>
      <c r="E2" s="2582" t="s">
        <v>2327</v>
      </c>
      <c r="F2" s="2583"/>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2328</v>
      </c>
      <c r="B3" s="608" t="e">
        <f ca="1">IF(C2="——",C43,ROUND(B2*10000/D3,0))</f>
        <v>#DIV/0!</v>
      </c>
      <c r="C3" s="399" t="s">
        <v>2643</v>
      </c>
      <c r="D3" s="398">
        <f>IF(D1="",'数据-汇总表'!E3,SUMIF('数据-汇总表'!$C19:$C33,D1,'数据-汇总表'!$E19:$E33))</f>
        <v>133.31</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29"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2545</v>
      </c>
      <c r="D6" s="3227"/>
      <c r="E6" s="3228" t="s">
        <v>2545</v>
      </c>
      <c r="F6" s="3229"/>
      <c r="G6" s="3226" t="s">
        <v>2545</v>
      </c>
      <c r="H6" s="3227"/>
      <c r="I6" s="3226" t="s">
        <v>2545</v>
      </c>
      <c r="J6" s="3227"/>
      <c r="K6" s="609"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16" t="s">
        <v>2548</v>
      </c>
      <c r="Q7" s="3244"/>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0" si="3">D8/F8</f>
        <v>#DIV/0!</v>
      </c>
      <c r="AB8" s="770" t="e">
        <f t="shared" ref="AB8:AB40" si="4">D8/H8</f>
        <v>#DIV/0!</v>
      </c>
      <c r="AC8" s="770"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48"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48"/>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48"/>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770" t="e">
        <f t="shared" si="5"/>
        <v>#N/A</v>
      </c>
    </row>
    <row r="12" spans="1:29" s="117" customFormat="1" ht="15">
      <c r="A12" s="430"/>
      <c r="B12" s="2595">
        <v>111</v>
      </c>
      <c r="C12" s="431"/>
      <c r="D12" s="432">
        <v>100</v>
      </c>
      <c r="E12" s="433"/>
      <c r="F12" s="135">
        <f>SUMIF(64:64,E12,65:65)-SUMIF(64:64,C12,65:65)+100</f>
        <v>100</v>
      </c>
      <c r="G12" s="2687"/>
      <c r="H12" s="135">
        <f>SUMIF(64:64,G12,65:65)-SUMIF(64:64,C12,65:65)+100</f>
        <v>100</v>
      </c>
      <c r="I12" s="468"/>
      <c r="J12" s="135">
        <f>SUMIF(64:64,I12,65:65)-SUMIF(64:64,C12,65:65)+100</f>
        <v>100</v>
      </c>
      <c r="K12" s="612"/>
      <c r="L12" s="1132"/>
      <c r="M12" s="1133"/>
      <c r="N12" s="1133"/>
      <c r="O12" s="1134"/>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
      <c r="A13" s="427"/>
      <c r="B13" s="2595">
        <v>111</v>
      </c>
      <c r="C13" s="433"/>
      <c r="D13" s="434">
        <v>100</v>
      </c>
      <c r="E13" s="433"/>
      <c r="F13" s="135">
        <f>SUMIF(66:66,E13,67:67)-SUMIF(66:66,C13,67:67)+100</f>
        <v>100</v>
      </c>
      <c r="G13" s="2687"/>
      <c r="H13" s="434">
        <f>SUMIF(66:66,G13,67:67)-SUMIF(66:66,C13,67:67)+100</f>
        <v>100</v>
      </c>
      <c r="I13" s="468"/>
      <c r="J13" s="434">
        <f>SUMIF(66:66,I13,67:67)-SUMIF(66:66,C13,67:67)+100</f>
        <v>100</v>
      </c>
      <c r="K13" s="612"/>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40"/>
      <c r="M14" s="1131"/>
      <c r="N14" s="1131"/>
      <c r="O14" s="1139"/>
      <c r="P14" s="3248"/>
      <c r="Q14" s="1790">
        <f t="shared" si="6"/>
        <v>111</v>
      </c>
      <c r="R14" s="767" t="s">
        <v>17</v>
      </c>
      <c r="S14" s="768">
        <f t="shared" si="0"/>
        <v>100</v>
      </c>
      <c r="T14" s="767" t="s">
        <v>17</v>
      </c>
      <c r="U14" s="768">
        <f t="shared" si="1"/>
        <v>100</v>
      </c>
      <c r="V14" s="767" t="s">
        <v>17</v>
      </c>
      <c r="W14" s="768">
        <f t="shared" si="2"/>
        <v>100</v>
      </c>
      <c r="X14" s="769"/>
      <c r="Y14" s="3085"/>
      <c r="Z14" s="55">
        <f t="shared" si="7"/>
        <v>111</v>
      </c>
      <c r="AA14" s="770">
        <f t="shared" si="3"/>
        <v>1</v>
      </c>
      <c r="AB14" s="770">
        <f t="shared" si="4"/>
        <v>1</v>
      </c>
      <c r="AC14" s="770">
        <f t="shared" si="5"/>
        <v>1</v>
      </c>
    </row>
    <row r="15" spans="1:29" ht="57">
      <c r="A15" s="439" t="s">
        <v>2558</v>
      </c>
      <c r="B15" s="69" t="s">
        <v>2702</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50" t="s">
        <v>2559</v>
      </c>
      <c r="Q15" s="1805" t="str">
        <f t="shared" si="6"/>
        <v>产业集聚程度</v>
      </c>
      <c r="R15" s="771" t="s">
        <v>17</v>
      </c>
      <c r="S15" s="772">
        <f t="shared" si="0"/>
        <v>100</v>
      </c>
      <c r="T15" s="771" t="s">
        <v>17</v>
      </c>
      <c r="U15" s="772">
        <f t="shared" si="1"/>
        <v>100</v>
      </c>
      <c r="V15" s="771" t="s">
        <v>17</v>
      </c>
      <c r="W15" s="772">
        <f t="shared" si="2"/>
        <v>100</v>
      </c>
      <c r="X15" s="1808"/>
      <c r="Y15" s="3250" t="s">
        <v>2559</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40"/>
      <c r="M16" s="1131"/>
      <c r="N16" s="1131"/>
      <c r="O16" s="1139"/>
      <c r="P16" s="3251"/>
      <c r="Q16" s="1805"/>
      <c r="R16" s="771"/>
      <c r="S16" s="772"/>
      <c r="T16" s="771"/>
      <c r="U16" s="772"/>
      <c r="V16" s="771"/>
      <c r="W16" s="772"/>
      <c r="X16" s="1808"/>
      <c r="Y16" s="3251"/>
      <c r="Z16" s="1809"/>
      <c r="AA16" s="1806">
        <v>1</v>
      </c>
      <c r="AB16" s="1806">
        <v>1</v>
      </c>
      <c r="AC16" s="1806">
        <v>1</v>
      </c>
    </row>
    <row r="17" spans="1:29" ht="85.5">
      <c r="A17" s="427"/>
      <c r="B17" s="450" t="s">
        <v>2098</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51"/>
      <c r="Q17" s="1805" t="str">
        <f>B17</f>
        <v>交通便捷度</v>
      </c>
      <c r="R17" s="771" t="s">
        <v>17</v>
      </c>
      <c r="S17" s="772">
        <f>F17</f>
        <v>100</v>
      </c>
      <c r="T17" s="771" t="s">
        <v>17</v>
      </c>
      <c r="U17" s="772">
        <f>H17</f>
        <v>100</v>
      </c>
      <c r="V17" s="771" t="s">
        <v>17</v>
      </c>
      <c r="W17" s="772">
        <f>J17</f>
        <v>100</v>
      </c>
      <c r="X17" s="1808"/>
      <c r="Y17" s="3251"/>
      <c r="Z17" s="1809" t="str">
        <f>Q17</f>
        <v>交通便捷度</v>
      </c>
      <c r="AA17" s="1806">
        <f t="shared" si="3"/>
        <v>1</v>
      </c>
      <c r="AB17" s="1806">
        <f t="shared" si="4"/>
        <v>1</v>
      </c>
      <c r="AC17" s="1806">
        <f t="shared" si="5"/>
        <v>1</v>
      </c>
    </row>
    <row r="18" spans="1:29" ht="15">
      <c r="A18" s="427"/>
      <c r="B18" s="455"/>
      <c r="C18" s="2603"/>
      <c r="D18" s="449"/>
      <c r="E18" s="2605"/>
      <c r="F18" s="452"/>
      <c r="G18" s="2604"/>
      <c r="H18" s="447"/>
      <c r="I18" s="2605"/>
      <c r="J18" s="447"/>
      <c r="K18" s="614"/>
      <c r="L18" s="1140"/>
      <c r="M18" s="1131"/>
      <c r="N18" s="1131"/>
      <c r="O18" s="1139"/>
      <c r="P18" s="3251"/>
      <c r="Q18" s="1805"/>
      <c r="R18" s="771"/>
      <c r="S18" s="772"/>
      <c r="T18" s="771"/>
      <c r="U18" s="772"/>
      <c r="V18" s="771"/>
      <c r="W18" s="772"/>
      <c r="X18" s="1808"/>
      <c r="Y18" s="3251"/>
      <c r="Z18" s="1809"/>
      <c r="AA18" s="1806">
        <v>1</v>
      </c>
      <c r="AB18" s="1806">
        <v>1</v>
      </c>
      <c r="AC18" s="1806">
        <v>1</v>
      </c>
    </row>
    <row r="19" spans="1:29" ht="42.75">
      <c r="A19" s="427"/>
      <c r="B19" s="450" t="s">
        <v>2687</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51"/>
      <c r="Q19" s="1805" t="str">
        <f>B19</f>
        <v>公共配套设施</v>
      </c>
      <c r="R19" s="771" t="s">
        <v>17</v>
      </c>
      <c r="S19" s="772">
        <f>F19</f>
        <v>100</v>
      </c>
      <c r="T19" s="771" t="s">
        <v>17</v>
      </c>
      <c r="U19" s="772">
        <f>H19</f>
        <v>100</v>
      </c>
      <c r="V19" s="771" t="s">
        <v>17</v>
      </c>
      <c r="W19" s="772">
        <f>J19</f>
        <v>100</v>
      </c>
      <c r="X19" s="1808"/>
      <c r="Y19" s="3251"/>
      <c r="Z19" s="1809" t="str">
        <f>Q19</f>
        <v>公共配套设施</v>
      </c>
      <c r="AA19" s="1806">
        <f t="shared" si="3"/>
        <v>1</v>
      </c>
      <c r="AB19" s="1806">
        <f t="shared" si="4"/>
        <v>1</v>
      </c>
      <c r="AC19" s="1806">
        <f t="shared" si="5"/>
        <v>1</v>
      </c>
    </row>
    <row r="20" spans="1:29" ht="15">
      <c r="A20" s="427"/>
      <c r="B20" s="455"/>
      <c r="C20" s="446"/>
      <c r="D20" s="447"/>
      <c r="E20" s="2600"/>
      <c r="F20" s="448"/>
      <c r="G20" s="2599"/>
      <c r="H20" s="447"/>
      <c r="I20" s="2600"/>
      <c r="J20" s="447"/>
      <c r="K20" s="614"/>
      <c r="L20" s="1140"/>
      <c r="M20" s="1131"/>
      <c r="N20" s="1131"/>
      <c r="O20" s="1139"/>
      <c r="P20" s="3251"/>
      <c r="Q20" s="1805"/>
      <c r="R20" s="771"/>
      <c r="S20" s="772"/>
      <c r="T20" s="771"/>
      <c r="U20" s="772"/>
      <c r="V20" s="771"/>
      <c r="W20" s="772"/>
      <c r="X20" s="1808"/>
      <c r="Y20" s="3251"/>
      <c r="Z20" s="1809"/>
      <c r="AA20" s="1806">
        <v>1</v>
      </c>
      <c r="AB20" s="1806">
        <v>1</v>
      </c>
      <c r="AC20" s="1806">
        <v>1</v>
      </c>
    </row>
    <row r="21" spans="1:29" ht="28.5">
      <c r="A21" s="427"/>
      <c r="B21" s="1380" t="s">
        <v>2688</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51"/>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8"/>
      <c r="G22" s="446"/>
      <c r="H22" s="447"/>
      <c r="I22" s="446"/>
      <c r="J22" s="447"/>
      <c r="K22" s="1379"/>
      <c r="L22" s="1140"/>
      <c r="M22" s="1131"/>
      <c r="N22" s="1131"/>
      <c r="O22" s="1139"/>
      <c r="P22" s="3251"/>
      <c r="Q22" s="1805"/>
      <c r="R22" s="771"/>
      <c r="S22" s="772"/>
      <c r="T22" s="771"/>
      <c r="U22" s="772"/>
      <c r="V22" s="771"/>
      <c r="W22" s="772"/>
      <c r="X22" s="1808"/>
      <c r="Y22" s="3251"/>
      <c r="Z22" s="1809"/>
      <c r="AA22" s="1806">
        <v>1</v>
      </c>
      <c r="AB22" s="1806">
        <v>1</v>
      </c>
      <c r="AC22" s="1806">
        <v>1</v>
      </c>
    </row>
    <row r="23" spans="1:29" ht="71.25">
      <c r="A23" s="427"/>
      <c r="B23" s="450" t="s">
        <v>2689</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51"/>
      <c r="Q23" s="1805" t="str">
        <f>B23</f>
        <v>环境质量</v>
      </c>
      <c r="R23" s="771" t="s">
        <v>17</v>
      </c>
      <c r="S23" s="772">
        <f>F23</f>
        <v>100</v>
      </c>
      <c r="T23" s="771" t="s">
        <v>17</v>
      </c>
      <c r="U23" s="772">
        <f>H23</f>
        <v>100</v>
      </c>
      <c r="V23" s="771" t="s">
        <v>17</v>
      </c>
      <c r="W23" s="772">
        <f>J23</f>
        <v>100</v>
      </c>
      <c r="X23" s="1808"/>
      <c r="Y23" s="3251"/>
      <c r="Z23" s="1809" t="str">
        <f>Q23</f>
        <v>环境质量</v>
      </c>
      <c r="AA23" s="1806">
        <f t="shared" si="3"/>
        <v>1</v>
      </c>
      <c r="AB23" s="1806">
        <f t="shared" si="4"/>
        <v>1</v>
      </c>
      <c r="AC23" s="1806">
        <f t="shared" si="5"/>
        <v>1</v>
      </c>
    </row>
    <row r="24" spans="1:29" ht="15">
      <c r="A24" s="427"/>
      <c r="B24" s="1380"/>
      <c r="C24" s="446"/>
      <c r="D24" s="447"/>
      <c r="E24" s="2600"/>
      <c r="F24" s="448"/>
      <c r="G24" s="2599"/>
      <c r="H24" s="447"/>
      <c r="I24" s="2600"/>
      <c r="J24" s="447"/>
      <c r="K24" s="614"/>
      <c r="L24" s="1140"/>
      <c r="M24" s="1131"/>
      <c r="N24" s="1131"/>
      <c r="O24" s="1139"/>
      <c r="P24" s="3251"/>
      <c r="Q24" s="1805"/>
      <c r="R24" s="771"/>
      <c r="S24" s="772"/>
      <c r="T24" s="771"/>
      <c r="U24" s="772"/>
      <c r="V24" s="771"/>
      <c r="W24" s="772"/>
      <c r="X24" s="1808"/>
      <c r="Y24" s="3251"/>
      <c r="Z24" s="1809"/>
      <c r="AA24" s="1806">
        <v>1</v>
      </c>
      <c r="AB24" s="1806">
        <v>1</v>
      </c>
      <c r="AC24" s="1806">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51"/>
      <c r="Q25" s="1805">
        <f>B25</f>
        <v>111</v>
      </c>
      <c r="R25" s="771" t="s">
        <v>17</v>
      </c>
      <c r="S25" s="772">
        <f>F25</f>
        <v>100</v>
      </c>
      <c r="T25" s="771" t="s">
        <v>17</v>
      </c>
      <c r="U25" s="772">
        <f>H25</f>
        <v>100</v>
      </c>
      <c r="V25" s="771" t="s">
        <v>17</v>
      </c>
      <c r="W25" s="772">
        <f>J25</f>
        <v>100</v>
      </c>
      <c r="X25" s="1808"/>
      <c r="Y25" s="3251"/>
      <c r="Z25" s="1809">
        <f>Q25</f>
        <v>111</v>
      </c>
      <c r="AA25" s="1806">
        <f t="shared" si="3"/>
        <v>1</v>
      </c>
      <c r="AB25" s="1806">
        <f t="shared" si="4"/>
        <v>1</v>
      </c>
      <c r="AC25" s="1806">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51"/>
      <c r="Q26" s="1805">
        <f t="shared" ref="Q26:Q40" si="11">B26</f>
        <v>111</v>
      </c>
      <c r="R26" s="771" t="s">
        <v>17</v>
      </c>
      <c r="S26" s="772">
        <f>F26</f>
        <v>100</v>
      </c>
      <c r="T26" s="771" t="s">
        <v>17</v>
      </c>
      <c r="U26" s="772">
        <f>H26</f>
        <v>100</v>
      </c>
      <c r="V26" s="771" t="s">
        <v>17</v>
      </c>
      <c r="W26" s="772">
        <f>J26</f>
        <v>100</v>
      </c>
      <c r="X26" s="1808"/>
      <c r="Y26" s="3251"/>
      <c r="Z26" s="1809">
        <f>Q26</f>
        <v>111</v>
      </c>
      <c r="AA26" s="1806">
        <f t="shared" si="3"/>
        <v>1</v>
      </c>
      <c r="AB26" s="1806">
        <f t="shared" si="4"/>
        <v>1</v>
      </c>
      <c r="AC26" s="1806">
        <f t="shared" si="5"/>
        <v>1</v>
      </c>
    </row>
    <row r="27" spans="1:29" s="117"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51"/>
      <c r="Q27" s="1790">
        <f t="shared" si="11"/>
        <v>111</v>
      </c>
      <c r="R27" s="767" t="s">
        <v>17</v>
      </c>
      <c r="S27" s="768">
        <f>F27</f>
        <v>100</v>
      </c>
      <c r="T27" s="767" t="s">
        <v>17</v>
      </c>
      <c r="U27" s="768">
        <f>H27</f>
        <v>100</v>
      </c>
      <c r="V27" s="767" t="s">
        <v>17</v>
      </c>
      <c r="W27" s="768">
        <f>J27</f>
        <v>100</v>
      </c>
      <c r="X27" s="769"/>
      <c r="Y27" s="3251"/>
      <c r="Z27" s="55">
        <f>Q27</f>
        <v>111</v>
      </c>
      <c r="AA27" s="1806">
        <f>D27/F27</f>
        <v>1</v>
      </c>
      <c r="AB27" s="1806">
        <f>D27/H27</f>
        <v>1</v>
      </c>
      <c r="AC27" s="1806">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51"/>
      <c r="Q28" s="1805">
        <f t="shared" si="11"/>
        <v>111</v>
      </c>
      <c r="R28" s="771" t="s">
        <v>17</v>
      </c>
      <c r="S28" s="772">
        <f t="shared" ref="S28:S40" si="12">F28</f>
        <v>100</v>
      </c>
      <c r="T28" s="771" t="s">
        <v>17</v>
      </c>
      <c r="U28" s="772">
        <f t="shared" ref="U28:U40" si="13">H28</f>
        <v>100</v>
      </c>
      <c r="V28" s="771" t="s">
        <v>17</v>
      </c>
      <c r="W28" s="772">
        <f t="shared" ref="W28:W40" si="14">J28</f>
        <v>100</v>
      </c>
      <c r="X28" s="1808"/>
      <c r="Y28" s="3251"/>
      <c r="Z28" s="1809">
        <f t="shared" ref="Z28:Z40" si="15">Q28</f>
        <v>111</v>
      </c>
      <c r="AA28" s="1806">
        <f t="shared" si="3"/>
        <v>1</v>
      </c>
      <c r="AB28" s="1806">
        <f t="shared" si="4"/>
        <v>1</v>
      </c>
      <c r="AC28" s="1806">
        <f t="shared" si="5"/>
        <v>1</v>
      </c>
    </row>
    <row r="29" spans="1:29" ht="15">
      <c r="A29" s="465" t="s">
        <v>2562</v>
      </c>
      <c r="B29" s="71" t="s">
        <v>2692</v>
      </c>
      <c r="C29" s="2674"/>
      <c r="D29" s="466">
        <v>100</v>
      </c>
      <c r="E29" s="2674"/>
      <c r="F29" s="460">
        <f>SUMIF(88:88,E29,89:89)-SUMIF(88:88,C29,89:89)+100</f>
        <v>100</v>
      </c>
      <c r="G29" s="2674"/>
      <c r="H29" s="434">
        <f>SUMIF(88:88,G29,89:89)-SUMIF(88:88,C29,89:89)+100</f>
        <v>100</v>
      </c>
      <c r="I29" s="2674"/>
      <c r="J29" s="466">
        <f>SUMIF(88:88,I29,89:89)-SUMIF(88:88,C29,89:89)+100</f>
        <v>100</v>
      </c>
      <c r="K29" s="611"/>
      <c r="L29" s="1140"/>
      <c r="M29" s="1131"/>
      <c r="N29" s="1131"/>
      <c r="O29" s="1139"/>
      <c r="P29" s="3278" t="s">
        <v>2564</v>
      </c>
      <c r="Q29" s="1805" t="str">
        <f t="shared" si="11"/>
        <v>建筑类型</v>
      </c>
      <c r="R29" s="771" t="s">
        <v>17</v>
      </c>
      <c r="S29" s="772">
        <f t="shared" si="12"/>
        <v>100</v>
      </c>
      <c r="T29" s="771" t="s">
        <v>17</v>
      </c>
      <c r="U29" s="772">
        <f t="shared" si="13"/>
        <v>100</v>
      </c>
      <c r="V29" s="771" t="s">
        <v>17</v>
      </c>
      <c r="W29" s="772">
        <f t="shared" si="14"/>
        <v>100</v>
      </c>
      <c r="X29" s="1808"/>
      <c r="Y29" s="3255" t="s">
        <v>2564</v>
      </c>
      <c r="Z29" s="1809" t="str">
        <f t="shared" si="15"/>
        <v>建筑类型</v>
      </c>
      <c r="AA29" s="1806">
        <f t="shared" si="3"/>
        <v>1</v>
      </c>
      <c r="AB29" s="1806">
        <f t="shared" si="4"/>
        <v>1</v>
      </c>
      <c r="AC29" s="1806">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55"/>
      <c r="Q30" s="773" t="str">
        <f t="shared" si="11"/>
        <v>项目建筑规模</v>
      </c>
      <c r="R30" s="774" t="s">
        <v>17</v>
      </c>
      <c r="S30" s="775" t="e">
        <f t="shared" si="12"/>
        <v>#N/A</v>
      </c>
      <c r="T30" s="774" t="s">
        <v>17</v>
      </c>
      <c r="U30" s="775" t="e">
        <f t="shared" si="13"/>
        <v>#N/A</v>
      </c>
      <c r="V30" s="774" t="s">
        <v>17</v>
      </c>
      <c r="W30" s="775" t="e">
        <f t="shared" si="14"/>
        <v>#N/A</v>
      </c>
      <c r="X30" s="776"/>
      <c r="Y30" s="3255"/>
      <c r="Z30" s="777" t="str">
        <f t="shared" si="15"/>
        <v>项目建筑规模</v>
      </c>
      <c r="AA30" s="1806" t="e">
        <f t="shared" si="3"/>
        <v>#N/A</v>
      </c>
      <c r="AB30" s="1806" t="e">
        <f t="shared" si="4"/>
        <v>#N/A</v>
      </c>
      <c r="AC30" s="1806"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55"/>
      <c r="Q31" s="1805" t="str">
        <f t="shared" si="11"/>
        <v>建筑结构</v>
      </c>
      <c r="R31" s="771" t="s">
        <v>17</v>
      </c>
      <c r="S31" s="772">
        <f t="shared" si="12"/>
        <v>100</v>
      </c>
      <c r="T31" s="771" t="s">
        <v>17</v>
      </c>
      <c r="U31" s="772">
        <f t="shared" si="13"/>
        <v>100</v>
      </c>
      <c r="V31" s="771" t="s">
        <v>17</v>
      </c>
      <c r="W31" s="772">
        <f t="shared" si="14"/>
        <v>100</v>
      </c>
      <c r="X31" s="1808"/>
      <c r="Y31" s="3255"/>
      <c r="Z31" s="1809" t="str">
        <f t="shared" si="15"/>
        <v>建筑结构</v>
      </c>
      <c r="AA31" s="1806">
        <f t="shared" si="3"/>
        <v>1</v>
      </c>
      <c r="AB31" s="1806">
        <f t="shared" si="4"/>
        <v>1</v>
      </c>
      <c r="AC31" s="1806">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55"/>
      <c r="Q32" s="1805" t="str">
        <f t="shared" si="11"/>
        <v>公共部分装修</v>
      </c>
      <c r="R32" s="771" t="s">
        <v>17</v>
      </c>
      <c r="S32" s="772">
        <f t="shared" si="12"/>
        <v>100</v>
      </c>
      <c r="T32" s="771" t="s">
        <v>17</v>
      </c>
      <c r="U32" s="772">
        <f t="shared" si="13"/>
        <v>100</v>
      </c>
      <c r="V32" s="771" t="s">
        <v>17</v>
      </c>
      <c r="W32" s="772">
        <f t="shared" si="14"/>
        <v>100</v>
      </c>
      <c r="X32" s="1808"/>
      <c r="Y32" s="3255"/>
      <c r="Z32" s="1809" t="str">
        <f t="shared" si="15"/>
        <v>公共部分装修</v>
      </c>
      <c r="AA32" s="1806">
        <f t="shared" si="3"/>
        <v>1</v>
      </c>
      <c r="AB32" s="1806">
        <f t="shared" si="4"/>
        <v>1</v>
      </c>
      <c r="AC32" s="1806">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55"/>
      <c r="Q33" s="1805" t="str">
        <f t="shared" si="11"/>
        <v>成新度</v>
      </c>
      <c r="R33" s="771" t="s">
        <v>17</v>
      </c>
      <c r="S33" s="772" t="e">
        <f t="shared" si="12"/>
        <v>#N/A</v>
      </c>
      <c r="T33" s="771" t="s">
        <v>17</v>
      </c>
      <c r="U33" s="772" t="e">
        <f t="shared" si="13"/>
        <v>#N/A</v>
      </c>
      <c r="V33" s="771" t="s">
        <v>17</v>
      </c>
      <c r="W33" s="772" t="e">
        <f t="shared" si="14"/>
        <v>#N/A</v>
      </c>
      <c r="X33" s="1808"/>
      <c r="Y33" s="3255"/>
      <c r="Z33" s="1809" t="str">
        <f t="shared" si="15"/>
        <v>成新度</v>
      </c>
      <c r="AA33" s="1806" t="e">
        <f t="shared" si="3"/>
        <v>#N/A</v>
      </c>
      <c r="AB33" s="1806" t="e">
        <f t="shared" si="4"/>
        <v>#N/A</v>
      </c>
      <c r="AC33" s="1806"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55"/>
      <c r="Q34" s="1790" t="str">
        <f t="shared" si="11"/>
        <v>物业管理</v>
      </c>
      <c r="R34" s="767" t="s">
        <v>17</v>
      </c>
      <c r="S34" s="768">
        <f t="shared" si="12"/>
        <v>100</v>
      </c>
      <c r="T34" s="767" t="s">
        <v>17</v>
      </c>
      <c r="U34" s="768">
        <f t="shared" si="13"/>
        <v>100</v>
      </c>
      <c r="V34" s="767" t="s">
        <v>17</v>
      </c>
      <c r="W34" s="768">
        <f t="shared" si="14"/>
        <v>100</v>
      </c>
      <c r="X34" s="769"/>
      <c r="Y34" s="3255"/>
      <c r="Z34" s="55" t="str">
        <f t="shared" si="15"/>
        <v>物业管理</v>
      </c>
      <c r="AA34" s="770">
        <f t="shared" si="3"/>
        <v>1</v>
      </c>
      <c r="AB34" s="770">
        <f t="shared" si="4"/>
        <v>1</v>
      </c>
      <c r="AC34" s="770">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55" t="s">
        <v>2564</v>
      </c>
      <c r="Q35" s="1805" t="str">
        <f t="shared" si="11"/>
        <v>市政基础设施</v>
      </c>
      <c r="R35" s="771" t="s">
        <v>17</v>
      </c>
      <c r="S35" s="772">
        <f t="shared" si="12"/>
        <v>100</v>
      </c>
      <c r="T35" s="771" t="s">
        <v>17</v>
      </c>
      <c r="U35" s="772">
        <f t="shared" si="13"/>
        <v>100</v>
      </c>
      <c r="V35" s="771" t="s">
        <v>17</v>
      </c>
      <c r="W35" s="772">
        <f t="shared" si="14"/>
        <v>100</v>
      </c>
      <c r="X35" s="1808"/>
      <c r="Y35" s="3255" t="s">
        <v>2564</v>
      </c>
      <c r="Z35" s="1809" t="str">
        <f t="shared" si="15"/>
        <v>市政基础设施</v>
      </c>
      <c r="AA35" s="1806">
        <f t="shared" si="3"/>
        <v>1</v>
      </c>
      <c r="AB35" s="1806">
        <f t="shared" si="4"/>
        <v>1</v>
      </c>
      <c r="AC35" s="1806">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55"/>
      <c r="Q36" s="1805" t="str">
        <f t="shared" si="11"/>
        <v>内部装修</v>
      </c>
      <c r="R36" s="771" t="s">
        <v>17</v>
      </c>
      <c r="S36" s="772">
        <f t="shared" si="12"/>
        <v>100</v>
      </c>
      <c r="T36" s="771" t="s">
        <v>17</v>
      </c>
      <c r="U36" s="772">
        <f t="shared" si="13"/>
        <v>100</v>
      </c>
      <c r="V36" s="771" t="s">
        <v>17</v>
      </c>
      <c r="W36" s="772">
        <f t="shared" si="14"/>
        <v>100</v>
      </c>
      <c r="X36" s="1808"/>
      <c r="Y36" s="3255"/>
      <c r="Z36" s="1809" t="str">
        <f t="shared" si="15"/>
        <v>内部装修</v>
      </c>
      <c r="AA36" s="1806">
        <f t="shared" si="3"/>
        <v>1</v>
      </c>
      <c r="AB36" s="1806">
        <f t="shared" si="4"/>
        <v>1</v>
      </c>
      <c r="AC36" s="1806">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55"/>
      <c r="Q37" s="1805" t="str">
        <f t="shared" si="11"/>
        <v>内部装修状况</v>
      </c>
      <c r="R37" s="771" t="s">
        <v>17</v>
      </c>
      <c r="S37" s="772">
        <f t="shared" si="12"/>
        <v>100</v>
      </c>
      <c r="T37" s="771" t="s">
        <v>17</v>
      </c>
      <c r="U37" s="772">
        <f t="shared" si="13"/>
        <v>100</v>
      </c>
      <c r="V37" s="771" t="s">
        <v>17</v>
      </c>
      <c r="W37" s="772">
        <f t="shared" si="14"/>
        <v>100</v>
      </c>
      <c r="X37" s="1808"/>
      <c r="Y37" s="3255"/>
      <c r="Z37" s="1809" t="str">
        <f t="shared" si="15"/>
        <v>内部装修状况</v>
      </c>
      <c r="AA37" s="1806">
        <f t="shared" si="3"/>
        <v>1</v>
      </c>
      <c r="AB37" s="1806">
        <f t="shared" si="4"/>
        <v>1</v>
      </c>
      <c r="AC37" s="1806">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55"/>
      <c r="Q38" s="773">
        <f t="shared" si="11"/>
        <v>111</v>
      </c>
      <c r="R38" s="774" t="s">
        <v>17</v>
      </c>
      <c r="S38" s="775">
        <f t="shared" si="12"/>
        <v>100</v>
      </c>
      <c r="T38" s="774" t="s">
        <v>17</v>
      </c>
      <c r="U38" s="775">
        <f t="shared" si="13"/>
        <v>100</v>
      </c>
      <c r="V38" s="774" t="s">
        <v>17</v>
      </c>
      <c r="W38" s="775">
        <f t="shared" si="14"/>
        <v>100</v>
      </c>
      <c r="X38" s="776"/>
      <c r="Y38" s="3255"/>
      <c r="Z38" s="777">
        <f t="shared" si="15"/>
        <v>111</v>
      </c>
      <c r="AA38" s="1806">
        <f t="shared" si="3"/>
        <v>1</v>
      </c>
      <c r="AB38" s="1806">
        <f t="shared" si="4"/>
        <v>1</v>
      </c>
      <c r="AC38" s="1806">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55"/>
      <c r="Q39" s="1805">
        <f t="shared" si="11"/>
        <v>111</v>
      </c>
      <c r="R39" s="771" t="s">
        <v>17</v>
      </c>
      <c r="S39" s="772">
        <f t="shared" si="12"/>
        <v>100</v>
      </c>
      <c r="T39" s="771" t="s">
        <v>17</v>
      </c>
      <c r="U39" s="772">
        <f t="shared" si="13"/>
        <v>100</v>
      </c>
      <c r="V39" s="771" t="s">
        <v>17</v>
      </c>
      <c r="W39" s="772">
        <f t="shared" si="14"/>
        <v>100</v>
      </c>
      <c r="X39" s="1808"/>
      <c r="Y39" s="3255"/>
      <c r="Z39" s="1809">
        <f t="shared" si="15"/>
        <v>111</v>
      </c>
      <c r="AA39" s="1806">
        <f t="shared" si="3"/>
        <v>1</v>
      </c>
      <c r="AB39" s="1806">
        <f t="shared" si="4"/>
        <v>1</v>
      </c>
      <c r="AC39" s="1806">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56"/>
      <c r="Q40" s="1805">
        <f t="shared" si="11"/>
        <v>111</v>
      </c>
      <c r="R40" s="771" t="s">
        <v>17</v>
      </c>
      <c r="S40" s="772">
        <f t="shared" si="12"/>
        <v>100</v>
      </c>
      <c r="T40" s="771" t="s">
        <v>17</v>
      </c>
      <c r="U40" s="772">
        <f t="shared" si="13"/>
        <v>100</v>
      </c>
      <c r="V40" s="771" t="s">
        <v>17</v>
      </c>
      <c r="W40" s="772">
        <f t="shared" si="14"/>
        <v>100</v>
      </c>
      <c r="X40" s="1808"/>
      <c r="Y40" s="3256"/>
      <c r="Z40" s="1809">
        <f t="shared" si="15"/>
        <v>111</v>
      </c>
      <c r="AA40" s="1806">
        <f t="shared" si="3"/>
        <v>1</v>
      </c>
      <c r="AB40" s="1806">
        <f t="shared" si="4"/>
        <v>1</v>
      </c>
      <c r="AC40" s="1806">
        <f t="shared" si="5"/>
        <v>1</v>
      </c>
    </row>
    <row r="41" spans="1:29" ht="15">
      <c r="A41" s="478" t="s">
        <v>2576</v>
      </c>
      <c r="B41" s="479"/>
      <c r="C41" s="1403" t="s">
        <v>1</v>
      </c>
      <c r="D41" s="1404"/>
      <c r="E41" s="1405"/>
      <c r="F41" s="1406"/>
      <c r="G41" s="1407"/>
      <c r="H41" s="1408"/>
      <c r="I41" s="1405"/>
      <c r="J41" s="1408"/>
      <c r="K41" s="780"/>
      <c r="L41" s="1143"/>
      <c r="M41" s="1144"/>
      <c r="N41" s="1131"/>
      <c r="O41" s="1144"/>
      <c r="P41" s="3248" t="str">
        <f>A41</f>
        <v>成交单价（元/平方米）</v>
      </c>
      <c r="Q41" s="3248"/>
      <c r="R41" s="3249">
        <f>E41</f>
        <v>0</v>
      </c>
      <c r="S41" s="3249"/>
      <c r="T41" s="3249">
        <f>G41</f>
        <v>0</v>
      </c>
      <c r="U41" s="3249"/>
      <c r="V41" s="3249">
        <f>I41</f>
        <v>0</v>
      </c>
      <c r="W41" s="3249"/>
      <c r="X41" s="756"/>
      <c r="Y41" s="778"/>
      <c r="Z41" s="756"/>
      <c r="AA41" s="756"/>
      <c r="AB41" s="756"/>
      <c r="AC41" s="756"/>
    </row>
    <row r="42" spans="1:29" ht="15.75" thickBot="1">
      <c r="A42" s="485" t="s">
        <v>2668</v>
      </c>
      <c r="B42" s="486"/>
      <c r="C42" s="1409" t="e">
        <f>R43</f>
        <v>#DIV/0!</v>
      </c>
      <c r="D42" s="1410"/>
      <c r="E42" s="1411" t="e">
        <f>R42</f>
        <v>#DIV/0!</v>
      </c>
      <c r="F42" s="1411"/>
      <c r="G42" s="1409" t="e">
        <f>T42</f>
        <v>#DIV/0!</v>
      </c>
      <c r="H42" s="1410"/>
      <c r="I42" s="1411" t="e">
        <f>V42</f>
        <v>#DIV/0!</v>
      </c>
      <c r="J42" s="1410"/>
      <c r="K42" s="781"/>
      <c r="L42" s="1143"/>
      <c r="M42" s="1144"/>
      <c r="N42" s="1131"/>
      <c r="O42" s="1144"/>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6"/>
      <c r="Y42" s="756"/>
      <c r="Z42" s="756"/>
      <c r="AA42" s="756"/>
      <c r="AB42" s="756"/>
      <c r="AC42" s="756"/>
    </row>
    <row r="43" spans="1:29" ht="15.75" thickBot="1">
      <c r="A43" s="491" t="s">
        <v>2669</v>
      </c>
      <c r="B43" s="492"/>
      <c r="C43" s="1413" t="e">
        <f>R43</f>
        <v>#DIV/0!</v>
      </c>
      <c r="D43" s="1413"/>
      <c r="E43" s="1413"/>
      <c r="F43" s="1413"/>
      <c r="G43" s="1413"/>
      <c r="H43" s="1413"/>
      <c r="I43" s="1413"/>
      <c r="J43" s="1413"/>
      <c r="K43" s="782"/>
      <c r="L43" s="1143"/>
      <c r="M43" s="1144"/>
      <c r="N43" s="1144"/>
      <c r="O43" s="1144"/>
      <c r="P43" s="3245" t="str">
        <f>A43</f>
        <v>估价对象XX用房的比较价值（楼面单价，元/平方米）</v>
      </c>
      <c r="Q43" s="3246"/>
      <c r="R43" s="3247" t="e">
        <f>IF(F1="售价",ROUND(AVERAGE(R42:V42),0),ROUND(AVERAGE(R42:V42),1))</f>
        <v>#DIV/0!</v>
      </c>
      <c r="S43" s="3247"/>
      <c r="T43" s="3247"/>
      <c r="U43" s="3247"/>
      <c r="V43" s="3247"/>
      <c r="W43" s="3247"/>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2673</v>
      </c>
      <c r="B51" s="756"/>
      <c r="C51" s="761"/>
      <c r="D51" s="761"/>
      <c r="E51" s="761"/>
      <c r="F51" s="762"/>
      <c r="G51" s="762"/>
      <c r="H51" s="761"/>
      <c r="I51" s="761"/>
      <c r="J51" s="761"/>
      <c r="K51" s="1160"/>
      <c r="L51" s="1161"/>
      <c r="M51" s="1159"/>
      <c r="N51" s="1159"/>
      <c r="O51" s="1159"/>
      <c r="P51" s="502"/>
      <c r="Q51" s="503"/>
    </row>
    <row r="52" spans="1:17" s="507" customFormat="1" ht="15">
      <c r="A52" s="504" t="s">
        <v>2547</v>
      </c>
      <c r="B52" s="505"/>
      <c r="C52" s="1570" t="str">
        <f>YEAR(C7)&amp;"-"&amp;MONTH(C7)</f>
        <v>2018-9</v>
      </c>
      <c r="D52" s="1571">
        <f>EDATE(C52,-1)</f>
        <v>43313</v>
      </c>
      <c r="E52" s="1571">
        <f t="shared" ref="E52:O52" si="16">EDATE(D52,-1)</f>
        <v>43282</v>
      </c>
      <c r="F52" s="1571">
        <f t="shared" si="16"/>
        <v>43252</v>
      </c>
      <c r="G52" s="1571">
        <f t="shared" si="16"/>
        <v>43221</v>
      </c>
      <c r="H52" s="1571">
        <f t="shared" si="16"/>
        <v>43191</v>
      </c>
      <c r="I52" s="1571">
        <f t="shared" si="16"/>
        <v>43160</v>
      </c>
      <c r="J52" s="1571">
        <f t="shared" si="16"/>
        <v>43132</v>
      </c>
      <c r="K52" s="1571">
        <f t="shared" si="16"/>
        <v>43101</v>
      </c>
      <c r="L52" s="1571">
        <f t="shared" si="16"/>
        <v>43070</v>
      </c>
      <c r="M52" s="1571">
        <f t="shared" si="16"/>
        <v>43040</v>
      </c>
      <c r="N52" s="1571">
        <f t="shared" si="16"/>
        <v>43009</v>
      </c>
      <c r="O52" s="1571">
        <f t="shared" si="16"/>
        <v>42979</v>
      </c>
      <c r="P52" s="506"/>
    </row>
    <row r="53" spans="1:17" s="117" customFormat="1" ht="15">
      <c r="A53" s="508"/>
      <c r="B53" s="509"/>
      <c r="C53" s="1569">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1"/>
      <c r="O55" s="1151"/>
      <c r="P55" s="525"/>
      <c r="Q55" s="503"/>
    </row>
    <row r="56" spans="1:17" s="117" customFormat="1" ht="15.75" thickBot="1">
      <c r="A56" s="520"/>
      <c r="B56" s="509"/>
      <c r="C56" s="636">
        <v>100</v>
      </c>
      <c r="D56" s="511"/>
      <c r="E56" s="511"/>
      <c r="F56" s="511"/>
      <c r="G56" s="511"/>
      <c r="H56" s="511"/>
      <c r="I56" s="511"/>
      <c r="J56" s="511"/>
      <c r="K56" s="511"/>
      <c r="L56" s="511"/>
      <c r="M56" s="513"/>
      <c r="N56" s="1151"/>
      <c r="O56" s="1151"/>
      <c r="P56" s="503"/>
      <c r="Q56" s="503"/>
    </row>
    <row r="57" spans="1:17">
      <c r="A57" s="526" t="s">
        <v>2587</v>
      </c>
      <c r="B57" s="527" t="s">
        <v>2553</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2688</v>
      </c>
      <c r="C76" s="657" t="s">
        <v>2674</v>
      </c>
      <c r="D76" s="657" t="s">
        <v>2675</v>
      </c>
      <c r="E76" s="657" t="s">
        <v>2676</v>
      </c>
      <c r="F76" s="657" t="s">
        <v>2677</v>
      </c>
      <c r="G76" s="657" t="s">
        <v>2678</v>
      </c>
      <c r="H76" s="538"/>
      <c r="I76" s="538"/>
      <c r="J76" s="538"/>
      <c r="K76" s="538"/>
      <c r="L76" s="538"/>
      <c r="M76" s="1378"/>
      <c r="N76" s="1153"/>
      <c r="O76" s="1153"/>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3"/>
      <c r="O77" s="1153"/>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1"/>
      <c r="B87" s="568"/>
      <c r="C87" s="569"/>
      <c r="D87" s="569"/>
      <c r="E87" s="569"/>
      <c r="F87" s="569"/>
      <c r="G87" s="590"/>
      <c r="H87" s="590"/>
      <c r="I87" s="590"/>
      <c r="J87" s="590"/>
      <c r="K87" s="590"/>
      <c r="L87" s="590"/>
      <c r="M87" s="591"/>
      <c r="N87" s="1153"/>
      <c r="O87" s="1153"/>
      <c r="P87" s="45"/>
      <c r="Q87" s="503"/>
    </row>
    <row r="88" spans="1:17">
      <c r="A88" s="526" t="s">
        <v>2562</v>
      </c>
      <c r="B88" s="527" t="s">
        <v>2611</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2613</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2615</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0"/>
      <c r="J98" s="620"/>
      <c r="K98" s="621"/>
      <c r="L98" s="622"/>
      <c r="M98" s="623"/>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2616</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2617</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2619</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3" t="s">
        <v>2705</v>
      </c>
      <c r="C106" s="577" t="s">
        <v>2596</v>
      </c>
      <c r="D106" s="577" t="s">
        <v>2597</v>
      </c>
      <c r="E106" s="577" t="s">
        <v>2598</v>
      </c>
      <c r="F106" s="577" t="s">
        <v>2599</v>
      </c>
      <c r="G106" s="577" t="s">
        <v>2600</v>
      </c>
      <c r="H106" s="538"/>
      <c r="I106" s="538"/>
      <c r="J106" s="538"/>
      <c r="K106" s="539"/>
      <c r="L106" s="540"/>
      <c r="M106" s="541"/>
      <c r="N106" s="1153"/>
      <c r="O106" s="1153"/>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1"/>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9"/>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81"/>
      <c r="D2" s="1124" t="e">
        <f ca="1">SUMIF(INDIRECT("'"&amp;F2&amp;"'"&amp;"!A:A"),"承租人权益价值",INDIRECT("'"&amp;F2&amp;"'"&amp;"!c:c"))</f>
        <v>#REF!</v>
      </c>
      <c r="E2" s="2582" t="s">
        <v>2327</v>
      </c>
      <c r="F2" s="2583"/>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2328</v>
      </c>
      <c r="B3" s="608" t="e">
        <f ca="1">IF(C2="——",C37,ROUND(B2*10000/D3,0))</f>
        <v>#DIV/0!</v>
      </c>
      <c r="C3" s="399" t="s">
        <v>2643</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29"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2545</v>
      </c>
      <c r="D6" s="3227"/>
      <c r="E6" s="3228" t="s">
        <v>2545</v>
      </c>
      <c r="F6" s="3229"/>
      <c r="G6" s="3226" t="s">
        <v>2545</v>
      </c>
      <c r="H6" s="3227"/>
      <c r="I6" s="3226" t="s">
        <v>2545</v>
      </c>
      <c r="J6" s="3227"/>
      <c r="K6" s="609"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SUMIF(46:46,YEAR(E7)&amp;"-"&amp;MONTH(E7),47:47)</f>
        <v>0</v>
      </c>
      <c r="G7" s="2691"/>
      <c r="H7" s="410">
        <f>SUMIF(46:46,YEAR(G7)&amp;"-"&amp;MONTH(G7),47:47)</f>
        <v>0</v>
      </c>
      <c r="I7" s="411"/>
      <c r="J7" s="410">
        <f>SUMIF(46:46,YEAR(I7)&amp;"-"&amp;MONTH(I7),47:47)</f>
        <v>0</v>
      </c>
      <c r="K7" s="610"/>
      <c r="L7" s="1132"/>
      <c r="M7" s="1133"/>
      <c r="N7" s="1133"/>
      <c r="O7" s="1133"/>
      <c r="P7" s="3216" t="s">
        <v>2548</v>
      </c>
      <c r="Q7" s="3244"/>
      <c r="R7" s="767" t="s">
        <v>17</v>
      </c>
      <c r="S7" s="768">
        <f t="shared" ref="S7:S14" si="0">F7</f>
        <v>0</v>
      </c>
      <c r="T7" s="767" t="s">
        <v>17</v>
      </c>
      <c r="U7" s="768">
        <f t="shared" ref="U7:U14" si="1">H7</f>
        <v>0</v>
      </c>
      <c r="V7" s="767" t="s">
        <v>17</v>
      </c>
      <c r="W7" s="768">
        <f t="shared" ref="W7:W14" si="2">J7</f>
        <v>0</v>
      </c>
      <c r="X7" s="769"/>
      <c r="Y7" s="3216" t="s">
        <v>2548</v>
      </c>
      <c r="Z7" s="3217"/>
      <c r="AA7" s="770" t="e">
        <f>D7/F7</f>
        <v>#DIV/0!</v>
      </c>
      <c r="AB7" s="770" t="e">
        <f>D7/H7</f>
        <v>#DIV/0!</v>
      </c>
      <c r="AC7" s="770"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34" si="3">D8/F8</f>
        <v>#DIV/0!</v>
      </c>
      <c r="AB8" s="770" t="e">
        <f t="shared" ref="AB8:AB34" si="4">D8/H8</f>
        <v>#DIV/0!</v>
      </c>
      <c r="AC8" s="770"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48" t="s">
        <v>2554</v>
      </c>
      <c r="Q9" s="1790" t="str">
        <f t="shared" ref="Q9:Q14" si="6">B9</f>
        <v>用途</v>
      </c>
      <c r="R9" s="767" t="s">
        <v>17</v>
      </c>
      <c r="S9" s="768">
        <f t="shared" si="0"/>
        <v>100</v>
      </c>
      <c r="T9" s="767" t="s">
        <v>17</v>
      </c>
      <c r="U9" s="768">
        <f t="shared" si="1"/>
        <v>100</v>
      </c>
      <c r="V9" s="767" t="s">
        <v>17</v>
      </c>
      <c r="W9" s="768">
        <f t="shared" si="2"/>
        <v>100</v>
      </c>
      <c r="X9" s="769"/>
      <c r="Y9" s="3085" t="s">
        <v>2555</v>
      </c>
      <c r="Z9" s="55" t="str">
        <f t="shared" ref="Z9:Z14" si="7">Q9</f>
        <v>用途</v>
      </c>
      <c r="AA9" s="770">
        <f t="shared" si="3"/>
        <v>1</v>
      </c>
      <c r="AB9" s="770">
        <f t="shared" si="4"/>
        <v>1</v>
      </c>
      <c r="AC9" s="770">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48"/>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48"/>
      <c r="Q11" s="1790">
        <f t="shared" si="6"/>
        <v>111</v>
      </c>
      <c r="R11" s="767" t="s">
        <v>17</v>
      </c>
      <c r="S11" s="768">
        <f t="shared" si="0"/>
        <v>100</v>
      </c>
      <c r="T11" s="767" t="s">
        <v>17</v>
      </c>
      <c r="U11" s="768">
        <f t="shared" si="1"/>
        <v>100</v>
      </c>
      <c r="V11" s="767" t="s">
        <v>17</v>
      </c>
      <c r="W11" s="768">
        <f t="shared" si="2"/>
        <v>100</v>
      </c>
      <c r="X11" s="769"/>
      <c r="Y11" s="3085"/>
      <c r="Z11" s="55">
        <f t="shared" si="7"/>
        <v>111</v>
      </c>
      <c r="AA11" s="770">
        <f t="shared" si="3"/>
        <v>1</v>
      </c>
      <c r="AB11" s="770">
        <f t="shared" si="4"/>
        <v>1</v>
      </c>
      <c r="AC11" s="770">
        <f t="shared" si="5"/>
        <v>1</v>
      </c>
    </row>
    <row r="12" spans="1:29" s="117"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85.5">
      <c r="A14" s="439" t="s">
        <v>2558</v>
      </c>
      <c r="B14" s="69" t="s">
        <v>2708</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50" t="s">
        <v>2559</v>
      </c>
      <c r="Q14" s="1805" t="str">
        <f t="shared" si="6"/>
        <v>交通便捷度</v>
      </c>
      <c r="R14" s="771" t="s">
        <v>17</v>
      </c>
      <c r="S14" s="772">
        <f t="shared" si="0"/>
        <v>100</v>
      </c>
      <c r="T14" s="771" t="s">
        <v>17</v>
      </c>
      <c r="U14" s="772">
        <f t="shared" si="1"/>
        <v>100</v>
      </c>
      <c r="V14" s="771" t="s">
        <v>17</v>
      </c>
      <c r="W14" s="772">
        <f t="shared" si="2"/>
        <v>100</v>
      </c>
      <c r="X14" s="1808"/>
      <c r="Y14" s="3250" t="s">
        <v>2559</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40"/>
      <c r="M15" s="1131"/>
      <c r="N15" s="1131"/>
      <c r="O15" s="1139"/>
      <c r="P15" s="3251"/>
      <c r="Q15" s="1805"/>
      <c r="R15" s="771"/>
      <c r="S15" s="772"/>
      <c r="T15" s="771"/>
      <c r="U15" s="772"/>
      <c r="V15" s="771"/>
      <c r="W15" s="772"/>
      <c r="X15" s="1808"/>
      <c r="Y15" s="3251"/>
      <c r="Z15" s="1809"/>
      <c r="AA15" s="1806">
        <v>1</v>
      </c>
      <c r="AB15" s="1806">
        <v>1</v>
      </c>
      <c r="AC15" s="1806">
        <v>1</v>
      </c>
    </row>
    <row r="16" spans="1:29" ht="42.75">
      <c r="A16" s="427"/>
      <c r="B16" s="450" t="s">
        <v>2687</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51"/>
      <c r="Q16" s="1805" t="str">
        <f>B16</f>
        <v>公共配套设施</v>
      </c>
      <c r="R16" s="771" t="s">
        <v>17</v>
      </c>
      <c r="S16" s="772">
        <f>F16</f>
        <v>100</v>
      </c>
      <c r="T16" s="771" t="s">
        <v>17</v>
      </c>
      <c r="U16" s="772">
        <f>H16</f>
        <v>100</v>
      </c>
      <c r="V16" s="771" t="s">
        <v>17</v>
      </c>
      <c r="W16" s="772">
        <f>J16</f>
        <v>100</v>
      </c>
      <c r="X16" s="1808"/>
      <c r="Y16" s="3251"/>
      <c r="Z16" s="1809" t="str">
        <f>Q16</f>
        <v>公共配套设施</v>
      </c>
      <c r="AA16" s="1806">
        <f t="shared" si="3"/>
        <v>1</v>
      </c>
      <c r="AB16" s="1806">
        <f t="shared" si="4"/>
        <v>1</v>
      </c>
      <c r="AC16" s="1806">
        <f t="shared" si="5"/>
        <v>1</v>
      </c>
    </row>
    <row r="17" spans="1:29" ht="15">
      <c r="A17" s="427"/>
      <c r="B17" s="455"/>
      <c r="C17" s="2603"/>
      <c r="D17" s="447"/>
      <c r="E17" s="446"/>
      <c r="F17" s="448"/>
      <c r="G17" s="446"/>
      <c r="H17" s="447"/>
      <c r="I17" s="446"/>
      <c r="J17" s="447"/>
      <c r="K17" s="614"/>
      <c r="L17" s="1140"/>
      <c r="M17" s="1131"/>
      <c r="N17" s="1131"/>
      <c r="O17" s="1139"/>
      <c r="P17" s="3251"/>
      <c r="Q17" s="1805"/>
      <c r="R17" s="771"/>
      <c r="S17" s="772"/>
      <c r="T17" s="771"/>
      <c r="U17" s="772"/>
      <c r="V17" s="771"/>
      <c r="W17" s="772"/>
      <c r="X17" s="1808"/>
      <c r="Y17" s="3251"/>
      <c r="Z17" s="1809"/>
      <c r="AA17" s="1806">
        <v>1</v>
      </c>
      <c r="AB17" s="1806">
        <v>1</v>
      </c>
      <c r="AC17" s="1806">
        <v>1</v>
      </c>
    </row>
    <row r="18" spans="1:29" ht="28.5">
      <c r="A18" s="427"/>
      <c r="B18" s="1380" t="s">
        <v>2688</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51"/>
      <c r="Q18" s="1805" t="str">
        <f>B18</f>
        <v>基础设施水平</v>
      </c>
      <c r="R18" s="771" t="s">
        <v>17</v>
      </c>
      <c r="S18" s="772">
        <f>F18</f>
        <v>100</v>
      </c>
      <c r="T18" s="771" t="s">
        <v>17</v>
      </c>
      <c r="U18" s="772">
        <f>H18</f>
        <v>100</v>
      </c>
      <c r="V18" s="771" t="s">
        <v>17</v>
      </c>
      <c r="W18" s="772">
        <f>J18</f>
        <v>100</v>
      </c>
      <c r="X18" s="1808"/>
      <c r="Y18" s="3251"/>
      <c r="Z18" s="1809" t="str">
        <f>Q18</f>
        <v>基础设施水平</v>
      </c>
      <c r="AA18" s="1806">
        <f t="shared" ref="AA18" si="8">D18/F18</f>
        <v>1</v>
      </c>
      <c r="AB18" s="1806">
        <f t="shared" ref="AB18" si="9">D18/H18</f>
        <v>1</v>
      </c>
      <c r="AC18" s="1806">
        <f t="shared" ref="AC18" si="10">D18/J18</f>
        <v>1</v>
      </c>
    </row>
    <row r="19" spans="1:29" ht="15">
      <c r="A19" s="427"/>
      <c r="B19" s="1380"/>
      <c r="C19" s="2603"/>
      <c r="D19" s="449"/>
      <c r="E19" s="2603"/>
      <c r="F19" s="452"/>
      <c r="G19" s="2603"/>
      <c r="H19" s="447"/>
      <c r="I19" s="446"/>
      <c r="J19" s="447"/>
      <c r="K19" s="1379"/>
      <c r="L19" s="1140"/>
      <c r="M19" s="1131"/>
      <c r="N19" s="1131"/>
      <c r="O19" s="1139"/>
      <c r="P19" s="3251"/>
      <c r="Q19" s="1805"/>
      <c r="R19" s="771"/>
      <c r="S19" s="772"/>
      <c r="T19" s="771"/>
      <c r="U19" s="772"/>
      <c r="V19" s="771"/>
      <c r="W19" s="772"/>
      <c r="X19" s="1808"/>
      <c r="Y19" s="3251"/>
      <c r="Z19" s="1809"/>
      <c r="AA19" s="1806">
        <v>1</v>
      </c>
      <c r="AB19" s="1806">
        <v>1</v>
      </c>
      <c r="AC19" s="1806">
        <v>1</v>
      </c>
    </row>
    <row r="20" spans="1:29" ht="57">
      <c r="A20" s="427"/>
      <c r="B20" s="450" t="s">
        <v>2709</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51"/>
      <c r="Q20" s="1805" t="str">
        <f>B20</f>
        <v>自然及人文环境</v>
      </c>
      <c r="R20" s="771" t="s">
        <v>17</v>
      </c>
      <c r="S20" s="772">
        <f>F20</f>
        <v>100</v>
      </c>
      <c r="T20" s="771" t="s">
        <v>17</v>
      </c>
      <c r="U20" s="772">
        <f>H20</f>
        <v>100</v>
      </c>
      <c r="V20" s="771" t="s">
        <v>17</v>
      </c>
      <c r="W20" s="772">
        <f>J20</f>
        <v>100</v>
      </c>
      <c r="X20" s="1808"/>
      <c r="Y20" s="3251"/>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40"/>
      <c r="M21" s="1131"/>
      <c r="N21" s="1131"/>
      <c r="O21" s="1139"/>
      <c r="P21" s="3251"/>
      <c r="Q21" s="1805"/>
      <c r="R21" s="771"/>
      <c r="S21" s="772"/>
      <c r="T21" s="771"/>
      <c r="U21" s="772"/>
      <c r="V21" s="771"/>
      <c r="W21" s="772"/>
      <c r="X21" s="1808"/>
      <c r="Y21" s="3251"/>
      <c r="Z21" s="1809"/>
      <c r="AA21" s="1806">
        <v>1</v>
      </c>
      <c r="AB21" s="1806">
        <v>1</v>
      </c>
      <c r="AC21" s="1806">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51"/>
      <c r="Q22" s="1805" t="str">
        <f>B22</f>
        <v>楼层</v>
      </c>
      <c r="R22" s="771" t="s">
        <v>17</v>
      </c>
      <c r="S22" s="772">
        <f>F22</f>
        <v>100</v>
      </c>
      <c r="T22" s="771" t="s">
        <v>17</v>
      </c>
      <c r="U22" s="772">
        <f>H22</f>
        <v>100</v>
      </c>
      <c r="V22" s="771" t="s">
        <v>17</v>
      </c>
      <c r="W22" s="772">
        <f>J22</f>
        <v>100</v>
      </c>
      <c r="X22" s="1808"/>
      <c r="Y22" s="3251"/>
      <c r="Z22" s="1809" t="str">
        <f>Q22</f>
        <v>楼层</v>
      </c>
      <c r="AA22" s="1806">
        <f t="shared" si="3"/>
        <v>1</v>
      </c>
      <c r="AB22" s="1806">
        <f t="shared" si="4"/>
        <v>1</v>
      </c>
      <c r="AC22" s="1806">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51"/>
      <c r="Q23" s="1805">
        <f>B23</f>
        <v>111</v>
      </c>
      <c r="R23" s="771" t="s">
        <v>17</v>
      </c>
      <c r="S23" s="772">
        <f>F23</f>
        <v>100</v>
      </c>
      <c r="T23" s="771" t="s">
        <v>17</v>
      </c>
      <c r="U23" s="772">
        <f>H23</f>
        <v>100</v>
      </c>
      <c r="V23" s="771" t="s">
        <v>17</v>
      </c>
      <c r="W23" s="772">
        <f>J23</f>
        <v>100</v>
      </c>
      <c r="X23" s="1808"/>
      <c r="Y23" s="3251"/>
      <c r="Z23" s="1809">
        <f>Q23</f>
        <v>111</v>
      </c>
      <c r="AA23" s="1806">
        <f t="shared" si="3"/>
        <v>1</v>
      </c>
      <c r="AB23" s="1806">
        <f t="shared" si="4"/>
        <v>1</v>
      </c>
      <c r="AC23" s="1806">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51"/>
      <c r="Q24" s="1805">
        <f t="shared" ref="Q24:Q34" si="11">B24</f>
        <v>111</v>
      </c>
      <c r="R24" s="771" t="s">
        <v>17</v>
      </c>
      <c r="S24" s="772">
        <f>F24</f>
        <v>100</v>
      </c>
      <c r="T24" s="771" t="s">
        <v>17</v>
      </c>
      <c r="U24" s="772">
        <f>H24</f>
        <v>100</v>
      </c>
      <c r="V24" s="771" t="s">
        <v>17</v>
      </c>
      <c r="W24" s="772">
        <f>J24</f>
        <v>100</v>
      </c>
      <c r="X24" s="1808"/>
      <c r="Y24" s="3251"/>
      <c r="Z24" s="1809">
        <f>Q24</f>
        <v>111</v>
      </c>
      <c r="AA24" s="1806">
        <f t="shared" si="3"/>
        <v>1</v>
      </c>
      <c r="AB24" s="1806">
        <f t="shared" si="4"/>
        <v>1</v>
      </c>
      <c r="AC24" s="1806">
        <f t="shared" si="5"/>
        <v>1</v>
      </c>
    </row>
    <row r="25" spans="1:29" s="117" customFormat="1" ht="15.75" thickBot="1">
      <c r="A25" s="430"/>
      <c r="B25" s="2595">
        <v>111</v>
      </c>
      <c r="C25" s="2693"/>
      <c r="D25" s="662">
        <v>100</v>
      </c>
      <c r="E25" s="2693"/>
      <c r="F25" s="663">
        <f>SUMIF(75:75,E25,76:76)-SUMIF(75:75,C25,76:76)+100</f>
        <v>100</v>
      </c>
      <c r="G25" s="2693"/>
      <c r="H25" s="662">
        <f>SUMIF(75:75,G25,76:76)-SUMIF(75:75,C25,76:76)+100</f>
        <v>100</v>
      </c>
      <c r="I25" s="2693"/>
      <c r="J25" s="662">
        <f>SUMIF(75:75,I25,76:76)-SUMIF(75:75,C25,76:76)+100</f>
        <v>100</v>
      </c>
      <c r="K25" s="612"/>
      <c r="L25" s="1132"/>
      <c r="M25" s="1133"/>
      <c r="N25" s="1133"/>
      <c r="O25" s="1134"/>
      <c r="P25" s="3251"/>
      <c r="Q25" s="1790">
        <f t="shared" si="11"/>
        <v>111</v>
      </c>
      <c r="R25" s="767" t="s">
        <v>17</v>
      </c>
      <c r="S25" s="768">
        <f>F25</f>
        <v>100</v>
      </c>
      <c r="T25" s="767" t="s">
        <v>17</v>
      </c>
      <c r="U25" s="768">
        <f>H25</f>
        <v>100</v>
      </c>
      <c r="V25" s="767" t="s">
        <v>17</v>
      </c>
      <c r="W25" s="768">
        <f>J25</f>
        <v>100</v>
      </c>
      <c r="X25" s="769"/>
      <c r="Y25" s="3251"/>
      <c r="Z25" s="55">
        <f>Q25</f>
        <v>111</v>
      </c>
      <c r="AA25" s="1806">
        <f>D25/F25</f>
        <v>1</v>
      </c>
      <c r="AB25" s="1806">
        <f>D25/H25</f>
        <v>1</v>
      </c>
      <c r="AC25" s="1806">
        <f>D25/J25</f>
        <v>1</v>
      </c>
    </row>
    <row r="26" spans="1:29" ht="15">
      <c r="A26" s="465" t="s">
        <v>2562</v>
      </c>
      <c r="B26" s="71" t="s">
        <v>2713</v>
      </c>
      <c r="C26" s="2674"/>
      <c r="D26" s="466">
        <v>100</v>
      </c>
      <c r="E26" s="2674"/>
      <c r="F26" s="664">
        <f>SUMIF(77:77,E26,78:78)-SUMIF(77:77,C26,78:78)+100</f>
        <v>100</v>
      </c>
      <c r="G26" s="2674"/>
      <c r="H26" s="466">
        <f>SUMIF(77:77,G26,78:78)-SUMIF(77:77,C26,78:78)+100</f>
        <v>100</v>
      </c>
      <c r="I26" s="2674"/>
      <c r="J26" s="466">
        <f>SUMIF(77:77,I26,78:78)-SUMIF(77:77,C26,78:78)+100</f>
        <v>100</v>
      </c>
      <c r="K26" s="611"/>
      <c r="L26" s="1140"/>
      <c r="M26" s="1131"/>
      <c r="N26" s="1131"/>
      <c r="O26" s="1139"/>
      <c r="P26" s="3278" t="s">
        <v>2564</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55" t="s">
        <v>2564</v>
      </c>
      <c r="Z26" s="1809" t="str">
        <f t="shared" ref="Z26:Z34" si="15">Q26</f>
        <v>公共部分装修</v>
      </c>
      <c r="AA26" s="1806">
        <f t="shared" si="3"/>
        <v>1</v>
      </c>
      <c r="AB26" s="1806">
        <f t="shared" si="4"/>
        <v>1</v>
      </c>
      <c r="AC26" s="1806">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55"/>
      <c r="Q27" s="773" t="str">
        <f t="shared" si="11"/>
        <v>成新率</v>
      </c>
      <c r="R27" s="774" t="s">
        <v>17</v>
      </c>
      <c r="S27" s="775" t="e">
        <f t="shared" si="12"/>
        <v>#N/A</v>
      </c>
      <c r="T27" s="774" t="s">
        <v>17</v>
      </c>
      <c r="U27" s="775" t="e">
        <f t="shared" si="13"/>
        <v>#N/A</v>
      </c>
      <c r="V27" s="774" t="s">
        <v>17</v>
      </c>
      <c r="W27" s="775" t="e">
        <f t="shared" si="14"/>
        <v>#N/A</v>
      </c>
      <c r="X27" s="776"/>
      <c r="Y27" s="3255"/>
      <c r="Z27" s="777" t="str">
        <f t="shared" si="15"/>
        <v>成新率</v>
      </c>
      <c r="AA27" s="1806" t="e">
        <f t="shared" si="3"/>
        <v>#N/A</v>
      </c>
      <c r="AB27" s="1806" t="e">
        <f t="shared" si="4"/>
        <v>#N/A</v>
      </c>
      <c r="AC27" s="1806"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55"/>
      <c r="Q28" s="1805" t="str">
        <f t="shared" si="11"/>
        <v>物业等级</v>
      </c>
      <c r="R28" s="771" t="s">
        <v>17</v>
      </c>
      <c r="S28" s="772">
        <f t="shared" si="12"/>
        <v>100</v>
      </c>
      <c r="T28" s="771" t="s">
        <v>17</v>
      </c>
      <c r="U28" s="772">
        <f t="shared" si="13"/>
        <v>100</v>
      </c>
      <c r="V28" s="771" t="s">
        <v>17</v>
      </c>
      <c r="W28" s="772">
        <f t="shared" si="14"/>
        <v>100</v>
      </c>
      <c r="X28" s="1808"/>
      <c r="Y28" s="3255"/>
      <c r="Z28" s="1809" t="str">
        <f t="shared" si="15"/>
        <v>物业等级</v>
      </c>
      <c r="AA28" s="1806">
        <f t="shared" si="3"/>
        <v>1</v>
      </c>
      <c r="AB28" s="1806">
        <f t="shared" si="4"/>
        <v>1</v>
      </c>
      <c r="AC28" s="1806">
        <f t="shared" si="5"/>
        <v>1</v>
      </c>
    </row>
    <row r="29" spans="1:29" ht="15">
      <c r="A29" s="471"/>
      <c r="B29" s="421" t="s">
        <v>2736</v>
      </c>
      <c r="C29" s="654"/>
      <c r="D29" s="434">
        <v>100</v>
      </c>
      <c r="E29" s="654"/>
      <c r="F29" s="460">
        <f>SUMIF(84:84,E29,85:85)-SUMIF(84:84,C29,85:85)+100</f>
        <v>100</v>
      </c>
      <c r="G29" s="654"/>
      <c r="H29" s="434">
        <f>SUMIF(84:84,G29,85:85)-SUMIF(84:84,C29,85:85)+100</f>
        <v>100</v>
      </c>
      <c r="I29" s="654"/>
      <c r="J29" s="434">
        <f>SUMIF(84:84,I29,85:85)-SUMIF(84:84,C29,85:85)+100</f>
        <v>100</v>
      </c>
      <c r="K29" s="611"/>
      <c r="L29" s="1140"/>
      <c r="M29" s="1131"/>
      <c r="N29" s="1131"/>
      <c r="O29" s="1139"/>
      <c r="P29" s="3255"/>
      <c r="Q29" s="1805" t="str">
        <f t="shared" si="11"/>
        <v>有无电梯</v>
      </c>
      <c r="R29" s="771" t="s">
        <v>17</v>
      </c>
      <c r="S29" s="772">
        <f t="shared" si="12"/>
        <v>100</v>
      </c>
      <c r="T29" s="771" t="s">
        <v>17</v>
      </c>
      <c r="U29" s="772">
        <f t="shared" si="13"/>
        <v>100</v>
      </c>
      <c r="V29" s="771" t="s">
        <v>17</v>
      </c>
      <c r="W29" s="772">
        <f t="shared" si="14"/>
        <v>100</v>
      </c>
      <c r="X29" s="1808"/>
      <c r="Y29" s="3255"/>
      <c r="Z29" s="1809" t="str">
        <f t="shared" si="15"/>
        <v>有无电梯</v>
      </c>
      <c r="AA29" s="1806">
        <f t="shared" si="3"/>
        <v>1</v>
      </c>
      <c r="AB29" s="1806">
        <f t="shared" si="4"/>
        <v>1</v>
      </c>
      <c r="AC29" s="1806">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55"/>
      <c r="Q30" s="1805" t="str">
        <f t="shared" si="11"/>
        <v>建筑面积</v>
      </c>
      <c r="R30" s="771" t="s">
        <v>17</v>
      </c>
      <c r="S30" s="772" t="e">
        <f t="shared" si="12"/>
        <v>#N/A</v>
      </c>
      <c r="T30" s="771" t="s">
        <v>17</v>
      </c>
      <c r="U30" s="772" t="e">
        <f t="shared" si="13"/>
        <v>#N/A</v>
      </c>
      <c r="V30" s="771" t="s">
        <v>17</v>
      </c>
      <c r="W30" s="772" t="e">
        <f t="shared" si="14"/>
        <v>#N/A</v>
      </c>
      <c r="X30" s="1808"/>
      <c r="Y30" s="3255"/>
      <c r="Z30" s="1809" t="str">
        <f t="shared" si="15"/>
        <v>建筑面积</v>
      </c>
      <c r="AA30" s="1806" t="e">
        <f t="shared" si="3"/>
        <v>#N/A</v>
      </c>
      <c r="AB30" s="1806" t="e">
        <f t="shared" si="4"/>
        <v>#N/A</v>
      </c>
      <c r="AC30" s="1806" t="e">
        <f t="shared" si="5"/>
        <v>#N/A</v>
      </c>
    </row>
    <row r="31" spans="1:29" s="117" customFormat="1" ht="15">
      <c r="A31" s="472"/>
      <c r="B31" s="421" t="s">
        <v>2738</v>
      </c>
      <c r="C31" s="654"/>
      <c r="D31" s="135">
        <v>100</v>
      </c>
      <c r="E31" s="654"/>
      <c r="F31" s="460">
        <f>SUMIF(89:89,E31,90:90)-SUMIF(89:89,C31,90:90)+100</f>
        <v>100</v>
      </c>
      <c r="G31" s="654"/>
      <c r="H31" s="434">
        <f>SUMIF(89:89,G31,90:90)-SUMIF(89:89,C31,90:90)+100</f>
        <v>100</v>
      </c>
      <c r="I31" s="654"/>
      <c r="J31" s="434">
        <f>SUMIF(89:89,I31,90:90)-SUMIF(89:89,C31,90:90)+100</f>
        <v>100</v>
      </c>
      <c r="K31" s="611"/>
      <c r="L31" s="1132"/>
      <c r="M31" s="1133"/>
      <c r="N31" s="1133"/>
      <c r="O31" s="1134"/>
      <c r="P31" s="3255"/>
      <c r="Q31" s="1790" t="str">
        <f t="shared" si="11"/>
        <v>是否封闭</v>
      </c>
      <c r="R31" s="767" t="s">
        <v>17</v>
      </c>
      <c r="S31" s="768">
        <f t="shared" si="12"/>
        <v>100</v>
      </c>
      <c r="T31" s="767" t="s">
        <v>17</v>
      </c>
      <c r="U31" s="768">
        <f t="shared" si="13"/>
        <v>100</v>
      </c>
      <c r="V31" s="767" t="s">
        <v>17</v>
      </c>
      <c r="W31" s="768">
        <f t="shared" si="14"/>
        <v>100</v>
      </c>
      <c r="X31" s="769"/>
      <c r="Y31" s="3255"/>
      <c r="Z31" s="55" t="str">
        <f t="shared" si="15"/>
        <v>是否封闭</v>
      </c>
      <c r="AA31" s="770">
        <f t="shared" si="3"/>
        <v>1</v>
      </c>
      <c r="AB31" s="770">
        <f t="shared" si="4"/>
        <v>1</v>
      </c>
      <c r="AC31" s="770">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55" t="s">
        <v>2564</v>
      </c>
      <c r="Q32" s="1805">
        <f t="shared" si="11"/>
        <v>111</v>
      </c>
      <c r="R32" s="771" t="s">
        <v>17</v>
      </c>
      <c r="S32" s="772">
        <f t="shared" si="12"/>
        <v>100</v>
      </c>
      <c r="T32" s="771" t="s">
        <v>17</v>
      </c>
      <c r="U32" s="772">
        <f t="shared" si="13"/>
        <v>100</v>
      </c>
      <c r="V32" s="771" t="s">
        <v>17</v>
      </c>
      <c r="W32" s="772">
        <f t="shared" si="14"/>
        <v>100</v>
      </c>
      <c r="X32" s="1808"/>
      <c r="Y32" s="3255" t="s">
        <v>2564</v>
      </c>
      <c r="Z32" s="1809">
        <f t="shared" si="15"/>
        <v>111</v>
      </c>
      <c r="AA32" s="1806">
        <f t="shared" si="3"/>
        <v>1</v>
      </c>
      <c r="AB32" s="1806">
        <f t="shared" si="4"/>
        <v>1</v>
      </c>
      <c r="AC32" s="1806">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55"/>
      <c r="Q33" s="1805">
        <f t="shared" si="11"/>
        <v>111</v>
      </c>
      <c r="R33" s="771" t="s">
        <v>17</v>
      </c>
      <c r="S33" s="772">
        <f t="shared" si="12"/>
        <v>100</v>
      </c>
      <c r="T33" s="771" t="s">
        <v>17</v>
      </c>
      <c r="U33" s="772">
        <f t="shared" si="13"/>
        <v>100</v>
      </c>
      <c r="V33" s="771" t="s">
        <v>17</v>
      </c>
      <c r="W33" s="772">
        <f t="shared" si="14"/>
        <v>100</v>
      </c>
      <c r="X33" s="1808"/>
      <c r="Y33" s="3255"/>
      <c r="Z33" s="1809">
        <f t="shared" si="15"/>
        <v>111</v>
      </c>
      <c r="AA33" s="1806">
        <f t="shared" si="3"/>
        <v>1</v>
      </c>
      <c r="AB33" s="1806">
        <f t="shared" si="4"/>
        <v>1</v>
      </c>
      <c r="AC33" s="1806">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40"/>
      <c r="M34" s="1131"/>
      <c r="N34" s="1131"/>
      <c r="O34" s="1139"/>
      <c r="P34" s="3255"/>
      <c r="Q34" s="1805">
        <f t="shared" si="11"/>
        <v>111</v>
      </c>
      <c r="R34" s="771" t="s">
        <v>17</v>
      </c>
      <c r="S34" s="772">
        <f t="shared" si="12"/>
        <v>100</v>
      </c>
      <c r="T34" s="771" t="s">
        <v>17</v>
      </c>
      <c r="U34" s="772">
        <f t="shared" si="13"/>
        <v>100</v>
      </c>
      <c r="V34" s="771" t="s">
        <v>17</v>
      </c>
      <c r="W34" s="772">
        <f t="shared" si="14"/>
        <v>100</v>
      </c>
      <c r="X34" s="1808"/>
      <c r="Y34" s="3255"/>
      <c r="Z34" s="1809">
        <f t="shared" si="15"/>
        <v>111</v>
      </c>
      <c r="AA34" s="1806">
        <f t="shared" si="3"/>
        <v>1</v>
      </c>
      <c r="AB34" s="1806">
        <f t="shared" si="4"/>
        <v>1</v>
      </c>
      <c r="AC34" s="1806">
        <f t="shared" si="5"/>
        <v>1</v>
      </c>
    </row>
    <row r="35" spans="1:29" ht="15">
      <c r="A35" s="478" t="s">
        <v>2576</v>
      </c>
      <c r="B35" s="479"/>
      <c r="C35" s="1403" t="s">
        <v>1</v>
      </c>
      <c r="D35" s="1404"/>
      <c r="E35" s="1405"/>
      <c r="F35" s="1406"/>
      <c r="G35" s="1407"/>
      <c r="H35" s="1408"/>
      <c r="I35" s="1405"/>
      <c r="J35" s="1408"/>
      <c r="K35" s="780"/>
      <c r="L35" s="1143"/>
      <c r="M35" s="1144"/>
      <c r="N35" s="1131"/>
      <c r="O35" s="1144"/>
      <c r="P35" s="3248" t="str">
        <f>A35</f>
        <v>成交单价（元/平方米）</v>
      </c>
      <c r="Q35" s="3248"/>
      <c r="R35" s="3249">
        <f>E35</f>
        <v>0</v>
      </c>
      <c r="S35" s="3249"/>
      <c r="T35" s="3249">
        <f>G35</f>
        <v>0</v>
      </c>
      <c r="U35" s="3249"/>
      <c r="V35" s="3249">
        <f>I35</f>
        <v>0</v>
      </c>
      <c r="W35" s="3249"/>
      <c r="X35" s="756"/>
      <c r="Y35" s="778"/>
      <c r="Z35" s="756"/>
      <c r="AA35" s="756"/>
      <c r="AB35" s="756"/>
      <c r="AC35" s="756"/>
    </row>
    <row r="36" spans="1:29" ht="15.75" thickBot="1">
      <c r="A36" s="485" t="s">
        <v>2668</v>
      </c>
      <c r="B36" s="486"/>
      <c r="C36" s="1409" t="e">
        <f>R37</f>
        <v>#DIV/0!</v>
      </c>
      <c r="D36" s="1410"/>
      <c r="E36" s="1411" t="e">
        <f>R36</f>
        <v>#DIV/0!</v>
      </c>
      <c r="F36" s="1411"/>
      <c r="G36" s="1409" t="e">
        <f>T36</f>
        <v>#DIV/0!</v>
      </c>
      <c r="H36" s="1410"/>
      <c r="I36" s="1411" t="e">
        <f>V36</f>
        <v>#DIV/0!</v>
      </c>
      <c r="J36" s="1410"/>
      <c r="K36" s="781"/>
      <c r="L36" s="1143"/>
      <c r="M36" s="1144"/>
      <c r="N36" s="1131"/>
      <c r="O36" s="1144"/>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6"/>
      <c r="Y36" s="756"/>
      <c r="Z36" s="756"/>
      <c r="AA36" s="756"/>
      <c r="AB36" s="756"/>
      <c r="AC36" s="756"/>
    </row>
    <row r="37" spans="1:29" ht="15.75" thickBot="1">
      <c r="A37" s="491" t="s">
        <v>2669</v>
      </c>
      <c r="B37" s="492"/>
      <c r="C37" s="1413" t="e">
        <f>R37</f>
        <v>#DIV/0!</v>
      </c>
      <c r="D37" s="1413"/>
      <c r="E37" s="1413"/>
      <c r="F37" s="1413"/>
      <c r="G37" s="1413"/>
      <c r="H37" s="1413"/>
      <c r="I37" s="1413"/>
      <c r="J37" s="1413"/>
      <c r="K37" s="782"/>
      <c r="L37" s="1143"/>
      <c r="M37" s="1144"/>
      <c r="N37" s="1144"/>
      <c r="O37" s="1144"/>
      <c r="P37" s="3245" t="str">
        <f>A37</f>
        <v>估价对象XX用房的比较价值（楼面单价，元/平方米）</v>
      </c>
      <c r="Q37" s="3246"/>
      <c r="R37" s="3247" t="e">
        <f>IF(F1="售价",ROUND(AVERAGE(R36:V36),0),ROUND(AVERAGE(R36:V36),1))</f>
        <v>#DIV/0!</v>
      </c>
      <c r="S37" s="3247"/>
      <c r="T37" s="3247"/>
      <c r="U37" s="3247"/>
      <c r="V37" s="3247"/>
      <c r="W37" s="3247"/>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2673</v>
      </c>
      <c r="B45" s="756"/>
      <c r="C45" s="761"/>
      <c r="D45" s="761"/>
      <c r="E45" s="761"/>
      <c r="F45" s="762"/>
      <c r="G45" s="762"/>
      <c r="H45" s="761"/>
      <c r="I45" s="761"/>
      <c r="J45" s="761"/>
      <c r="K45" s="763"/>
      <c r="L45" s="764"/>
      <c r="M45" s="761"/>
      <c r="N45" s="761"/>
      <c r="O45" s="761"/>
      <c r="P45" s="502"/>
      <c r="Q45" s="503"/>
    </row>
    <row r="46" spans="1:29" s="507" customFormat="1" ht="15">
      <c r="A46" s="504" t="s">
        <v>2547</v>
      </c>
      <c r="B46" s="505"/>
      <c r="C46" s="1570" t="str">
        <f>YEAR(C7)&amp;"-"&amp;MONTH(C7)</f>
        <v>2018-9</v>
      </c>
      <c r="D46" s="1571">
        <f>EDATE(C46,-1)</f>
        <v>43313</v>
      </c>
      <c r="E46" s="1571">
        <f t="shared" ref="E46:O46" si="16">EDATE(D46,-1)</f>
        <v>43282</v>
      </c>
      <c r="F46" s="1571">
        <f t="shared" si="16"/>
        <v>43252</v>
      </c>
      <c r="G46" s="1571">
        <f t="shared" si="16"/>
        <v>43221</v>
      </c>
      <c r="H46" s="1571">
        <f t="shared" si="16"/>
        <v>43191</v>
      </c>
      <c r="I46" s="1571">
        <f t="shared" si="16"/>
        <v>43160</v>
      </c>
      <c r="J46" s="1571">
        <f t="shared" si="16"/>
        <v>43132</v>
      </c>
      <c r="K46" s="1571">
        <f t="shared" si="16"/>
        <v>43101</v>
      </c>
      <c r="L46" s="1571">
        <f t="shared" si="16"/>
        <v>43070</v>
      </c>
      <c r="M46" s="1571">
        <f t="shared" si="16"/>
        <v>43040</v>
      </c>
      <c r="N46" s="1571">
        <f t="shared" si="16"/>
        <v>43009</v>
      </c>
      <c r="O46" s="1571">
        <f t="shared" si="16"/>
        <v>42979</v>
      </c>
      <c r="P46" s="506"/>
    </row>
    <row r="47" spans="1:29" s="117" customFormat="1" ht="15">
      <c r="A47" s="508"/>
      <c r="B47" s="509"/>
      <c r="C47" s="1569">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1"/>
      <c r="O49" s="1151"/>
      <c r="P49" s="525"/>
      <c r="Q49" s="503"/>
    </row>
    <row r="50" spans="1:17" s="117" customFormat="1" ht="15.75" thickBot="1">
      <c r="A50" s="520"/>
      <c r="B50" s="509"/>
      <c r="C50" s="636">
        <v>100</v>
      </c>
      <c r="D50" s="511"/>
      <c r="E50" s="511"/>
      <c r="F50" s="511"/>
      <c r="G50" s="511"/>
      <c r="H50" s="511"/>
      <c r="I50" s="511"/>
      <c r="J50" s="511"/>
      <c r="K50" s="511"/>
      <c r="L50" s="511"/>
      <c r="M50" s="513"/>
      <c r="N50" s="1151"/>
      <c r="O50" s="1151"/>
      <c r="P50" s="503"/>
      <c r="Q50" s="503"/>
    </row>
    <row r="51" spans="1:17">
      <c r="A51" s="526" t="s">
        <v>2587</v>
      </c>
      <c r="B51" s="527" t="s">
        <v>2553</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7">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2688</v>
      </c>
      <c r="C65" s="657" t="s">
        <v>2674</v>
      </c>
      <c r="D65" s="657" t="s">
        <v>2675</v>
      </c>
      <c r="E65" s="657" t="s">
        <v>2676</v>
      </c>
      <c r="F65" s="657" t="s">
        <v>2677</v>
      </c>
      <c r="G65" s="657" t="s">
        <v>2678</v>
      </c>
      <c r="H65" s="538"/>
      <c r="I65" s="538"/>
      <c r="J65" s="538"/>
      <c r="K65" s="538"/>
      <c r="L65" s="538"/>
      <c r="M65" s="1378"/>
      <c r="N65" s="1153"/>
      <c r="O65" s="1153"/>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3"/>
      <c r="O66" s="1153"/>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2728</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2562</v>
      </c>
      <c r="B77" s="527" t="s">
        <v>2615</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7"/>
      <c r="J80" s="657"/>
      <c r="K80" s="665"/>
      <c r="L80" s="666"/>
      <c r="M80" s="667"/>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2732</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2740</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2742</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3">
        <f>B34</f>
        <v>111</v>
      </c>
      <c r="C95" s="548"/>
      <c r="D95" s="548"/>
      <c r="E95" s="548"/>
      <c r="F95" s="548"/>
      <c r="G95" s="553"/>
      <c r="H95" s="554"/>
      <c r="I95" s="554"/>
      <c r="J95" s="554"/>
      <c r="K95" s="554"/>
      <c r="L95" s="555"/>
      <c r="M95" s="556"/>
      <c r="N95" s="1153"/>
      <c r="O95" s="1153"/>
      <c r="P95" s="634"/>
      <c r="Q95" s="635"/>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2326</v>
      </c>
      <c r="B2" s="668"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2328</v>
      </c>
      <c r="B3" s="608" t="e">
        <f>ROUND(IF(D3="",B2*10000/'数据-汇总表'!E3,B2*10000/D3),0)</f>
        <v>#DIV/0!</v>
      </c>
      <c r="C3" s="246" t="s">
        <v>2745</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30"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30" ht="15.75" thickBot="1">
      <c r="A6" s="405"/>
      <c r="B6" s="406"/>
      <c r="C6" s="3226" t="s">
        <v>2545</v>
      </c>
      <c r="D6" s="3227"/>
      <c r="E6" s="3228" t="s">
        <v>2545</v>
      </c>
      <c r="F6" s="3229"/>
      <c r="G6" s="3226" t="s">
        <v>2545</v>
      </c>
      <c r="H6" s="3227"/>
      <c r="I6" s="3226" t="s">
        <v>2545</v>
      </c>
      <c r="J6" s="3227"/>
      <c r="K6" s="609" t="s">
        <v>2546</v>
      </c>
      <c r="L6" s="1130"/>
      <c r="M6" s="1131"/>
      <c r="N6" s="1131"/>
      <c r="O6" s="1131"/>
      <c r="P6" s="3239"/>
      <c r="Q6" s="3240"/>
      <c r="R6" s="3220"/>
      <c r="S6" s="3221"/>
      <c r="T6" s="3241"/>
      <c r="U6" s="3242"/>
      <c r="V6" s="3243"/>
      <c r="W6" s="3243"/>
      <c r="X6" s="1808"/>
      <c r="Y6" s="3241"/>
      <c r="Z6" s="3242"/>
      <c r="AA6" s="3215"/>
      <c r="AB6" s="3215"/>
      <c r="AC6" s="3215"/>
    </row>
    <row r="7" spans="1:30" s="117" customFormat="1" ht="15.75" thickBot="1">
      <c r="A7" s="407" t="s">
        <v>2547</v>
      </c>
      <c r="B7" s="408"/>
      <c r="C7" s="409">
        <f>'数据-取费表'!B2</f>
        <v>43346</v>
      </c>
      <c r="D7" s="410">
        <v>100</v>
      </c>
      <c r="E7" s="411">
        <v>42309</v>
      </c>
      <c r="F7" s="412">
        <f>SUMIF(70:70,YEAR(E7)&amp;"-"&amp;INT((MONTH(E7)+2)/3),71:71)</f>
        <v>0</v>
      </c>
      <c r="G7" s="2691">
        <v>42309</v>
      </c>
      <c r="H7" s="410">
        <f>SUMIF(70:70,YEAR(G7)&amp;"-"&amp;INT((MONTH(G7)+2)/3),71:71)</f>
        <v>0</v>
      </c>
      <c r="I7" s="2691">
        <v>42036</v>
      </c>
      <c r="J7" s="410">
        <f>SUMIF(70:70,YEAR(I7)&amp;"-"&amp;INT((MONTH(I7)+2)/3),71:71)</f>
        <v>0</v>
      </c>
      <c r="K7" s="610"/>
      <c r="L7" s="1132"/>
      <c r="M7" s="1133"/>
      <c r="N7" s="1133"/>
      <c r="O7" s="1133"/>
      <c r="P7" s="3216" t="s">
        <v>2548</v>
      </c>
      <c r="Q7" s="3244"/>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5" si="3">D8/F8</f>
        <v>#DIV/0!</v>
      </c>
      <c r="AB8" s="770" t="e">
        <f t="shared" ref="AB8:AB45" si="4">D8/H8</f>
        <v>#DIV/0!</v>
      </c>
      <c r="AC8" s="770" t="e">
        <f t="shared" ref="AC8:AC45" si="5">D8/J8</f>
        <v>#DIV/0!</v>
      </c>
    </row>
    <row r="9" spans="1:30" s="117" customFormat="1">
      <c r="A9" s="414" t="s">
        <v>2552</v>
      </c>
      <c r="B9" s="71" t="s">
        <v>2553</v>
      </c>
      <c r="C9" s="2694"/>
      <c r="D9" s="134">
        <v>100</v>
      </c>
      <c r="E9" s="2694"/>
      <c r="F9" s="134">
        <f>SUMIF(75:75,E9,76:76)-SUMIF(75:75,C9,76:76)+100</f>
        <v>100</v>
      </c>
      <c r="G9" s="2694"/>
      <c r="H9" s="134">
        <f>SUMIF(75:75,G9,76:76)-SUMIF(75:75,C9,76:76)+100</f>
        <v>100</v>
      </c>
      <c r="I9" s="2694"/>
      <c r="J9" s="134">
        <f>SUMIF(75:75,I9,76:76)-SUMIF(75:75,C9,76:76)+100</f>
        <v>100</v>
      </c>
      <c r="K9" s="610"/>
      <c r="L9" s="1132"/>
      <c r="M9" s="1133"/>
      <c r="N9" s="1133"/>
      <c r="O9" s="1134"/>
      <c r="P9" s="3248"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30" s="426" customFormat="1" ht="27">
      <c r="A10" s="420"/>
      <c r="B10" s="421" t="s">
        <v>2556</v>
      </c>
      <c r="C10" s="431"/>
      <c r="D10" s="135">
        <v>100</v>
      </c>
      <c r="E10" s="464"/>
      <c r="F10" s="135">
        <f>ROUND(100/'数据-取费表'!G16,0)</f>
        <v>111</v>
      </c>
      <c r="G10" s="462"/>
      <c r="H10" s="135">
        <f>ROUND(100/'数据-取费表'!G16,0)</f>
        <v>111</v>
      </c>
      <c r="I10" s="462"/>
      <c r="J10" s="135">
        <f>ROUND(100/'数据-取费表'!G16,0)</f>
        <v>111</v>
      </c>
      <c r="K10" s="669"/>
      <c r="L10" s="1135"/>
      <c r="M10" s="1136"/>
      <c r="N10" s="1136"/>
      <c r="O10" s="1137"/>
      <c r="P10" s="3248"/>
      <c r="Q10" s="1790" t="str">
        <f t="shared" si="6"/>
        <v>土地使用年限（年）</v>
      </c>
      <c r="R10" s="767" t="s">
        <v>17</v>
      </c>
      <c r="S10" s="768">
        <f t="shared" si="0"/>
        <v>111</v>
      </c>
      <c r="T10" s="767" t="s">
        <v>17</v>
      </c>
      <c r="U10" s="768">
        <f t="shared" si="1"/>
        <v>111</v>
      </c>
      <c r="V10" s="767" t="s">
        <v>17</v>
      </c>
      <c r="W10" s="768">
        <f t="shared" si="2"/>
        <v>111</v>
      </c>
      <c r="X10" s="769"/>
      <c r="Y10" s="3085"/>
      <c r="Z10" s="55" t="str">
        <f t="shared" si="7"/>
        <v>土地使用年限（年）</v>
      </c>
      <c r="AA10" s="770">
        <f t="shared" si="3"/>
        <v>0.90090090090090091</v>
      </c>
      <c r="AB10" s="770">
        <f t="shared" si="4"/>
        <v>0.90090090090090091</v>
      </c>
      <c r="AC10" s="770">
        <f t="shared" si="5"/>
        <v>0.90090090090090091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0"/>
      <c r="L11" s="1138"/>
      <c r="M11" s="1131"/>
      <c r="N11" s="1131"/>
      <c r="O11" s="1139"/>
      <c r="P11" s="3248"/>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770" t="e">
        <f t="shared" si="5"/>
        <v>#N/A</v>
      </c>
    </row>
    <row r="12" spans="1:30" s="117" customFormat="1" ht="15">
      <c r="A12" s="430"/>
      <c r="B12" s="2595" t="s">
        <v>2746</v>
      </c>
      <c r="C12" s="431"/>
      <c r="D12" s="432">
        <v>100</v>
      </c>
      <c r="E12" s="464"/>
      <c r="F12" s="135">
        <f>SUMIF(82:82,E12,83:83)-SUMIF(82:82,C12,83:83)+100</f>
        <v>100</v>
      </c>
      <c r="G12" s="462"/>
      <c r="H12" s="135">
        <f>SUMIF(82:82,G12,83:83)-SUMIF(82:82,C12,83:83)+100</f>
        <v>100</v>
      </c>
      <c r="I12" s="464"/>
      <c r="J12" s="135">
        <f>SUMIF(82:82,I12,83:83)-SUMIF(82:82,C12,83:83)+100</f>
        <v>100</v>
      </c>
      <c r="K12" s="669"/>
      <c r="L12" s="1132"/>
      <c r="M12" s="1133"/>
      <c r="N12" s="1133"/>
      <c r="O12" s="1134"/>
      <c r="P12" s="3248"/>
      <c r="Q12" s="1790" t="str">
        <f t="shared" si="6"/>
        <v>配建</v>
      </c>
      <c r="R12" s="767" t="s">
        <v>17</v>
      </c>
      <c r="S12" s="768">
        <f t="shared" si="0"/>
        <v>100</v>
      </c>
      <c r="T12" s="767" t="s">
        <v>17</v>
      </c>
      <c r="U12" s="768">
        <f t="shared" si="1"/>
        <v>100</v>
      </c>
      <c r="V12" s="767" t="s">
        <v>17</v>
      </c>
      <c r="W12" s="768">
        <f t="shared" si="2"/>
        <v>100</v>
      </c>
      <c r="X12" s="769"/>
      <c r="Y12" s="3085"/>
      <c r="Z12" s="55" t="str">
        <f t="shared" si="7"/>
        <v>配建</v>
      </c>
      <c r="AA12" s="770">
        <f>D12/F12</f>
        <v>1</v>
      </c>
      <c r="AB12" s="770">
        <f>D12/H12</f>
        <v>1</v>
      </c>
      <c r="AC12" s="770">
        <f>D12/J12</f>
        <v>1</v>
      </c>
    </row>
    <row r="13" spans="1:30" ht="15">
      <c r="A13" s="427"/>
      <c r="B13" s="2595">
        <v>111</v>
      </c>
      <c r="C13" s="433"/>
      <c r="D13" s="434">
        <v>100</v>
      </c>
      <c r="E13" s="548"/>
      <c r="F13" s="135">
        <f>SUMIF(84:84,E13,85:85)-SUMIF(84:84,C13,85:85)+100</f>
        <v>100</v>
      </c>
      <c r="G13" s="671"/>
      <c r="H13" s="434">
        <f>SUMIF(84:84,G13,85:85)-SUMIF(84:84,C13,85:85)+100</f>
        <v>100</v>
      </c>
      <c r="I13" s="671"/>
      <c r="J13" s="434">
        <f>SUMIF(84:84,I13,85:85)-SUMIF(84:84,C13,85:85)+100</f>
        <v>100</v>
      </c>
      <c r="K13" s="669"/>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D13/F13</f>
        <v>1</v>
      </c>
      <c r="AB13" s="770">
        <f>D13/H13</f>
        <v>1</v>
      </c>
      <c r="AC13" s="770">
        <f>D13/J13</f>
        <v>1</v>
      </c>
    </row>
    <row r="14" spans="1:30" ht="15.75" thickBot="1">
      <c r="A14" s="435"/>
      <c r="B14" s="2597">
        <v>111</v>
      </c>
      <c r="C14" s="436"/>
      <c r="D14" s="437">
        <v>100</v>
      </c>
      <c r="E14" s="548"/>
      <c r="F14" s="437">
        <f>SUMIF(86:86,E14,87:87)-SUMIF(86:86,C14,87:87)+100</f>
        <v>100</v>
      </c>
      <c r="G14" s="671"/>
      <c r="H14" s="437">
        <f>SUMIF(86:86,G14,87:87)-SUMIF(86:86,C14,87:87)+100</f>
        <v>100</v>
      </c>
      <c r="I14" s="671"/>
      <c r="J14" s="437">
        <f>SUMIF(86:86,I14,87:87)-SUMIF(86:86,C14,87:87)+100</f>
        <v>100</v>
      </c>
      <c r="K14" s="669"/>
      <c r="L14" s="1140"/>
      <c r="M14" s="1131"/>
      <c r="N14" s="1131"/>
      <c r="O14" s="1139"/>
      <c r="P14" s="3248"/>
      <c r="Q14" s="1790">
        <f t="shared" si="6"/>
        <v>111</v>
      </c>
      <c r="R14" s="767" t="s">
        <v>17</v>
      </c>
      <c r="S14" s="768">
        <f t="shared" si="0"/>
        <v>100</v>
      </c>
      <c r="T14" s="767" t="s">
        <v>17</v>
      </c>
      <c r="U14" s="768">
        <f t="shared" si="1"/>
        <v>100</v>
      </c>
      <c r="V14" s="767" t="s">
        <v>17</v>
      </c>
      <c r="W14" s="768">
        <f t="shared" si="2"/>
        <v>100</v>
      </c>
      <c r="X14" s="769"/>
      <c r="Y14" s="3085"/>
      <c r="Z14" s="55">
        <f t="shared" si="7"/>
        <v>111</v>
      </c>
      <c r="AA14" s="770">
        <f>D14/F14</f>
        <v>1</v>
      </c>
      <c r="AB14" s="770">
        <f>D14/H14</f>
        <v>1</v>
      </c>
      <c r="AC14" s="770">
        <f>D14/J14</f>
        <v>1</v>
      </c>
    </row>
    <row r="15" spans="1:30" ht="99.75">
      <c r="A15" s="439" t="s">
        <v>2558</v>
      </c>
      <c r="B15" s="69" t="s">
        <v>2086</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0"/>
      <c r="L15" s="1140"/>
      <c r="M15" s="1131"/>
      <c r="N15" s="1131"/>
      <c r="O15" s="1139"/>
      <c r="P15" s="3250" t="s">
        <v>2559</v>
      </c>
      <c r="Q15" s="1805" t="str">
        <f t="shared" si="6"/>
        <v>居住社区成熟度</v>
      </c>
      <c r="R15" s="771" t="s">
        <v>17</v>
      </c>
      <c r="S15" s="772">
        <f t="shared" si="0"/>
        <v>100</v>
      </c>
      <c r="T15" s="771" t="s">
        <v>17</v>
      </c>
      <c r="U15" s="772">
        <f t="shared" si="1"/>
        <v>100</v>
      </c>
      <c r="V15" s="771" t="s">
        <v>17</v>
      </c>
      <c r="W15" s="772">
        <f t="shared" si="2"/>
        <v>100</v>
      </c>
      <c r="X15" s="1808"/>
      <c r="Y15" s="3250" t="s">
        <v>2559</v>
      </c>
      <c r="Z15" s="1809" t="str">
        <f t="shared" si="7"/>
        <v>居住社区成熟度</v>
      </c>
      <c r="AA15" s="1806">
        <f t="shared" si="3"/>
        <v>1</v>
      </c>
      <c r="AB15" s="1806">
        <f t="shared" si="4"/>
        <v>1</v>
      </c>
      <c r="AC15" s="1806">
        <f t="shared" si="5"/>
        <v>1</v>
      </c>
    </row>
    <row r="16" spans="1:30" ht="15">
      <c r="A16" s="427"/>
      <c r="B16" s="445"/>
      <c r="C16" s="446"/>
      <c r="D16" s="447"/>
      <c r="E16" s="2600"/>
      <c r="F16" s="447"/>
      <c r="G16" s="2600"/>
      <c r="H16" s="449"/>
      <c r="I16" s="2599"/>
      <c r="J16" s="447"/>
      <c r="K16" s="669"/>
      <c r="L16" s="1140"/>
      <c r="M16" s="1131"/>
      <c r="N16" s="1131"/>
      <c r="O16" s="1139"/>
      <c r="P16" s="3251"/>
      <c r="Q16" s="1805"/>
      <c r="R16" s="771"/>
      <c r="S16" s="772"/>
      <c r="T16" s="771"/>
      <c r="U16" s="772"/>
      <c r="V16" s="771"/>
      <c r="W16" s="772"/>
      <c r="X16" s="1808"/>
      <c r="Y16" s="3251"/>
      <c r="Z16" s="1809"/>
      <c r="AA16" s="1806">
        <v>1</v>
      </c>
      <c r="AB16" s="1806">
        <v>1</v>
      </c>
      <c r="AC16" s="1806">
        <v>1</v>
      </c>
    </row>
    <row r="17" spans="1:29" ht="71.25">
      <c r="A17" s="427"/>
      <c r="B17" s="450" t="s">
        <v>2652</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0"/>
      <c r="L17" s="1140"/>
      <c r="M17" s="1131"/>
      <c r="N17" s="1131"/>
      <c r="O17" s="1139"/>
      <c r="P17" s="3251"/>
      <c r="Q17" s="1805" t="str">
        <f>B17</f>
        <v>商业繁华度</v>
      </c>
      <c r="R17" s="771" t="s">
        <v>17</v>
      </c>
      <c r="S17" s="772">
        <f>F17</f>
        <v>100</v>
      </c>
      <c r="T17" s="771" t="s">
        <v>17</v>
      </c>
      <c r="U17" s="772">
        <f>H17</f>
        <v>100</v>
      </c>
      <c r="V17" s="771" t="s">
        <v>17</v>
      </c>
      <c r="W17" s="772">
        <f>J17</f>
        <v>100</v>
      </c>
      <c r="X17" s="1808"/>
      <c r="Y17" s="3251"/>
      <c r="Z17" s="1809" t="str">
        <f>Q17</f>
        <v>商业繁华度</v>
      </c>
      <c r="AA17" s="1806">
        <f t="shared" si="3"/>
        <v>1</v>
      </c>
      <c r="AB17" s="1806">
        <f t="shared" si="4"/>
        <v>1</v>
      </c>
      <c r="AC17" s="1806">
        <f t="shared" si="5"/>
        <v>1</v>
      </c>
    </row>
    <row r="18" spans="1:29" ht="15">
      <c r="A18" s="427"/>
      <c r="B18" s="455"/>
      <c r="C18" s="2603"/>
      <c r="D18" s="449"/>
      <c r="E18" s="2605"/>
      <c r="F18" s="449"/>
      <c r="G18" s="2605"/>
      <c r="H18" s="447"/>
      <c r="I18" s="2604"/>
      <c r="J18" s="447"/>
      <c r="K18" s="669"/>
      <c r="L18" s="1140"/>
      <c r="M18" s="1131"/>
      <c r="N18" s="1131"/>
      <c r="O18" s="1139"/>
      <c r="P18" s="3251"/>
      <c r="Q18" s="1805"/>
      <c r="R18" s="771"/>
      <c r="S18" s="772"/>
      <c r="T18" s="771"/>
      <c r="U18" s="772"/>
      <c r="V18" s="771"/>
      <c r="W18" s="772"/>
      <c r="X18" s="1808"/>
      <c r="Y18" s="3251"/>
      <c r="Z18" s="1809"/>
      <c r="AA18" s="1806">
        <v>1</v>
      </c>
      <c r="AB18" s="1806">
        <v>1</v>
      </c>
      <c r="AC18" s="1806">
        <v>1</v>
      </c>
    </row>
    <row r="19" spans="1:29" ht="71.25">
      <c r="A19" s="427"/>
      <c r="B19" s="450" t="s">
        <v>2686</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0"/>
      <c r="L19" s="1140"/>
      <c r="M19" s="1131"/>
      <c r="N19" s="1131"/>
      <c r="O19" s="1139"/>
      <c r="P19" s="3251"/>
      <c r="Q19" s="1805" t="str">
        <f>B19</f>
        <v>办公集聚程度</v>
      </c>
      <c r="R19" s="771" t="s">
        <v>17</v>
      </c>
      <c r="S19" s="772">
        <f>F19</f>
        <v>100</v>
      </c>
      <c r="T19" s="771" t="s">
        <v>17</v>
      </c>
      <c r="U19" s="772">
        <f>H19</f>
        <v>100</v>
      </c>
      <c r="V19" s="771" t="s">
        <v>17</v>
      </c>
      <c r="W19" s="772">
        <f>J19</f>
        <v>100</v>
      </c>
      <c r="X19" s="1808"/>
      <c r="Y19" s="3251"/>
      <c r="Z19" s="1809" t="str">
        <f>Q19</f>
        <v>办公集聚程度</v>
      </c>
      <c r="AA19" s="1806">
        <f t="shared" si="3"/>
        <v>1</v>
      </c>
      <c r="AB19" s="1806">
        <f t="shared" si="4"/>
        <v>1</v>
      </c>
      <c r="AC19" s="1806">
        <f t="shared" si="5"/>
        <v>1</v>
      </c>
    </row>
    <row r="20" spans="1:29" ht="15">
      <c r="A20" s="427"/>
      <c r="B20" s="455"/>
      <c r="C20" s="446"/>
      <c r="D20" s="447"/>
      <c r="E20" s="2600"/>
      <c r="F20" s="447"/>
      <c r="G20" s="2600"/>
      <c r="H20" s="447"/>
      <c r="I20" s="2599"/>
      <c r="J20" s="447"/>
      <c r="K20" s="669"/>
      <c r="L20" s="1140"/>
      <c r="M20" s="1131"/>
      <c r="N20" s="1131"/>
      <c r="O20" s="1139"/>
      <c r="P20" s="3251"/>
      <c r="Q20" s="1805"/>
      <c r="R20" s="771"/>
      <c r="S20" s="772"/>
      <c r="T20" s="771"/>
      <c r="U20" s="772"/>
      <c r="V20" s="771"/>
      <c r="W20" s="772"/>
      <c r="X20" s="1808"/>
      <c r="Y20" s="3251"/>
      <c r="Z20" s="1809"/>
      <c r="AA20" s="1806">
        <v>1</v>
      </c>
      <c r="AB20" s="1806">
        <v>1</v>
      </c>
      <c r="AC20" s="1806">
        <v>1</v>
      </c>
    </row>
    <row r="21" spans="1:29" ht="85.5">
      <c r="A21" s="427"/>
      <c r="B21" s="450" t="s">
        <v>2708</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0"/>
      <c r="L21" s="1140"/>
      <c r="M21" s="1131"/>
      <c r="N21" s="1131"/>
      <c r="O21" s="1139"/>
      <c r="P21" s="3251"/>
      <c r="Q21" s="1805" t="str">
        <f>B21</f>
        <v>交通便捷度</v>
      </c>
      <c r="R21" s="771" t="s">
        <v>17</v>
      </c>
      <c r="S21" s="772">
        <f>F21</f>
        <v>100</v>
      </c>
      <c r="T21" s="771" t="s">
        <v>17</v>
      </c>
      <c r="U21" s="772">
        <f>H21</f>
        <v>100</v>
      </c>
      <c r="V21" s="771" t="s">
        <v>17</v>
      </c>
      <c r="W21" s="772">
        <f>J21</f>
        <v>100</v>
      </c>
      <c r="X21" s="1808"/>
      <c r="Y21" s="3251"/>
      <c r="Z21" s="1809" t="str">
        <f>Q21</f>
        <v>交通便捷度</v>
      </c>
      <c r="AA21" s="1806">
        <f t="shared" si="3"/>
        <v>1</v>
      </c>
      <c r="AB21" s="1806">
        <f t="shared" si="4"/>
        <v>1</v>
      </c>
      <c r="AC21" s="1806">
        <f t="shared" si="5"/>
        <v>1</v>
      </c>
    </row>
    <row r="22" spans="1:29" ht="15">
      <c r="A22" s="427"/>
      <c r="B22" s="1380"/>
      <c r="C22" s="446"/>
      <c r="D22" s="449"/>
      <c r="E22" s="2600"/>
      <c r="F22" s="447"/>
      <c r="G22" s="2600"/>
      <c r="H22" s="447"/>
      <c r="I22" s="2599"/>
      <c r="J22" s="447"/>
      <c r="K22" s="669"/>
      <c r="L22" s="1140"/>
      <c r="M22" s="1131"/>
      <c r="N22" s="1131"/>
      <c r="O22" s="1139"/>
      <c r="P22" s="3251"/>
      <c r="Q22" s="1805"/>
      <c r="R22" s="771"/>
      <c r="S22" s="772"/>
      <c r="T22" s="771"/>
      <c r="U22" s="772"/>
      <c r="V22" s="771"/>
      <c r="W22" s="772"/>
      <c r="X22" s="1808"/>
      <c r="Y22" s="3251"/>
      <c r="Z22" s="1809"/>
      <c r="AA22" s="1806">
        <v>1</v>
      </c>
      <c r="AB22" s="1806">
        <v>1</v>
      </c>
      <c r="AC22" s="1806">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40"/>
      <c r="M23" s="1131"/>
      <c r="N23" s="1131"/>
      <c r="O23" s="1139"/>
      <c r="P23" s="3251"/>
      <c r="Q23" s="1805" t="str">
        <f t="shared" ref="Q23:Q37" si="8">B23</f>
        <v>区域土地利用方向</v>
      </c>
      <c r="R23" s="771" t="s">
        <v>17</v>
      </c>
      <c r="S23" s="772">
        <f>F23</f>
        <v>100</v>
      </c>
      <c r="T23" s="771" t="s">
        <v>17</v>
      </c>
      <c r="U23" s="772">
        <f>H23</f>
        <v>100</v>
      </c>
      <c r="V23" s="771" t="s">
        <v>17</v>
      </c>
      <c r="W23" s="772">
        <f>J23</f>
        <v>100</v>
      </c>
      <c r="X23" s="1808"/>
      <c r="Y23" s="3251"/>
      <c r="Z23" s="1809" t="str">
        <f>Q23</f>
        <v>区域土地利用方向</v>
      </c>
      <c r="AA23" s="1806">
        <f t="shared" si="3"/>
        <v>1</v>
      </c>
      <c r="AB23" s="1806">
        <f t="shared" si="4"/>
        <v>1</v>
      </c>
      <c r="AC23" s="1806">
        <f t="shared" si="5"/>
        <v>1</v>
      </c>
    </row>
    <row r="24" spans="1:29" ht="15">
      <c r="A24" s="403"/>
      <c r="B24" s="455"/>
      <c r="C24" s="615"/>
      <c r="D24" s="447"/>
      <c r="E24" s="2600"/>
      <c r="F24" s="447"/>
      <c r="G24" s="2599"/>
      <c r="H24" s="447"/>
      <c r="I24" s="2599"/>
      <c r="J24" s="447"/>
      <c r="K24" s="809"/>
      <c r="L24" s="1140"/>
      <c r="M24" s="1131"/>
      <c r="N24" s="1131"/>
      <c r="O24" s="1139"/>
      <c r="P24" s="3251"/>
      <c r="Q24" s="1805"/>
      <c r="R24" s="771"/>
      <c r="S24" s="772"/>
      <c r="T24" s="771"/>
      <c r="U24" s="772"/>
      <c r="V24" s="771"/>
      <c r="W24" s="772"/>
      <c r="X24" s="1808"/>
      <c r="Y24" s="3251"/>
      <c r="Z24" s="1809"/>
      <c r="AA24" s="1806"/>
      <c r="AB24" s="1806"/>
      <c r="AC24" s="1806"/>
    </row>
    <row r="25" spans="1:29" ht="57">
      <c r="A25" s="403"/>
      <c r="B25" s="1380" t="s">
        <v>2748</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0"/>
      <c r="L25" s="1140"/>
      <c r="M25" s="1131"/>
      <c r="N25" s="1131"/>
      <c r="O25" s="1139"/>
      <c r="P25" s="3251"/>
      <c r="Q25" s="1805" t="str">
        <f t="shared" si="8"/>
        <v>自然及人文环境状况</v>
      </c>
      <c r="R25" s="771" t="s">
        <v>17</v>
      </c>
      <c r="S25" s="772">
        <f>F25</f>
        <v>100</v>
      </c>
      <c r="T25" s="771" t="s">
        <v>17</v>
      </c>
      <c r="U25" s="772">
        <f>H25</f>
        <v>100</v>
      </c>
      <c r="V25" s="771" t="s">
        <v>17</v>
      </c>
      <c r="W25" s="772">
        <f>J25</f>
        <v>100</v>
      </c>
      <c r="X25" s="1808"/>
      <c r="Y25" s="3251"/>
      <c r="Z25" s="1809" t="str">
        <f>Q25</f>
        <v>自然及人文环境状况</v>
      </c>
      <c r="AA25" s="1806">
        <f t="shared" si="3"/>
        <v>1</v>
      </c>
      <c r="AB25" s="1806">
        <f t="shared" si="4"/>
        <v>1</v>
      </c>
      <c r="AC25" s="1806">
        <f t="shared" si="5"/>
        <v>1</v>
      </c>
    </row>
    <row r="26" spans="1:29" ht="15">
      <c r="A26" s="403"/>
      <c r="B26" s="455"/>
      <c r="C26" s="446"/>
      <c r="D26" s="447"/>
      <c r="E26" s="2606"/>
      <c r="F26" s="447"/>
      <c r="G26" s="2606"/>
      <c r="H26" s="447"/>
      <c r="I26" s="446"/>
      <c r="J26" s="447"/>
      <c r="K26" s="669"/>
      <c r="L26" s="1140"/>
      <c r="M26" s="1131"/>
      <c r="N26" s="1131"/>
      <c r="O26" s="1139"/>
      <c r="P26" s="3251"/>
      <c r="Q26" s="1805"/>
      <c r="R26" s="771"/>
      <c r="S26" s="772"/>
      <c r="T26" s="771"/>
      <c r="U26" s="772"/>
      <c r="V26" s="771"/>
      <c r="W26" s="772"/>
      <c r="X26" s="1808"/>
      <c r="Y26" s="3251"/>
      <c r="Z26" s="1809"/>
      <c r="AA26" s="1806">
        <v>1</v>
      </c>
      <c r="AB26" s="1806">
        <v>1</v>
      </c>
      <c r="AC26" s="1806">
        <v>1</v>
      </c>
    </row>
    <row r="27" spans="1:29" s="117" customFormat="1" ht="42.75">
      <c r="A27" s="646"/>
      <c r="B27" s="1380" t="s">
        <v>2653</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32"/>
      <c r="M27" s="1133"/>
      <c r="N27" s="1133"/>
      <c r="O27" s="1134"/>
      <c r="P27" s="3251"/>
      <c r="Q27" s="1790" t="str">
        <f t="shared" si="8"/>
        <v>公共配套设施</v>
      </c>
      <c r="R27" s="767" t="s">
        <v>17</v>
      </c>
      <c r="S27" s="768">
        <f>F27</f>
        <v>100</v>
      </c>
      <c r="T27" s="767" t="s">
        <v>17</v>
      </c>
      <c r="U27" s="768">
        <f>H27</f>
        <v>100</v>
      </c>
      <c r="V27" s="767" t="s">
        <v>17</v>
      </c>
      <c r="W27" s="768">
        <f>J27</f>
        <v>100</v>
      </c>
      <c r="X27" s="769"/>
      <c r="Y27" s="3251"/>
      <c r="Z27" s="55" t="str">
        <f>Q27</f>
        <v>公共配套设施</v>
      </c>
      <c r="AA27" s="1806">
        <f>D27/F27</f>
        <v>1</v>
      </c>
      <c r="AB27" s="1806">
        <f>D27/H27</f>
        <v>1</v>
      </c>
      <c r="AC27" s="1806">
        <f>D27/J27</f>
        <v>1</v>
      </c>
    </row>
    <row r="28" spans="1:29" s="117" customFormat="1" ht="15">
      <c r="A28" s="646"/>
      <c r="B28" s="455"/>
      <c r="C28" s="2695"/>
      <c r="D28" s="447"/>
      <c r="E28" s="2606"/>
      <c r="F28" s="447"/>
      <c r="G28" s="2606"/>
      <c r="H28" s="447"/>
      <c r="I28" s="446"/>
      <c r="J28" s="447"/>
      <c r="K28" s="669"/>
      <c r="L28" s="1132"/>
      <c r="M28" s="1133"/>
      <c r="N28" s="1133"/>
      <c r="O28" s="1134"/>
      <c r="P28" s="3251"/>
      <c r="Q28" s="1790"/>
      <c r="R28" s="767"/>
      <c r="S28" s="768"/>
      <c r="T28" s="767"/>
      <c r="U28" s="768"/>
      <c r="V28" s="767"/>
      <c r="W28" s="768"/>
      <c r="X28" s="769"/>
      <c r="Y28" s="3251"/>
      <c r="Z28" s="55"/>
      <c r="AA28" s="1806">
        <v>1</v>
      </c>
      <c r="AB28" s="1806">
        <v>1</v>
      </c>
      <c r="AC28" s="1806">
        <v>1</v>
      </c>
    </row>
    <row r="29" spans="1:29" s="117" customFormat="1" ht="28.5">
      <c r="A29" s="646"/>
      <c r="B29" s="1380" t="s">
        <v>2654</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32"/>
      <c r="M29" s="1133"/>
      <c r="N29" s="1133"/>
      <c r="O29" s="1134"/>
      <c r="P29" s="3251"/>
      <c r="Q29" s="1790" t="str">
        <f t="shared" ref="Q29" si="9">B29</f>
        <v>基础设施水平</v>
      </c>
      <c r="R29" s="767" t="s">
        <v>17</v>
      </c>
      <c r="S29" s="768">
        <f>F29</f>
        <v>100</v>
      </c>
      <c r="T29" s="767" t="s">
        <v>17</v>
      </c>
      <c r="U29" s="768">
        <f>H29</f>
        <v>100</v>
      </c>
      <c r="V29" s="767" t="s">
        <v>17</v>
      </c>
      <c r="W29" s="768">
        <f>J29</f>
        <v>100</v>
      </c>
      <c r="X29" s="769"/>
      <c r="Y29" s="3251"/>
      <c r="Z29" s="55" t="str">
        <f>Q29</f>
        <v>基础设施水平</v>
      </c>
      <c r="AA29" s="1806">
        <f>D29/F29</f>
        <v>1</v>
      </c>
      <c r="AB29" s="1806">
        <f>D29/H29</f>
        <v>1</v>
      </c>
      <c r="AC29" s="1806">
        <f>D29/J29</f>
        <v>1</v>
      </c>
    </row>
    <row r="30" spans="1:29" s="117" customFormat="1" ht="15">
      <c r="A30" s="646"/>
      <c r="B30" s="455"/>
      <c r="C30" s="2695"/>
      <c r="D30" s="447"/>
      <c r="E30" s="2696"/>
      <c r="F30" s="447"/>
      <c r="G30" s="2696"/>
      <c r="H30" s="447"/>
      <c r="I30" s="2696"/>
      <c r="J30" s="447"/>
      <c r="K30" s="669"/>
      <c r="L30" s="1132"/>
      <c r="M30" s="1133"/>
      <c r="N30" s="1133"/>
      <c r="O30" s="1134"/>
      <c r="P30" s="3251"/>
      <c r="Q30" s="1790"/>
      <c r="R30" s="767"/>
      <c r="S30" s="768"/>
      <c r="T30" s="767"/>
      <c r="U30" s="768"/>
      <c r="V30" s="767"/>
      <c r="W30" s="768"/>
      <c r="X30" s="769"/>
      <c r="Y30" s="3251"/>
      <c r="Z30" s="55"/>
      <c r="AA30" s="1806">
        <v>1</v>
      </c>
      <c r="AB30" s="1806">
        <v>1</v>
      </c>
      <c r="AC30" s="1806">
        <v>1</v>
      </c>
    </row>
    <row r="31" spans="1:29" ht="15">
      <c r="A31" s="427"/>
      <c r="B31" s="455" t="s">
        <v>2655</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40"/>
      <c r="M31" s="1131"/>
      <c r="N31" s="1131"/>
      <c r="O31" s="1139"/>
      <c r="P31" s="3251"/>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51"/>
      <c r="Z31" s="1809" t="str">
        <f t="shared" ref="Z31:Z45" si="13">Q31</f>
        <v>临街状况</v>
      </c>
      <c r="AA31" s="1806">
        <f t="shared" si="3"/>
        <v>1</v>
      </c>
      <c r="AB31" s="1806">
        <f t="shared" si="4"/>
        <v>1</v>
      </c>
      <c r="AC31" s="1806">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40"/>
      <c r="M32" s="1131"/>
      <c r="N32" s="1131"/>
      <c r="O32" s="1139"/>
      <c r="P32" s="3251"/>
      <c r="Q32" s="1805" t="str">
        <f t="shared" si="8"/>
        <v>毗邻道路的类型与等级</v>
      </c>
      <c r="R32" s="771" t="s">
        <v>17</v>
      </c>
      <c r="S32" s="772">
        <f t="shared" si="10"/>
        <v>100</v>
      </c>
      <c r="T32" s="771" t="s">
        <v>17</v>
      </c>
      <c r="U32" s="772">
        <f t="shared" si="11"/>
        <v>100</v>
      </c>
      <c r="V32" s="771" t="s">
        <v>17</v>
      </c>
      <c r="W32" s="772">
        <f t="shared" si="12"/>
        <v>100</v>
      </c>
      <c r="X32" s="1808"/>
      <c r="Y32" s="3251"/>
      <c r="Z32" s="1809" t="str">
        <f t="shared" si="13"/>
        <v>毗邻道路的类型与等级</v>
      </c>
      <c r="AA32" s="1806">
        <f t="shared" si="3"/>
        <v>1</v>
      </c>
      <c r="AB32" s="1806">
        <f t="shared" si="4"/>
        <v>1</v>
      </c>
      <c r="AC32" s="1806">
        <f t="shared" si="5"/>
        <v>1</v>
      </c>
    </row>
    <row r="33" spans="1:29" ht="15">
      <c r="A33" s="427"/>
      <c r="B33" s="455"/>
      <c r="C33" s="446"/>
      <c r="D33" s="447"/>
      <c r="E33" s="2606"/>
      <c r="F33" s="447"/>
      <c r="G33" s="2606"/>
      <c r="H33" s="447"/>
      <c r="I33" s="446"/>
      <c r="J33" s="447"/>
      <c r="K33" s="612"/>
      <c r="L33" s="1140"/>
      <c r="M33" s="1131"/>
      <c r="N33" s="1131"/>
      <c r="O33" s="1139"/>
      <c r="P33" s="3251"/>
      <c r="Q33" s="1805"/>
      <c r="R33" s="771"/>
      <c r="S33" s="772"/>
      <c r="T33" s="771"/>
      <c r="U33" s="772"/>
      <c r="V33" s="771"/>
      <c r="W33" s="772"/>
      <c r="X33" s="1808"/>
      <c r="Y33" s="3251"/>
      <c r="Z33" s="1809"/>
      <c r="AA33" s="1806">
        <v>1</v>
      </c>
      <c r="AB33" s="1806">
        <v>1</v>
      </c>
      <c r="AC33" s="1806">
        <v>1</v>
      </c>
    </row>
    <row r="34" spans="1:29" ht="15">
      <c r="A34" s="427"/>
      <c r="B34" s="421" t="s">
        <v>2749</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40"/>
      <c r="M34" s="1131"/>
      <c r="N34" s="1131"/>
      <c r="O34" s="1139"/>
      <c r="P34" s="3251"/>
      <c r="Q34" s="1805" t="str">
        <f t="shared" si="8"/>
        <v>土地级别</v>
      </c>
      <c r="R34" s="771" t="s">
        <v>17</v>
      </c>
      <c r="S34" s="772">
        <f t="shared" si="10"/>
        <v>100</v>
      </c>
      <c r="T34" s="771" t="s">
        <v>17</v>
      </c>
      <c r="U34" s="772">
        <f t="shared" si="11"/>
        <v>100</v>
      </c>
      <c r="V34" s="771" t="s">
        <v>17</v>
      </c>
      <c r="W34" s="772">
        <f t="shared" si="12"/>
        <v>100</v>
      </c>
      <c r="X34" s="1808"/>
      <c r="Y34" s="3251"/>
      <c r="Z34" s="1809" t="str">
        <f t="shared" si="13"/>
        <v>土地级别</v>
      </c>
      <c r="AA34" s="1806">
        <f t="shared" si="3"/>
        <v>1</v>
      </c>
      <c r="AB34" s="1806">
        <f t="shared" si="4"/>
        <v>1</v>
      </c>
      <c r="AC34" s="1806">
        <f t="shared" si="5"/>
        <v>1</v>
      </c>
    </row>
    <row r="35" spans="1:29" ht="15">
      <c r="A35" s="403"/>
      <c r="B35" s="1382">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40"/>
      <c r="M35" s="1131"/>
      <c r="N35" s="1131"/>
      <c r="O35" s="1139"/>
      <c r="P35" s="3251"/>
      <c r="Q35" s="1805">
        <f t="shared" si="8"/>
        <v>111</v>
      </c>
      <c r="R35" s="771" t="s">
        <v>17</v>
      </c>
      <c r="S35" s="772">
        <f t="shared" si="10"/>
        <v>100</v>
      </c>
      <c r="T35" s="771" t="s">
        <v>17</v>
      </c>
      <c r="U35" s="772">
        <f t="shared" si="11"/>
        <v>100</v>
      </c>
      <c r="V35" s="771" t="s">
        <v>17</v>
      </c>
      <c r="W35" s="772">
        <f t="shared" si="12"/>
        <v>100</v>
      </c>
      <c r="X35" s="1808"/>
      <c r="Y35" s="3251"/>
      <c r="Z35" s="1809">
        <f t="shared" si="13"/>
        <v>111</v>
      </c>
      <c r="AA35" s="1806">
        <f t="shared" si="3"/>
        <v>1</v>
      </c>
      <c r="AB35" s="1806">
        <f t="shared" si="4"/>
        <v>1</v>
      </c>
      <c r="AC35" s="1806">
        <f t="shared" si="5"/>
        <v>1</v>
      </c>
    </row>
    <row r="36" spans="1:29" ht="15">
      <c r="A36" s="672"/>
      <c r="B36" s="1383">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40"/>
      <c r="M36" s="1131"/>
      <c r="N36" s="1131"/>
      <c r="O36" s="1139"/>
      <c r="P36" s="3278" t="s">
        <v>2564</v>
      </c>
      <c r="Q36" s="1805">
        <f t="shared" si="8"/>
        <v>111</v>
      </c>
      <c r="R36" s="771" t="s">
        <v>17</v>
      </c>
      <c r="S36" s="772">
        <f t="shared" si="10"/>
        <v>100</v>
      </c>
      <c r="T36" s="771" t="s">
        <v>17</v>
      </c>
      <c r="U36" s="772">
        <f t="shared" si="11"/>
        <v>100</v>
      </c>
      <c r="V36" s="771" t="s">
        <v>17</v>
      </c>
      <c r="W36" s="772">
        <f t="shared" si="12"/>
        <v>100</v>
      </c>
      <c r="X36" s="1808"/>
      <c r="Y36" s="3255" t="s">
        <v>2564</v>
      </c>
      <c r="Z36" s="1809">
        <f t="shared" si="13"/>
        <v>111</v>
      </c>
      <c r="AA36" s="1806">
        <f t="shared" si="3"/>
        <v>1</v>
      </c>
      <c r="AB36" s="1806">
        <f t="shared" si="4"/>
        <v>1</v>
      </c>
      <c r="AC36" s="1806">
        <f t="shared" si="5"/>
        <v>1</v>
      </c>
    </row>
    <row r="37" spans="1:29" s="470" customFormat="1" ht="15.75" thickBot="1">
      <c r="A37" s="673"/>
      <c r="B37" s="1384">
        <v>111</v>
      </c>
      <c r="C37" s="675"/>
      <c r="D37" s="136">
        <v>100</v>
      </c>
      <c r="E37" s="698"/>
      <c r="F37" s="437">
        <f>SUMIF(114:114,E37,115:115)-SUMIF(114:114,C37,115:115)+100</f>
        <v>100</v>
      </c>
      <c r="G37" s="698"/>
      <c r="H37" s="437">
        <f>SUMIF(114:114,G37,115:115)-SUMIF(114:114,C37,115:115)+100</f>
        <v>100</v>
      </c>
      <c r="I37" s="675"/>
      <c r="J37" s="437">
        <f>SUMIF(114:114,I37,115:115)-SUMIF(114:114,C37,115:115)+100</f>
        <v>100</v>
      </c>
      <c r="K37" s="612"/>
      <c r="L37" s="1138"/>
      <c r="M37" s="1141"/>
      <c r="N37" s="1141"/>
      <c r="O37" s="1142"/>
      <c r="P37" s="3255"/>
      <c r="Q37" s="1805">
        <f t="shared" si="8"/>
        <v>111</v>
      </c>
      <c r="R37" s="774" t="s">
        <v>17</v>
      </c>
      <c r="S37" s="775">
        <f t="shared" si="10"/>
        <v>100</v>
      </c>
      <c r="T37" s="774" t="s">
        <v>17</v>
      </c>
      <c r="U37" s="775">
        <f t="shared" si="11"/>
        <v>100</v>
      </c>
      <c r="V37" s="774" t="s">
        <v>17</v>
      </c>
      <c r="W37" s="775">
        <f t="shared" si="12"/>
        <v>100</v>
      </c>
      <c r="X37" s="776"/>
      <c r="Y37" s="3255"/>
      <c r="Z37" s="777">
        <f t="shared" si="13"/>
        <v>111</v>
      </c>
      <c r="AA37" s="1806">
        <f t="shared" si="3"/>
        <v>1</v>
      </c>
      <c r="AB37" s="1806">
        <f t="shared" si="4"/>
        <v>1</v>
      </c>
      <c r="AC37" s="1806">
        <f t="shared" si="5"/>
        <v>1</v>
      </c>
    </row>
    <row r="38" spans="1:29" ht="15">
      <c r="A38" s="471" t="s">
        <v>2562</v>
      </c>
      <c r="B38" s="455" t="s">
        <v>2750</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40"/>
      <c r="M38" s="1131"/>
      <c r="N38" s="1131"/>
      <c r="O38" s="1139"/>
      <c r="P38" s="3255"/>
      <c r="Q38" s="1805" t="str">
        <f>B38</f>
        <v>宗地面积</v>
      </c>
      <c r="R38" s="771" t="s">
        <v>17</v>
      </c>
      <c r="S38" s="772" t="e">
        <f t="shared" si="10"/>
        <v>#N/A</v>
      </c>
      <c r="T38" s="771" t="s">
        <v>17</v>
      </c>
      <c r="U38" s="772" t="e">
        <f t="shared" si="11"/>
        <v>#N/A</v>
      </c>
      <c r="V38" s="771" t="s">
        <v>17</v>
      </c>
      <c r="W38" s="772" t="e">
        <f t="shared" si="12"/>
        <v>#N/A</v>
      </c>
      <c r="X38" s="1808"/>
      <c r="Y38" s="3255"/>
      <c r="Z38" s="1809" t="str">
        <f t="shared" si="13"/>
        <v>宗地面积</v>
      </c>
      <c r="AA38" s="1806" t="e">
        <f t="shared" si="3"/>
        <v>#N/A</v>
      </c>
      <c r="AB38" s="1806" t="e">
        <f t="shared" si="4"/>
        <v>#N/A</v>
      </c>
      <c r="AC38" s="1806" t="e">
        <f t="shared" si="5"/>
        <v>#N/A</v>
      </c>
    </row>
    <row r="39" spans="1:29" ht="15">
      <c r="A39" s="471"/>
      <c r="B39" s="421" t="s">
        <v>2751</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40"/>
      <c r="M39" s="1131"/>
      <c r="N39" s="1131"/>
      <c r="O39" s="1139"/>
      <c r="P39" s="3255"/>
      <c r="Q39" s="1805" t="str">
        <f t="shared" ref="Q39:Q45" si="14">B39</f>
        <v>宗地形状</v>
      </c>
      <c r="R39" s="771" t="s">
        <v>17</v>
      </c>
      <c r="S39" s="772">
        <f t="shared" si="10"/>
        <v>100</v>
      </c>
      <c r="T39" s="771" t="s">
        <v>17</v>
      </c>
      <c r="U39" s="772">
        <f t="shared" si="11"/>
        <v>100</v>
      </c>
      <c r="V39" s="771" t="s">
        <v>17</v>
      </c>
      <c r="W39" s="772">
        <f t="shared" si="12"/>
        <v>100</v>
      </c>
      <c r="X39" s="1808"/>
      <c r="Y39" s="3255"/>
      <c r="Z39" s="1809" t="str">
        <f t="shared" si="13"/>
        <v>宗地形状</v>
      </c>
      <c r="AA39" s="1806">
        <f t="shared" si="3"/>
        <v>1</v>
      </c>
      <c r="AB39" s="1806">
        <f t="shared" si="4"/>
        <v>1</v>
      </c>
      <c r="AC39" s="1806">
        <f t="shared" si="5"/>
        <v>1</v>
      </c>
    </row>
    <row r="40" spans="1:29" ht="15">
      <c r="A40" s="471"/>
      <c r="B40" s="421" t="s">
        <v>2752</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40"/>
      <c r="M40" s="1131"/>
      <c r="N40" s="1131"/>
      <c r="O40" s="1139"/>
      <c r="P40" s="3255"/>
      <c r="Q40" s="1805" t="str">
        <f t="shared" si="14"/>
        <v>临街宽度及深度</v>
      </c>
      <c r="R40" s="771" t="s">
        <v>17</v>
      </c>
      <c r="S40" s="772">
        <f t="shared" si="10"/>
        <v>100</v>
      </c>
      <c r="T40" s="771" t="s">
        <v>17</v>
      </c>
      <c r="U40" s="772">
        <f t="shared" si="11"/>
        <v>100</v>
      </c>
      <c r="V40" s="771" t="s">
        <v>17</v>
      </c>
      <c r="W40" s="772">
        <f t="shared" si="12"/>
        <v>100</v>
      </c>
      <c r="X40" s="1808"/>
      <c r="Y40" s="3255"/>
      <c r="Z40" s="1809" t="str">
        <f t="shared" si="13"/>
        <v>临街宽度及深度</v>
      </c>
      <c r="AA40" s="1806">
        <f t="shared" si="3"/>
        <v>1</v>
      </c>
      <c r="AB40" s="1806">
        <f t="shared" si="4"/>
        <v>1</v>
      </c>
      <c r="AC40" s="1806">
        <f t="shared" si="5"/>
        <v>1</v>
      </c>
    </row>
    <row r="41" spans="1:29" s="117" customFormat="1" ht="15">
      <c r="A41" s="472"/>
      <c r="B41" s="421" t="s">
        <v>2753</v>
      </c>
      <c r="C41" s="2697"/>
      <c r="D41" s="135">
        <v>100</v>
      </c>
      <c r="E41" s="2697"/>
      <c r="F41" s="434">
        <f>SUMIF(123:123,E41,124:124)-SUMIF(123:123,C41,124:124)+100</f>
        <v>100</v>
      </c>
      <c r="G41" s="2697"/>
      <c r="H41" s="434">
        <f>SUMIF(123:123,G41,124:124)-SUMIF(123:123,C41,124:124)+100</f>
        <v>100</v>
      </c>
      <c r="I41" s="2697"/>
      <c r="J41" s="434">
        <f>SUMIF(123:123,I41,124:124)-SUMIF(123:123,C41,124:124)+100</f>
        <v>100</v>
      </c>
      <c r="K41" s="611"/>
      <c r="L41" s="1132"/>
      <c r="M41" s="1133"/>
      <c r="N41" s="1133"/>
      <c r="O41" s="1134"/>
      <c r="P41" s="3255"/>
      <c r="Q41" s="1805" t="str">
        <f t="shared" si="14"/>
        <v>宗地开发程度</v>
      </c>
      <c r="R41" s="767" t="s">
        <v>17</v>
      </c>
      <c r="S41" s="768">
        <f t="shared" si="10"/>
        <v>100</v>
      </c>
      <c r="T41" s="767" t="s">
        <v>17</v>
      </c>
      <c r="U41" s="768">
        <f t="shared" si="11"/>
        <v>100</v>
      </c>
      <c r="V41" s="767" t="s">
        <v>17</v>
      </c>
      <c r="W41" s="768">
        <f t="shared" si="12"/>
        <v>100</v>
      </c>
      <c r="X41" s="769"/>
      <c r="Y41" s="3255"/>
      <c r="Z41" s="55" t="str">
        <f t="shared" si="13"/>
        <v>宗地开发程度</v>
      </c>
      <c r="AA41" s="770">
        <f t="shared" si="3"/>
        <v>1</v>
      </c>
      <c r="AB41" s="770">
        <f t="shared" si="4"/>
        <v>1</v>
      </c>
      <c r="AC41" s="770">
        <f t="shared" si="5"/>
        <v>1</v>
      </c>
    </row>
    <row r="42" spans="1:29" ht="15">
      <c r="A42" s="471"/>
      <c r="B42" s="421" t="s">
        <v>2754</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40"/>
      <c r="M42" s="1131"/>
      <c r="N42" s="1131"/>
      <c r="O42" s="1139"/>
      <c r="P42" s="3255" t="s">
        <v>2564</v>
      </c>
      <c r="Q42" s="1805" t="str">
        <f t="shared" si="14"/>
        <v>工程地质条件</v>
      </c>
      <c r="R42" s="771" t="s">
        <v>17</v>
      </c>
      <c r="S42" s="772">
        <f t="shared" si="10"/>
        <v>100</v>
      </c>
      <c r="T42" s="771" t="s">
        <v>17</v>
      </c>
      <c r="U42" s="772">
        <f t="shared" si="11"/>
        <v>100</v>
      </c>
      <c r="V42" s="771" t="s">
        <v>17</v>
      </c>
      <c r="W42" s="772">
        <f t="shared" si="12"/>
        <v>100</v>
      </c>
      <c r="X42" s="1808"/>
      <c r="Y42" s="3255" t="s">
        <v>2564</v>
      </c>
      <c r="Z42" s="1809" t="str">
        <f t="shared" si="13"/>
        <v>工程地质条件</v>
      </c>
      <c r="AA42" s="1806">
        <f t="shared" si="3"/>
        <v>1</v>
      </c>
      <c r="AB42" s="1806">
        <f t="shared" si="4"/>
        <v>1</v>
      </c>
      <c r="AC42" s="1806">
        <f t="shared" si="5"/>
        <v>1</v>
      </c>
    </row>
    <row r="43" spans="1:29" ht="15">
      <c r="A43" s="471"/>
      <c r="B43" s="1383">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40"/>
      <c r="M43" s="1131"/>
      <c r="N43" s="1131"/>
      <c r="O43" s="1139"/>
      <c r="P43" s="3255"/>
      <c r="Q43" s="1805">
        <f t="shared" si="14"/>
        <v>111</v>
      </c>
      <c r="R43" s="771" t="s">
        <v>17</v>
      </c>
      <c r="S43" s="772">
        <f t="shared" si="10"/>
        <v>100</v>
      </c>
      <c r="T43" s="771" t="s">
        <v>17</v>
      </c>
      <c r="U43" s="772">
        <f t="shared" si="11"/>
        <v>100</v>
      </c>
      <c r="V43" s="771" t="s">
        <v>17</v>
      </c>
      <c r="W43" s="772">
        <f t="shared" si="12"/>
        <v>100</v>
      </c>
      <c r="X43" s="1808"/>
      <c r="Y43" s="3255"/>
      <c r="Z43" s="1809">
        <f t="shared" si="13"/>
        <v>111</v>
      </c>
      <c r="AA43" s="1806">
        <f t="shared" si="3"/>
        <v>1</v>
      </c>
      <c r="AB43" s="1806">
        <f t="shared" si="4"/>
        <v>1</v>
      </c>
      <c r="AC43" s="1806">
        <f t="shared" si="5"/>
        <v>1</v>
      </c>
    </row>
    <row r="44" spans="1:29" ht="15">
      <c r="A44" s="471"/>
      <c r="B44" s="1383">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40"/>
      <c r="M44" s="1131"/>
      <c r="N44" s="1131"/>
      <c r="O44" s="1139"/>
      <c r="P44" s="3255"/>
      <c r="Q44" s="1805">
        <f t="shared" si="14"/>
        <v>111</v>
      </c>
      <c r="R44" s="771" t="s">
        <v>17</v>
      </c>
      <c r="S44" s="772">
        <f t="shared" si="10"/>
        <v>100</v>
      </c>
      <c r="T44" s="771" t="s">
        <v>17</v>
      </c>
      <c r="U44" s="772">
        <f t="shared" si="11"/>
        <v>100</v>
      </c>
      <c r="V44" s="771" t="s">
        <v>17</v>
      </c>
      <c r="W44" s="772">
        <f t="shared" si="12"/>
        <v>100</v>
      </c>
      <c r="X44" s="1808"/>
      <c r="Y44" s="3255"/>
      <c r="Z44" s="1809">
        <f t="shared" si="13"/>
        <v>111</v>
      </c>
      <c r="AA44" s="1806">
        <f t="shared" si="3"/>
        <v>1</v>
      </c>
      <c r="AB44" s="1806">
        <f t="shared" si="4"/>
        <v>1</v>
      </c>
      <c r="AC44" s="1806">
        <f t="shared" si="5"/>
        <v>1</v>
      </c>
    </row>
    <row r="45" spans="1:29" s="470" customFormat="1" ht="15.75" thickBot="1">
      <c r="A45" s="467"/>
      <c r="B45" s="1383">
        <v>111</v>
      </c>
      <c r="C45" s="2698"/>
      <c r="D45" s="677">
        <v>100</v>
      </c>
      <c r="E45" s="671"/>
      <c r="F45" s="437">
        <f>SUMIF(131:131,E45,132:132)-SUMIF(131:131,C45,132:132)+100</f>
        <v>100</v>
      </c>
      <c r="G45" s="671"/>
      <c r="H45" s="437">
        <f>SUMIF(131:131,G45,132:132)-SUMIF(131:131,C45,132:132)+100</f>
        <v>100</v>
      </c>
      <c r="I45" s="671"/>
      <c r="J45" s="437">
        <f>SUMIF(131:131,I45,132:132)-SUMIF(131:131,C45,132:132)+100</f>
        <v>100</v>
      </c>
      <c r="K45" s="678"/>
      <c r="L45" s="1138"/>
      <c r="M45" s="1141"/>
      <c r="N45" s="1141"/>
      <c r="O45" s="1142"/>
      <c r="P45" s="3255"/>
      <c r="Q45" s="1805">
        <f t="shared" si="14"/>
        <v>111</v>
      </c>
      <c r="R45" s="774" t="s">
        <v>17</v>
      </c>
      <c r="S45" s="775">
        <f t="shared" si="10"/>
        <v>100</v>
      </c>
      <c r="T45" s="774" t="s">
        <v>17</v>
      </c>
      <c r="U45" s="775">
        <f t="shared" si="11"/>
        <v>100</v>
      </c>
      <c r="V45" s="774" t="s">
        <v>17</v>
      </c>
      <c r="W45" s="775">
        <f t="shared" si="12"/>
        <v>100</v>
      </c>
      <c r="X45" s="776"/>
      <c r="Y45" s="3255"/>
      <c r="Z45" s="777">
        <f t="shared" si="13"/>
        <v>111</v>
      </c>
      <c r="AA45" s="1806">
        <f t="shared" si="3"/>
        <v>1</v>
      </c>
      <c r="AB45" s="1806">
        <f t="shared" si="4"/>
        <v>1</v>
      </c>
      <c r="AC45" s="1806">
        <f t="shared" si="5"/>
        <v>1</v>
      </c>
    </row>
    <row r="46" spans="1:29" ht="15">
      <c r="A46" s="478" t="s">
        <v>2719</v>
      </c>
      <c r="B46" s="2699" t="s">
        <v>2755</v>
      </c>
      <c r="C46" s="679" t="s">
        <v>1</v>
      </c>
      <c r="D46" s="480"/>
      <c r="E46" s="481"/>
      <c r="F46" s="482"/>
      <c r="G46" s="483"/>
      <c r="H46" s="484"/>
      <c r="I46" s="481"/>
      <c r="J46" s="484"/>
      <c r="K46" s="780"/>
      <c r="L46" s="1143"/>
      <c r="M46" s="1144"/>
      <c r="N46" s="1131"/>
      <c r="O46" s="1144"/>
      <c r="P46" s="3248" t="str">
        <f>A46</f>
        <v>成交单价</v>
      </c>
      <c r="Q46" s="3248"/>
      <c r="R46" s="3243">
        <f>E46</f>
        <v>0</v>
      </c>
      <c r="S46" s="3243"/>
      <c r="T46" s="3243">
        <f>G46</f>
        <v>0</v>
      </c>
      <c r="U46" s="3243"/>
      <c r="V46" s="3243">
        <f>I46</f>
        <v>0</v>
      </c>
      <c r="W46" s="3243"/>
      <c r="X46" s="756"/>
      <c r="Y46" s="778"/>
      <c r="Z46" s="756"/>
      <c r="AA46" s="756"/>
      <c r="AB46" s="756"/>
      <c r="AC46" s="756"/>
    </row>
    <row r="47" spans="1:29" ht="15.75" thickBot="1">
      <c r="A47" s="485" t="s">
        <v>2668</v>
      </c>
      <c r="B47" s="680"/>
      <c r="C47" s="489" t="e">
        <f>R48</f>
        <v>#DIV/0!</v>
      </c>
      <c r="D47" s="488"/>
      <c r="E47" s="489" t="e">
        <f>R47</f>
        <v>#DIV/0!</v>
      </c>
      <c r="F47" s="490"/>
      <c r="G47" s="487" t="e">
        <f>T47</f>
        <v>#DIV/0!</v>
      </c>
      <c r="H47" s="488"/>
      <c r="I47" s="489" t="e">
        <f>V47</f>
        <v>#DIV/0!</v>
      </c>
      <c r="J47" s="488"/>
      <c r="K47" s="781"/>
      <c r="L47" s="1143"/>
      <c r="M47" s="1144"/>
      <c r="N47" s="1144"/>
      <c r="O47" s="1144"/>
      <c r="P47" s="3248" t="str">
        <f>A47</f>
        <v>比较价值（元/平方米）</v>
      </c>
      <c r="Q47" s="3248"/>
      <c r="R47" s="3306" t="e">
        <f>ROUND(PRODUCT(R46,AA7:AA45),0)</f>
        <v>#DIV/0!</v>
      </c>
      <c r="S47" s="3306"/>
      <c r="T47" s="3306" t="e">
        <f>ROUND(PRODUCT(T46,AB7:AB45),0)</f>
        <v>#DIV/0!</v>
      </c>
      <c r="U47" s="3306"/>
      <c r="V47" s="3306" t="e">
        <f>ROUND(PRODUCT(V46,AC7:AC45),0)</f>
        <v>#DIV/0!</v>
      </c>
      <c r="W47" s="3306"/>
      <c r="X47" s="756"/>
      <c r="Y47" s="756"/>
      <c r="Z47" s="756"/>
      <c r="AA47" s="756"/>
      <c r="AB47" s="756"/>
      <c r="AC47" s="756"/>
    </row>
    <row r="48" spans="1:29" ht="15.75" thickBot="1">
      <c r="A48" s="491" t="s">
        <v>2756</v>
      </c>
      <c r="B48" s="492"/>
      <c r="C48" s="493" t="e">
        <f>R48</f>
        <v>#DIV/0!</v>
      </c>
      <c r="D48" s="493"/>
      <c r="E48" s="493"/>
      <c r="F48" s="493"/>
      <c r="G48" s="493"/>
      <c r="H48" s="493"/>
      <c r="I48" s="493"/>
      <c r="J48" s="493"/>
      <c r="K48" s="782"/>
      <c r="L48" s="1143"/>
      <c r="M48" s="1144"/>
      <c r="N48" s="1144"/>
      <c r="O48" s="1144"/>
      <c r="P48" s="3245" t="str">
        <f>A48</f>
        <v>估价对象XX用房的比较价值（楼面单价，元/平方米）</v>
      </c>
      <c r="Q48" s="3246"/>
      <c r="R48" s="3307" t="e">
        <f>ROUND(AVERAGE(R47:V47),0)</f>
        <v>#DIV/0!</v>
      </c>
      <c r="S48" s="3307"/>
      <c r="T48" s="3307"/>
      <c r="U48" s="3307"/>
      <c r="V48" s="3307"/>
      <c r="W48" s="3307"/>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1" t="s">
        <v>2757</v>
      </c>
      <c r="B55" s="682" t="s">
        <v>2758</v>
      </c>
      <c r="C55" s="2700" t="s">
        <v>2759</v>
      </c>
      <c r="D55" s="2701" t="s">
        <v>2760</v>
      </c>
      <c r="E55" s="683" t="s">
        <v>2761</v>
      </c>
      <c r="F55" s="1107" t="s">
        <v>2762</v>
      </c>
      <c r="G55" s="3231" t="s">
        <v>2763</v>
      </c>
      <c r="H55" s="3308"/>
      <c r="I55" s="143" t="s">
        <v>2764</v>
      </c>
      <c r="J55" s="2702" t="str">
        <f>项目基本情况!F35</f>
        <v>江苏省镇江市京口区</v>
      </c>
      <c r="K55" s="2703" t="s">
        <v>2765</v>
      </c>
      <c r="L55" s="1106"/>
      <c r="M55" s="1144"/>
      <c r="N55" s="1144"/>
      <c r="O55" s="1144"/>
    </row>
    <row r="56" spans="1:15" s="689" customFormat="1">
      <c r="A56" s="685" t="s">
        <v>2766</v>
      </c>
      <c r="B56" s="686" t="e">
        <f>C48</f>
        <v>#DIV/0!</v>
      </c>
      <c r="C56" s="687">
        <v>1</v>
      </c>
      <c r="D56" s="1163">
        <v>1</v>
      </c>
      <c r="E56" s="687">
        <f>'数据-汇总表'!E8+'数据-汇总表'!E9</f>
        <v>133.31</v>
      </c>
      <c r="F56" s="1103" t="e">
        <f t="shared" ref="F56:F65" si="15">ROUND(B56*E56/10000,0)</f>
        <v>#DIV/0!</v>
      </c>
      <c r="G56" s="3230"/>
      <c r="H56" s="3248"/>
      <c r="I56" s="1108">
        <v>1</v>
      </c>
      <c r="J56" s="1111">
        <v>1</v>
      </c>
      <c r="K56" s="1145"/>
      <c r="L56" s="941"/>
      <c r="M56" s="941"/>
      <c r="N56" s="941"/>
      <c r="O56" s="941"/>
    </row>
    <row r="57" spans="1:15" s="689" customFormat="1">
      <c r="A57" s="690" t="s">
        <v>2767</v>
      </c>
      <c r="B57" s="261" t="e">
        <f>ROUND($C$48*C57*D57,0)</f>
        <v>#DIV/0!</v>
      </c>
      <c r="C57" s="199">
        <f t="shared" ref="C57:C65" si="16">IF($C$55="北京市系数",I57,J57)</f>
        <v>0</v>
      </c>
      <c r="D57" s="1164">
        <v>0.25</v>
      </c>
      <c r="E57" s="691"/>
      <c r="F57" s="1103" t="e">
        <f t="shared" si="15"/>
        <v>#DIV/0!</v>
      </c>
      <c r="G57" s="3309" t="s">
        <v>2768</v>
      </c>
      <c r="H57" s="1104">
        <f>项目基本情况!B37</f>
        <v>0</v>
      </c>
      <c r="I57" s="1108">
        <f>SUMIF(修正!A45:A56,H57,修正!B45:B56)</f>
        <v>0</v>
      </c>
      <c r="J57" s="1112"/>
      <c r="K57" s="1144"/>
      <c r="L57" s="941"/>
      <c r="M57" s="941"/>
      <c r="N57" s="941"/>
      <c r="O57" s="941"/>
    </row>
    <row r="58" spans="1:15" s="689" customFormat="1">
      <c r="A58" s="690" t="s">
        <v>2769</v>
      </c>
      <c r="B58" s="261" t="e">
        <f t="shared" ref="B58:B65" si="17">ROUND($C$48*C58*D58,0)</f>
        <v>#DIV/0!</v>
      </c>
      <c r="C58" s="199">
        <f t="shared" si="16"/>
        <v>0</v>
      </c>
      <c r="D58" s="1164">
        <v>0.25</v>
      </c>
      <c r="E58" s="691"/>
      <c r="F58" s="1103" t="e">
        <f t="shared" si="15"/>
        <v>#DIV/0!</v>
      </c>
      <c r="G58" s="3309"/>
      <c r="H58" s="1104">
        <f>项目基本情况!B37</f>
        <v>0</v>
      </c>
      <c r="I58" s="1108">
        <f>SUMIF(修正!A45:A56,H58,修正!C45:C56)</f>
        <v>0</v>
      </c>
      <c r="J58" s="1112"/>
      <c r="K58" s="1145"/>
      <c r="L58" s="941"/>
      <c r="M58" s="941"/>
      <c r="N58" s="941"/>
      <c r="O58" s="941"/>
    </row>
    <row r="59" spans="1:15" s="689" customFormat="1">
      <c r="A59" s="690" t="s">
        <v>2770</v>
      </c>
      <c r="B59" s="261" t="e">
        <f t="shared" si="17"/>
        <v>#DIV/0!</v>
      </c>
      <c r="C59" s="199">
        <f t="shared" si="16"/>
        <v>0</v>
      </c>
      <c r="D59" s="1164">
        <v>0.25</v>
      </c>
      <c r="E59" s="691"/>
      <c r="F59" s="1103" t="e">
        <f t="shared" si="15"/>
        <v>#DIV/0!</v>
      </c>
      <c r="G59" s="3309"/>
      <c r="H59" s="1104">
        <f>项目基本情况!B37</f>
        <v>0</v>
      </c>
      <c r="I59" s="1108">
        <f>SUMIF(修正!A45:A56,H59,修正!D45:D56)</f>
        <v>0</v>
      </c>
      <c r="J59" s="1112"/>
      <c r="K59" s="1144"/>
      <c r="L59" s="941"/>
      <c r="M59" s="941"/>
      <c r="N59" s="941"/>
      <c r="O59" s="941"/>
    </row>
    <row r="60" spans="1:15" s="689" customFormat="1">
      <c r="A60" s="690" t="s">
        <v>2771</v>
      </c>
      <c r="B60" s="261" t="e">
        <f t="shared" si="17"/>
        <v>#DIV/0!</v>
      </c>
      <c r="C60" s="199">
        <f t="shared" si="16"/>
        <v>0</v>
      </c>
      <c r="D60" s="1164">
        <v>0.25</v>
      </c>
      <c r="E60" s="691"/>
      <c r="F60" s="1103" t="e">
        <f t="shared" si="15"/>
        <v>#DIV/0!</v>
      </c>
      <c r="G60" s="3309"/>
      <c r="H60" s="1104">
        <f>项目基本情况!B37</f>
        <v>0</v>
      </c>
      <c r="I60" s="1108">
        <f>SUMIF(修正!A45:A56,H60,修正!E45:E56)</f>
        <v>0</v>
      </c>
      <c r="J60" s="1112"/>
      <c r="K60" s="1145"/>
      <c r="L60" s="941"/>
      <c r="M60" s="941"/>
      <c r="N60" s="941"/>
      <c r="O60" s="941"/>
    </row>
    <row r="61" spans="1:15" s="689" customFormat="1">
      <c r="A61" s="690" t="s">
        <v>2772</v>
      </c>
      <c r="B61" s="261" t="e">
        <f t="shared" si="17"/>
        <v>#DIV/0!</v>
      </c>
      <c r="C61" s="199">
        <f t="shared" si="16"/>
        <v>0</v>
      </c>
      <c r="D61" s="1164">
        <v>0.25</v>
      </c>
      <c r="E61" s="260">
        <f>'数据-汇总表'!E11</f>
        <v>0</v>
      </c>
      <c r="F61" s="1103" t="e">
        <f t="shared" si="15"/>
        <v>#DIV/0!</v>
      </c>
      <c r="G61" s="2704" t="s">
        <v>2773</v>
      </c>
      <c r="H61" s="1104">
        <f>项目基本情况!C37</f>
        <v>0</v>
      </c>
      <c r="I61" s="1108">
        <f>SUMIF(修正!A45:A56,H61,修正!F45:F56)</f>
        <v>0</v>
      </c>
      <c r="J61" s="1112"/>
      <c r="K61" s="1144"/>
      <c r="L61" s="941"/>
      <c r="M61" s="941"/>
      <c r="N61" s="941"/>
      <c r="O61" s="941"/>
    </row>
    <row r="62" spans="1:15" s="689" customFormat="1">
      <c r="A62" s="690" t="s">
        <v>2774</v>
      </c>
      <c r="B62" s="261" t="e">
        <f t="shared" si="17"/>
        <v>#DIV/0!</v>
      </c>
      <c r="C62" s="199">
        <f t="shared" si="16"/>
        <v>0</v>
      </c>
      <c r="D62" s="1164">
        <v>0.25</v>
      </c>
      <c r="E62" s="260">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89" customFormat="1">
      <c r="A63" s="690" t="s">
        <v>2776</v>
      </c>
      <c r="B63" s="261" t="e">
        <f t="shared" si="17"/>
        <v>#DIV/0!</v>
      </c>
      <c r="C63" s="199">
        <f t="shared" si="16"/>
        <v>0</v>
      </c>
      <c r="D63" s="1164">
        <v>0.25</v>
      </c>
      <c r="E63" s="260">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89" customFormat="1">
      <c r="A64" s="690" t="s">
        <v>2778</v>
      </c>
      <c r="B64" s="261" t="e">
        <f t="shared" si="17"/>
        <v>#DIV/0!</v>
      </c>
      <c r="C64" s="199">
        <f t="shared" si="16"/>
        <v>0</v>
      </c>
      <c r="D64" s="1164">
        <v>0.25</v>
      </c>
      <c r="E64" s="260">
        <f>'数据-汇总表'!E14</f>
        <v>0</v>
      </c>
      <c r="F64" s="1103" t="e">
        <f t="shared" si="15"/>
        <v>#DIV/0!</v>
      </c>
      <c r="G64" s="2704" t="s">
        <v>2768</v>
      </c>
      <c r="H64" s="1104">
        <f>项目基本情况!B37</f>
        <v>0</v>
      </c>
      <c r="I64" s="1108">
        <f>SUMIF(修正!A45:A56,H64,修正!H45:H56)</f>
        <v>0</v>
      </c>
      <c r="J64" s="1112"/>
      <c r="K64" s="1145"/>
      <c r="L64" s="941"/>
      <c r="M64" s="941"/>
      <c r="N64" s="941"/>
      <c r="O64" s="941"/>
    </row>
    <row r="65" spans="1:17" s="689" customFormat="1" ht="15" thickBot="1">
      <c r="A65" s="690" t="s">
        <v>2779</v>
      </c>
      <c r="B65" s="261" t="e">
        <f t="shared" si="17"/>
        <v>#DIV/0!</v>
      </c>
      <c r="C65" s="199">
        <f t="shared" si="16"/>
        <v>0</v>
      </c>
      <c r="D65" s="1164">
        <v>0.25</v>
      </c>
      <c r="E65" s="260">
        <f>'数据-汇总表'!E15</f>
        <v>0</v>
      </c>
      <c r="F65" s="1103" t="e">
        <f t="shared" si="15"/>
        <v>#DIV/0!</v>
      </c>
      <c r="G65" s="2705" t="s">
        <v>2773</v>
      </c>
      <c r="H65" s="1114">
        <f>项目基本情况!C37</f>
        <v>0</v>
      </c>
      <c r="I65" s="1110">
        <f>SUMIF(修正!A45:A56,H65,修正!H45:H56)</f>
        <v>0</v>
      </c>
      <c r="J65" s="1113"/>
      <c r="K65" s="1144"/>
      <c r="L65" s="941"/>
      <c r="M65" s="941"/>
      <c r="N65" s="941"/>
      <c r="O65" s="941"/>
    </row>
    <row r="66" spans="1:17" s="689" customFormat="1" ht="13.5" thickBot="1">
      <c r="A66" s="692" t="s">
        <v>2780</v>
      </c>
      <c r="B66" s="693" t="s">
        <v>28</v>
      </c>
      <c r="C66" s="693" t="s">
        <v>29</v>
      </c>
      <c r="D66" s="693" t="s">
        <v>1029</v>
      </c>
      <c r="E66" s="693">
        <f>IF(B46="楼面地价",SUM(E56:E65),'数据-汇总表'!D3)</f>
        <v>133.31</v>
      </c>
      <c r="F66" s="694"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2018-9-1</v>
      </c>
      <c r="D68" s="758">
        <f>EDATE(C68,-3)</f>
        <v>43252</v>
      </c>
      <c r="E68" s="758">
        <f>EDATE(D68,-3)</f>
        <v>43160</v>
      </c>
      <c r="F68" s="758">
        <f t="shared" ref="F68:O68" si="18">EDATE(E68,-3)</f>
        <v>43070</v>
      </c>
      <c r="G68" s="758">
        <f t="shared" si="18"/>
        <v>42979</v>
      </c>
      <c r="H68" s="758">
        <f t="shared" si="18"/>
        <v>42887</v>
      </c>
      <c r="I68" s="758">
        <f t="shared" si="18"/>
        <v>42795</v>
      </c>
      <c r="J68" s="758">
        <f t="shared" si="18"/>
        <v>42705</v>
      </c>
      <c r="K68" s="758">
        <f t="shared" si="18"/>
        <v>42614</v>
      </c>
      <c r="L68" s="758">
        <f t="shared" si="18"/>
        <v>42522</v>
      </c>
      <c r="M68" s="758">
        <f t="shared" si="18"/>
        <v>42430</v>
      </c>
      <c r="N68" s="758">
        <f t="shared" si="18"/>
        <v>42339</v>
      </c>
      <c r="O68" s="758">
        <f t="shared" si="18"/>
        <v>42248</v>
      </c>
    </row>
    <row r="69" spans="1:17" ht="21.75" thickBot="1">
      <c r="A69" s="760" t="s">
        <v>2673</v>
      </c>
      <c r="B69" s="756"/>
      <c r="C69" s="761"/>
      <c r="D69" s="761"/>
      <c r="E69" s="761"/>
      <c r="F69" s="762"/>
      <c r="G69" s="762"/>
      <c r="H69" s="761"/>
      <c r="I69" s="761"/>
      <c r="J69" s="1159"/>
      <c r="K69" s="1160"/>
      <c r="L69" s="1161"/>
      <c r="M69" s="1159"/>
      <c r="N69" s="1159"/>
      <c r="O69" s="1159"/>
      <c r="P69" s="502"/>
      <c r="Q69" s="503"/>
    </row>
    <row r="70" spans="1:17" s="507" customFormat="1" ht="15">
      <c r="A70" s="2706" t="s">
        <v>2781</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6"/>
    </row>
    <row r="71" spans="1:17" s="117" customFormat="1" ht="30" customHeight="1">
      <c r="A71" s="2707" t="s">
        <v>2782</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3"/>
      <c r="N71" s="594"/>
      <c r="O71" s="1564"/>
      <c r="P71" s="503"/>
    </row>
    <row r="72" spans="1:17" s="117" customFormat="1" ht="15.75" thickBot="1">
      <c r="A72" s="514" t="s">
        <v>2584</v>
      </c>
      <c r="B72" s="515"/>
      <c r="C72" s="516"/>
      <c r="D72" s="517"/>
      <c r="E72" s="517"/>
      <c r="F72" s="517"/>
      <c r="G72" s="517"/>
      <c r="H72" s="517"/>
      <c r="I72" s="517"/>
      <c r="J72" s="517"/>
      <c r="K72" s="517"/>
      <c r="L72" s="517"/>
      <c r="M72" s="518"/>
      <c r="N72" s="517"/>
      <c r="O72" s="1162"/>
      <c r="P72" s="503"/>
      <c r="Q72" s="503"/>
    </row>
    <row r="73" spans="1:17" s="117" customFormat="1" ht="15">
      <c r="A73" s="520" t="s">
        <v>2549</v>
      </c>
      <c r="B73" s="509"/>
      <c r="C73" s="521" t="s">
        <v>2651</v>
      </c>
      <c r="D73" s="522"/>
      <c r="E73" s="522"/>
      <c r="F73" s="522"/>
      <c r="G73" s="522"/>
      <c r="H73" s="522"/>
      <c r="I73" s="522"/>
      <c r="J73" s="522"/>
      <c r="K73" s="522"/>
      <c r="L73" s="523"/>
      <c r="M73" s="524"/>
      <c r="N73" s="1151"/>
      <c r="O73" s="1151"/>
      <c r="P73" s="525"/>
      <c r="Q73" s="503"/>
    </row>
    <row r="74" spans="1:17" s="117" customFormat="1" ht="15.75" thickBot="1">
      <c r="A74" s="520"/>
      <c r="B74" s="509"/>
      <c r="C74" s="636">
        <v>100</v>
      </c>
      <c r="D74" s="511"/>
      <c r="E74" s="511"/>
      <c r="F74" s="511"/>
      <c r="G74" s="511"/>
      <c r="H74" s="511"/>
      <c r="I74" s="511"/>
      <c r="J74" s="511"/>
      <c r="K74" s="511"/>
      <c r="L74" s="511"/>
      <c r="M74" s="513"/>
      <c r="N74" s="1151"/>
      <c r="O74" s="1151"/>
      <c r="P74" s="503"/>
      <c r="Q74" s="503"/>
    </row>
    <row r="75" spans="1:17">
      <c r="A75" s="526" t="s">
        <v>2587</v>
      </c>
      <c r="B75" s="527" t="s">
        <v>2553</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2556</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5"/>
      <c r="M96" s="619"/>
      <c r="N96" s="1151"/>
      <c r="O96" s="1151"/>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19"/>
      <c r="N98" s="1151"/>
      <c r="O98" s="1151"/>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2654</v>
      </c>
      <c r="C102" s="657" t="s">
        <v>2674</v>
      </c>
      <c r="D102" s="657" t="s">
        <v>2675</v>
      </c>
      <c r="E102" s="657" t="s">
        <v>2676</v>
      </c>
      <c r="F102" s="657" t="s">
        <v>2677</v>
      </c>
      <c r="G102" s="657" t="s">
        <v>2678</v>
      </c>
      <c r="H102" s="599"/>
      <c r="I102" s="599"/>
      <c r="J102" s="599"/>
      <c r="K102" s="599"/>
      <c r="L102" s="599"/>
      <c r="M102" s="1381"/>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4"/>
      <c r="O103" s="1154"/>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2690</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2749</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2"/>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4"/>
      <c r="E115" s="674"/>
      <c r="F115" s="674"/>
      <c r="G115" s="674"/>
      <c r="H115" s="674"/>
      <c r="I115" s="674"/>
      <c r="J115" s="674"/>
      <c r="K115" s="674"/>
      <c r="L115" s="674"/>
      <c r="M115" s="696"/>
      <c r="N115" s="1153"/>
      <c r="O115" s="1153"/>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2791</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2792</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2793</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2794</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7"/>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2326</v>
      </c>
      <c r="B2" s="668"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2328</v>
      </c>
      <c r="B3" s="608" t="e">
        <f>ROUND(IF(D3="",B2*10000/'数据-汇总表'!E3,B2*10000/D3),0)</f>
        <v>#DIV/0!</v>
      </c>
      <c r="C3" s="246" t="s">
        <v>2745</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29"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310" t="s">
        <v>2796</v>
      </c>
      <c r="D6" s="3311"/>
      <c r="E6" s="3312" t="s">
        <v>2796</v>
      </c>
      <c r="F6" s="3313"/>
      <c r="G6" s="3310" t="s">
        <v>2796</v>
      </c>
      <c r="H6" s="3311"/>
      <c r="I6" s="3310" t="s">
        <v>2796</v>
      </c>
      <c r="J6" s="3311"/>
      <c r="K6" s="609"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SUMIF(65:65,YEAR(E7)&amp;"-"&amp;INT((MONTH(E7)+2)/3),66:66)</f>
        <v>0</v>
      </c>
      <c r="G7" s="2691"/>
      <c r="H7" s="410">
        <f>SUMIF(65:65,YEAR(G7)&amp;"-"&amp;INT((MONTH(G7)+2)/3),66:66)</f>
        <v>0</v>
      </c>
      <c r="I7" s="2691"/>
      <c r="J7" s="410">
        <f>SUMIF(65:65,YEAR(I7)&amp;"-"&amp;INT((MONTH(I7)+2)/3),66:66)</f>
        <v>0</v>
      </c>
      <c r="K7" s="610"/>
      <c r="L7" s="1132"/>
      <c r="M7" s="1133"/>
      <c r="N7" s="1133"/>
      <c r="O7" s="1133"/>
      <c r="P7" s="3216" t="s">
        <v>2548</v>
      </c>
      <c r="Q7" s="3244"/>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0" si="3">D8/F8</f>
        <v>#DIV/0!</v>
      </c>
      <c r="AB8" s="770" t="e">
        <f t="shared" ref="AB8:AB40" si="4">D8/H8</f>
        <v>#DIV/0!</v>
      </c>
      <c r="AC8" s="770" t="e">
        <f t="shared" ref="AC8:AC40" si="5">D8/J8</f>
        <v>#DIV/0!</v>
      </c>
    </row>
    <row r="9" spans="1:29" s="117" customFormat="1">
      <c r="A9" s="414" t="s">
        <v>2552</v>
      </c>
      <c r="B9" s="71" t="s">
        <v>2553</v>
      </c>
      <c r="C9" s="2694"/>
      <c r="D9" s="134">
        <v>100</v>
      </c>
      <c r="E9" s="2694"/>
      <c r="F9" s="134">
        <f>SUMIF(70:70,E9,71:71)-SUMIF(70:70,C9,71:71)+100</f>
        <v>100</v>
      </c>
      <c r="G9" s="2694"/>
      <c r="H9" s="134">
        <f>SUMIF(70:70,G9,71:71)-SUMIF(70:70,C9,71:71)+100</f>
        <v>100</v>
      </c>
      <c r="I9" s="2694"/>
      <c r="J9" s="134">
        <f>SUMIF(70:70,I9,71:71)-SUMIF(70:70,C9,71:71)+100</f>
        <v>100</v>
      </c>
      <c r="K9" s="610"/>
      <c r="L9" s="1132"/>
      <c r="M9" s="1133"/>
      <c r="N9" s="1133"/>
      <c r="O9" s="1134"/>
      <c r="P9" s="3248"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29" s="426" customFormat="1" ht="27">
      <c r="A10" s="420"/>
      <c r="B10" s="421" t="s">
        <v>2556</v>
      </c>
      <c r="C10" s="431"/>
      <c r="D10" s="135">
        <v>100</v>
      </c>
      <c r="E10" s="431"/>
      <c r="F10" s="135">
        <f>ROUND(100/'数据-取费表'!G16,0)</f>
        <v>111</v>
      </c>
      <c r="G10" s="431"/>
      <c r="H10" s="135">
        <f>ROUND(100/'数据-取费表'!G16,0)</f>
        <v>111</v>
      </c>
      <c r="I10" s="431"/>
      <c r="J10" s="135">
        <f>ROUND(100/'数据-取费表'!G16,0)</f>
        <v>111</v>
      </c>
      <c r="K10" s="669"/>
      <c r="L10" s="1135"/>
      <c r="M10" s="1136"/>
      <c r="N10" s="1136"/>
      <c r="O10" s="1137"/>
      <c r="P10" s="3248"/>
      <c r="Q10" s="1790" t="str">
        <f t="shared" si="6"/>
        <v>土地使用年限（年）</v>
      </c>
      <c r="R10" s="767" t="s">
        <v>17</v>
      </c>
      <c r="S10" s="768">
        <f t="shared" si="0"/>
        <v>111</v>
      </c>
      <c r="T10" s="767" t="s">
        <v>17</v>
      </c>
      <c r="U10" s="768">
        <f t="shared" si="1"/>
        <v>111</v>
      </c>
      <c r="V10" s="767" t="s">
        <v>17</v>
      </c>
      <c r="W10" s="768">
        <f t="shared" si="2"/>
        <v>111</v>
      </c>
      <c r="X10" s="769"/>
      <c r="Y10" s="3085"/>
      <c r="Z10" s="55" t="str">
        <f t="shared" si="7"/>
        <v>土地使用年限（年）</v>
      </c>
      <c r="AA10" s="770">
        <f t="shared" si="3"/>
        <v>0.90090090090090091</v>
      </c>
      <c r="AB10" s="770">
        <f t="shared" si="4"/>
        <v>0.90090090090090091</v>
      </c>
      <c r="AC10" s="770">
        <f t="shared" si="5"/>
        <v>0.90090090090090091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0"/>
      <c r="L11" s="1138"/>
      <c r="M11" s="1131"/>
      <c r="N11" s="1131"/>
      <c r="O11" s="1139"/>
      <c r="P11" s="3248"/>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770" t="e">
        <f t="shared" si="5"/>
        <v>#N/A</v>
      </c>
    </row>
    <row r="12" spans="1:29" s="117" customFormat="1" ht="15">
      <c r="A12" s="430"/>
      <c r="B12" s="2595">
        <v>111</v>
      </c>
      <c r="C12" s="431"/>
      <c r="D12" s="432">
        <v>100</v>
      </c>
      <c r="E12" s="548"/>
      <c r="F12" s="135">
        <f>SUMIF(77:77,E12,78:78)-SUMIF(77:77,C12,78:78)+100</f>
        <v>100</v>
      </c>
      <c r="G12" s="671"/>
      <c r="H12" s="135">
        <f>SUMIF(77:77,G12,78:78)-SUMIF(77:77,C12,78:78)+100</f>
        <v>100</v>
      </c>
      <c r="I12" s="548"/>
      <c r="J12" s="135">
        <f>SUMIF(77:77,I12,78:78)-SUMIF(77:77,C12,78:78)+100</f>
        <v>100</v>
      </c>
      <c r="K12" s="669"/>
      <c r="L12" s="1132"/>
      <c r="M12" s="1133"/>
      <c r="N12" s="1133"/>
      <c r="O12" s="1134"/>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
      <c r="A13" s="427"/>
      <c r="B13" s="2595">
        <v>111</v>
      </c>
      <c r="C13" s="433"/>
      <c r="D13" s="434">
        <v>100</v>
      </c>
      <c r="E13" s="548"/>
      <c r="F13" s="135">
        <f>SUMIF(79:79,E13,80:80)-SUMIF(79:79,C13,80:80)+100</f>
        <v>100</v>
      </c>
      <c r="G13" s="671"/>
      <c r="H13" s="434">
        <f>SUMIF(79:79,G13,80:80)-SUMIF(79:79,C13,80:80)+100</f>
        <v>100</v>
      </c>
      <c r="I13" s="548"/>
      <c r="J13" s="434">
        <f>SUMIF(79:79,I13,80:80)-SUMIF(79:79,C13,80:80)+100</f>
        <v>100</v>
      </c>
      <c r="K13" s="669"/>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15.75" thickBot="1">
      <c r="A14" s="435"/>
      <c r="B14" s="2597">
        <v>111</v>
      </c>
      <c r="C14" s="436"/>
      <c r="D14" s="437">
        <v>100</v>
      </c>
      <c r="E14" s="548"/>
      <c r="F14" s="437">
        <f>SUMIF(81:81,E14,82:82)-SUMIF(81:81,C14,82:82)+100</f>
        <v>100</v>
      </c>
      <c r="G14" s="671"/>
      <c r="H14" s="437">
        <f>SUMIF(81:81,G14,82:82)-SUMIF(81:81,C14,82:82)+100</f>
        <v>100</v>
      </c>
      <c r="I14" s="548"/>
      <c r="J14" s="437">
        <f>SUMIF(81:81,I14,82:82)-SUMIF(81:81,C14,82:82)+100</f>
        <v>100</v>
      </c>
      <c r="K14" s="669"/>
      <c r="L14" s="1140"/>
      <c r="M14" s="1131"/>
      <c r="N14" s="1131"/>
      <c r="O14" s="1139"/>
      <c r="P14" s="3248"/>
      <c r="Q14" s="1790">
        <f t="shared" si="6"/>
        <v>111</v>
      </c>
      <c r="R14" s="767" t="s">
        <v>17</v>
      </c>
      <c r="S14" s="768">
        <f t="shared" si="0"/>
        <v>100</v>
      </c>
      <c r="T14" s="767" t="s">
        <v>17</v>
      </c>
      <c r="U14" s="768">
        <f t="shared" si="1"/>
        <v>100</v>
      </c>
      <c r="V14" s="767" t="s">
        <v>17</v>
      </c>
      <c r="W14" s="768">
        <f t="shared" si="2"/>
        <v>100</v>
      </c>
      <c r="X14" s="769"/>
      <c r="Y14" s="3085"/>
      <c r="Z14" s="55">
        <f t="shared" si="7"/>
        <v>111</v>
      </c>
      <c r="AA14" s="770">
        <f t="shared" si="3"/>
        <v>1</v>
      </c>
      <c r="AB14" s="770">
        <f t="shared" si="4"/>
        <v>1</v>
      </c>
      <c r="AC14" s="770">
        <f t="shared" si="5"/>
        <v>1</v>
      </c>
    </row>
    <row r="15" spans="1:29" ht="57">
      <c r="A15" s="439" t="s">
        <v>2558</v>
      </c>
      <c r="B15" s="626" t="s">
        <v>2797</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40"/>
      <c r="M15" s="1131"/>
      <c r="N15" s="1131"/>
      <c r="O15" s="1139"/>
      <c r="P15" s="3250" t="s">
        <v>2559</v>
      </c>
      <c r="Q15" s="1805" t="str">
        <f t="shared" si="6"/>
        <v>产业集聚程度</v>
      </c>
      <c r="R15" s="771" t="s">
        <v>17</v>
      </c>
      <c r="S15" s="772">
        <f t="shared" si="0"/>
        <v>100</v>
      </c>
      <c r="T15" s="771" t="s">
        <v>17</v>
      </c>
      <c r="U15" s="772">
        <f t="shared" si="1"/>
        <v>100</v>
      </c>
      <c r="V15" s="771" t="s">
        <v>17</v>
      </c>
      <c r="W15" s="772">
        <f t="shared" si="2"/>
        <v>100</v>
      </c>
      <c r="X15" s="1808"/>
      <c r="Y15" s="3250" t="s">
        <v>2559</v>
      </c>
      <c r="Z15" s="1809" t="str">
        <f t="shared" si="7"/>
        <v>产业集聚程度</v>
      </c>
      <c r="AA15" s="1806">
        <f t="shared" si="3"/>
        <v>1</v>
      </c>
      <c r="AB15" s="1806">
        <f t="shared" si="4"/>
        <v>1</v>
      </c>
      <c r="AC15" s="1806">
        <f t="shared" si="5"/>
        <v>1</v>
      </c>
    </row>
    <row r="16" spans="1:29" ht="15">
      <c r="A16" s="427"/>
      <c r="B16" s="627"/>
      <c r="C16" s="446"/>
      <c r="D16" s="447"/>
      <c r="E16" s="2606"/>
      <c r="F16" s="447"/>
      <c r="G16" s="2606"/>
      <c r="H16" s="449"/>
      <c r="I16" s="2606"/>
      <c r="J16" s="447"/>
      <c r="K16" s="669"/>
      <c r="L16" s="1140"/>
      <c r="M16" s="1131"/>
      <c r="N16" s="1131"/>
      <c r="O16" s="1139"/>
      <c r="P16" s="3251"/>
      <c r="Q16" s="1805"/>
      <c r="R16" s="771"/>
      <c r="S16" s="772"/>
      <c r="T16" s="771"/>
      <c r="U16" s="772"/>
      <c r="V16" s="771"/>
      <c r="W16" s="772"/>
      <c r="X16" s="1808"/>
      <c r="Y16" s="3251"/>
      <c r="Z16" s="1809"/>
      <c r="AA16" s="1806">
        <v>1</v>
      </c>
      <c r="AB16" s="1806">
        <v>1</v>
      </c>
      <c r="AC16" s="1806">
        <v>1</v>
      </c>
    </row>
    <row r="17" spans="1:29" ht="85.5">
      <c r="A17" s="427"/>
      <c r="B17" s="628" t="s">
        <v>2708</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40"/>
      <c r="M17" s="1131"/>
      <c r="N17" s="1131"/>
      <c r="O17" s="1139"/>
      <c r="P17" s="3251"/>
      <c r="Q17" s="1805" t="str">
        <f>B17</f>
        <v>交通便捷度</v>
      </c>
      <c r="R17" s="771" t="s">
        <v>17</v>
      </c>
      <c r="S17" s="772">
        <f>F17</f>
        <v>100</v>
      </c>
      <c r="T17" s="771" t="s">
        <v>17</v>
      </c>
      <c r="U17" s="772">
        <f>H17</f>
        <v>100</v>
      </c>
      <c r="V17" s="771" t="s">
        <v>17</v>
      </c>
      <c r="W17" s="772">
        <f>J17</f>
        <v>100</v>
      </c>
      <c r="X17" s="1808"/>
      <c r="Y17" s="3251"/>
      <c r="Z17" s="1809" t="str">
        <f>Q17</f>
        <v>交通便捷度</v>
      </c>
      <c r="AA17" s="1806">
        <f t="shared" si="3"/>
        <v>1</v>
      </c>
      <c r="AB17" s="1806">
        <f t="shared" si="4"/>
        <v>1</v>
      </c>
      <c r="AC17" s="1806">
        <f t="shared" si="5"/>
        <v>1</v>
      </c>
    </row>
    <row r="18" spans="1:29" ht="15">
      <c r="A18" s="427"/>
      <c r="B18" s="629"/>
      <c r="C18" s="446"/>
      <c r="D18" s="447"/>
      <c r="E18" s="2600"/>
      <c r="F18" s="447"/>
      <c r="G18" s="2600"/>
      <c r="H18" s="447"/>
      <c r="I18" s="2599"/>
      <c r="J18" s="447"/>
      <c r="K18" s="669"/>
      <c r="L18" s="1140"/>
      <c r="M18" s="1131"/>
      <c r="N18" s="1131"/>
      <c r="O18" s="1139"/>
      <c r="P18" s="3251"/>
      <c r="Q18" s="1805"/>
      <c r="R18" s="771"/>
      <c r="S18" s="772"/>
      <c r="T18" s="771"/>
      <c r="U18" s="772"/>
      <c r="V18" s="771"/>
      <c r="W18" s="772"/>
      <c r="X18" s="1808"/>
      <c r="Y18" s="3251"/>
      <c r="Z18" s="1809"/>
      <c r="AA18" s="1806">
        <v>1</v>
      </c>
      <c r="AB18" s="1806">
        <v>1</v>
      </c>
      <c r="AC18" s="1806">
        <v>1</v>
      </c>
    </row>
    <row r="19" spans="1:29" ht="15">
      <c r="A19" s="427"/>
      <c r="B19" s="628" t="s">
        <v>2747</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40"/>
      <c r="M19" s="1131"/>
      <c r="N19" s="1131"/>
      <c r="O19" s="1139"/>
      <c r="P19" s="3251"/>
      <c r="Q19" s="1805" t="str">
        <f t="shared" ref="Q19:Q33" si="8">B19</f>
        <v>区域土地利用方向</v>
      </c>
      <c r="R19" s="771" t="s">
        <v>17</v>
      </c>
      <c r="S19" s="772">
        <f>F19</f>
        <v>100</v>
      </c>
      <c r="T19" s="771" t="s">
        <v>17</v>
      </c>
      <c r="U19" s="772">
        <f>H19</f>
        <v>100</v>
      </c>
      <c r="V19" s="771" t="s">
        <v>17</v>
      </c>
      <c r="W19" s="772">
        <f>J19</f>
        <v>100</v>
      </c>
      <c r="X19" s="1808"/>
      <c r="Y19" s="3251"/>
      <c r="Z19" s="1809" t="str">
        <f>Q19</f>
        <v>区域土地利用方向</v>
      </c>
      <c r="AA19" s="1806">
        <f t="shared" si="3"/>
        <v>1</v>
      </c>
      <c r="AB19" s="1806">
        <f t="shared" si="4"/>
        <v>1</v>
      </c>
      <c r="AC19" s="1806">
        <f t="shared" si="5"/>
        <v>1</v>
      </c>
    </row>
    <row r="20" spans="1:29" ht="15">
      <c r="A20" s="403"/>
      <c r="B20" s="629"/>
      <c r="C20" s="446"/>
      <c r="D20" s="447"/>
      <c r="E20" s="2600"/>
      <c r="F20" s="447"/>
      <c r="G20" s="2600"/>
      <c r="H20" s="447"/>
      <c r="I20" s="2600"/>
      <c r="J20" s="447"/>
      <c r="K20" s="809"/>
      <c r="L20" s="1140"/>
      <c r="M20" s="1131"/>
      <c r="N20" s="1131"/>
      <c r="O20" s="1139"/>
      <c r="P20" s="3251"/>
      <c r="Q20" s="1805"/>
      <c r="R20" s="771"/>
      <c r="S20" s="772"/>
      <c r="T20" s="771"/>
      <c r="U20" s="772"/>
      <c r="V20" s="771"/>
      <c r="W20" s="772"/>
      <c r="X20" s="1808"/>
      <c r="Y20" s="3251"/>
      <c r="Z20" s="1809"/>
      <c r="AA20" s="1806"/>
      <c r="AB20" s="1806"/>
      <c r="AC20" s="1806"/>
    </row>
    <row r="21" spans="1:29" ht="71.25">
      <c r="A21" s="403"/>
      <c r="B21" s="628" t="s">
        <v>2798</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40"/>
      <c r="M21" s="1131"/>
      <c r="N21" s="1131"/>
      <c r="O21" s="1139"/>
      <c r="P21" s="3251"/>
      <c r="Q21" s="1805" t="str">
        <f t="shared" si="8"/>
        <v>环境状况</v>
      </c>
      <c r="R21" s="771" t="s">
        <v>17</v>
      </c>
      <c r="S21" s="772">
        <f>F21</f>
        <v>100</v>
      </c>
      <c r="T21" s="771" t="s">
        <v>17</v>
      </c>
      <c r="U21" s="772">
        <f>H21</f>
        <v>100</v>
      </c>
      <c r="V21" s="771" t="s">
        <v>17</v>
      </c>
      <c r="W21" s="772">
        <f>J21</f>
        <v>100</v>
      </c>
      <c r="X21" s="1808"/>
      <c r="Y21" s="3251"/>
      <c r="Z21" s="1809" t="str">
        <f>Q21</f>
        <v>环境状况</v>
      </c>
      <c r="AA21" s="1806">
        <f t="shared" si="3"/>
        <v>1</v>
      </c>
      <c r="AB21" s="1806">
        <f t="shared" si="4"/>
        <v>1</v>
      </c>
      <c r="AC21" s="1806">
        <f t="shared" si="5"/>
        <v>1</v>
      </c>
    </row>
    <row r="22" spans="1:29" ht="15">
      <c r="A22" s="403"/>
      <c r="B22" s="629"/>
      <c r="C22" s="446"/>
      <c r="D22" s="447"/>
      <c r="E22" s="2606"/>
      <c r="F22" s="447"/>
      <c r="G22" s="2606"/>
      <c r="H22" s="447"/>
      <c r="I22" s="446"/>
      <c r="J22" s="447"/>
      <c r="K22" s="669"/>
      <c r="L22" s="1140"/>
      <c r="M22" s="1131"/>
      <c r="N22" s="1131"/>
      <c r="O22" s="1139"/>
      <c r="P22" s="3251"/>
      <c r="Q22" s="1805"/>
      <c r="R22" s="771"/>
      <c r="S22" s="772"/>
      <c r="T22" s="771"/>
      <c r="U22" s="772"/>
      <c r="V22" s="771"/>
      <c r="W22" s="772"/>
      <c r="X22" s="1808"/>
      <c r="Y22" s="3251"/>
      <c r="Z22" s="1809"/>
      <c r="AA22" s="1806">
        <v>1</v>
      </c>
      <c r="AB22" s="1806">
        <v>1</v>
      </c>
      <c r="AC22" s="1806">
        <v>1</v>
      </c>
    </row>
    <row r="23" spans="1:29" s="117" customFormat="1" ht="42.75">
      <c r="A23" s="646"/>
      <c r="B23" s="630" t="s">
        <v>2653</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2"/>
      <c r="M23" s="1133"/>
      <c r="N23" s="1133"/>
      <c r="O23" s="1134"/>
      <c r="P23" s="3251"/>
      <c r="Q23" s="1790" t="str">
        <f t="shared" si="8"/>
        <v>公共配套设施</v>
      </c>
      <c r="R23" s="767" t="s">
        <v>17</v>
      </c>
      <c r="S23" s="768">
        <f>F23</f>
        <v>100</v>
      </c>
      <c r="T23" s="767" t="s">
        <v>17</v>
      </c>
      <c r="U23" s="768">
        <f>H23</f>
        <v>100</v>
      </c>
      <c r="V23" s="767" t="s">
        <v>17</v>
      </c>
      <c r="W23" s="768">
        <f>J23</f>
        <v>100</v>
      </c>
      <c r="X23" s="769"/>
      <c r="Y23" s="3251"/>
      <c r="Z23" s="55" t="str">
        <f>Q23</f>
        <v>公共配套设施</v>
      </c>
      <c r="AA23" s="1806">
        <f>D23/F23</f>
        <v>1</v>
      </c>
      <c r="AB23" s="1806">
        <f>D23/H23</f>
        <v>1</v>
      </c>
      <c r="AC23" s="1806">
        <f>D23/J23</f>
        <v>1</v>
      </c>
    </row>
    <row r="24" spans="1:29" s="117" customFormat="1" ht="15">
      <c r="A24" s="646"/>
      <c r="B24" s="629"/>
      <c r="C24" s="2695"/>
      <c r="D24" s="447"/>
      <c r="E24" s="2606"/>
      <c r="F24" s="447"/>
      <c r="G24" s="2606"/>
      <c r="H24" s="447"/>
      <c r="I24" s="446"/>
      <c r="J24" s="447"/>
      <c r="K24" s="669"/>
      <c r="L24" s="1132"/>
      <c r="M24" s="1133"/>
      <c r="N24" s="1133"/>
      <c r="O24" s="1134"/>
      <c r="P24" s="3251"/>
      <c r="Q24" s="1790"/>
      <c r="R24" s="767"/>
      <c r="S24" s="768"/>
      <c r="T24" s="767"/>
      <c r="U24" s="768"/>
      <c r="V24" s="767"/>
      <c r="W24" s="768"/>
      <c r="X24" s="769"/>
      <c r="Y24" s="3251"/>
      <c r="Z24" s="55"/>
      <c r="AA24" s="770">
        <v>1</v>
      </c>
      <c r="AB24" s="770">
        <v>1</v>
      </c>
      <c r="AC24" s="770">
        <v>1</v>
      </c>
    </row>
    <row r="25" spans="1:29" s="117" customFormat="1" ht="28.5">
      <c r="A25" s="646"/>
      <c r="B25" s="630" t="s">
        <v>2654</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2"/>
      <c r="M25" s="1133"/>
      <c r="N25" s="1133"/>
      <c r="O25" s="1134"/>
      <c r="P25" s="3251"/>
      <c r="Q25" s="1790" t="str">
        <f t="shared" ref="Q25" si="9">B25</f>
        <v>基础设施水平</v>
      </c>
      <c r="R25" s="767" t="s">
        <v>17</v>
      </c>
      <c r="S25" s="768">
        <f>F25</f>
        <v>100</v>
      </c>
      <c r="T25" s="767" t="s">
        <v>17</v>
      </c>
      <c r="U25" s="768">
        <f>H25</f>
        <v>100</v>
      </c>
      <c r="V25" s="767" t="s">
        <v>17</v>
      </c>
      <c r="W25" s="768">
        <f>J25</f>
        <v>100</v>
      </c>
      <c r="X25" s="769"/>
      <c r="Y25" s="3251"/>
      <c r="Z25" s="55" t="str">
        <f>Q25</f>
        <v>基础设施水平</v>
      </c>
      <c r="AA25" s="1806">
        <f>D25/F25</f>
        <v>1</v>
      </c>
      <c r="AB25" s="1806">
        <f>D25/H25</f>
        <v>1</v>
      </c>
      <c r="AC25" s="1806">
        <f>D25/J25</f>
        <v>1</v>
      </c>
    </row>
    <row r="26" spans="1:29" s="117" customFormat="1" ht="15">
      <c r="A26" s="646"/>
      <c r="B26" s="629"/>
      <c r="C26" s="2695"/>
      <c r="D26" s="447"/>
      <c r="E26" s="2696"/>
      <c r="F26" s="447"/>
      <c r="G26" s="2696"/>
      <c r="H26" s="447"/>
      <c r="I26" s="2696"/>
      <c r="J26" s="447"/>
      <c r="K26" s="669"/>
      <c r="L26" s="1132"/>
      <c r="M26" s="1133"/>
      <c r="N26" s="1133"/>
      <c r="O26" s="1134"/>
      <c r="P26" s="3251"/>
      <c r="Q26" s="1790"/>
      <c r="R26" s="767"/>
      <c r="S26" s="768"/>
      <c r="T26" s="767"/>
      <c r="U26" s="768"/>
      <c r="V26" s="767"/>
      <c r="W26" s="768"/>
      <c r="X26" s="769"/>
      <c r="Y26" s="3251"/>
      <c r="Z26" s="55"/>
      <c r="AA26" s="770">
        <v>1</v>
      </c>
      <c r="AB26" s="770">
        <v>1</v>
      </c>
      <c r="AC26" s="770">
        <v>1</v>
      </c>
    </row>
    <row r="27" spans="1:29" ht="15">
      <c r="A27" s="427"/>
      <c r="B27" s="629" t="s">
        <v>2655</v>
      </c>
      <c r="C27" s="615"/>
      <c r="D27" s="434">
        <v>100</v>
      </c>
      <c r="E27" s="631"/>
      <c r="F27" s="434">
        <f>SUMIF(95:95,E27,96:96)-SUMIF(95:95,C27,96:96)+100</f>
        <v>100</v>
      </c>
      <c r="G27" s="631"/>
      <c r="H27" s="434">
        <f>SUMIF(95:95,G27,96:96)-SUMIF(95:95,C27,96:96)+100</f>
        <v>100</v>
      </c>
      <c r="I27" s="631"/>
      <c r="J27" s="434">
        <f>SUMIF(95:95,I27,96:96)-SUMIF(95:95,C27,96:96)+100</f>
        <v>100</v>
      </c>
      <c r="K27" s="670"/>
      <c r="L27" s="1140"/>
      <c r="M27" s="1131"/>
      <c r="N27" s="1131"/>
      <c r="O27" s="1139"/>
      <c r="P27" s="3251"/>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51"/>
      <c r="Z27" s="1809" t="str">
        <f t="shared" ref="Z27:Z40" si="13">Q27</f>
        <v>临街状况</v>
      </c>
      <c r="AA27" s="1806">
        <f t="shared" si="3"/>
        <v>1</v>
      </c>
      <c r="AB27" s="1806">
        <f t="shared" si="4"/>
        <v>1</v>
      </c>
      <c r="AC27" s="1806">
        <f t="shared" si="5"/>
        <v>1</v>
      </c>
    </row>
    <row r="28" spans="1:29" ht="27">
      <c r="A28" s="427"/>
      <c r="B28" s="630" t="s">
        <v>2690</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40"/>
      <c r="M28" s="1131"/>
      <c r="N28" s="1131"/>
      <c r="O28" s="1139"/>
      <c r="P28" s="3251"/>
      <c r="Q28" s="1805" t="str">
        <f t="shared" si="8"/>
        <v>毗邻道路的类型与等级</v>
      </c>
      <c r="R28" s="771" t="s">
        <v>17</v>
      </c>
      <c r="S28" s="772">
        <f t="shared" si="10"/>
        <v>100</v>
      </c>
      <c r="T28" s="771" t="s">
        <v>17</v>
      </c>
      <c r="U28" s="772">
        <f t="shared" si="11"/>
        <v>100</v>
      </c>
      <c r="V28" s="771" t="s">
        <v>17</v>
      </c>
      <c r="W28" s="772">
        <f t="shared" si="12"/>
        <v>100</v>
      </c>
      <c r="X28" s="1808"/>
      <c r="Y28" s="3251"/>
      <c r="Z28" s="1809" t="str">
        <f t="shared" si="13"/>
        <v>毗邻道路的类型与等级</v>
      </c>
      <c r="AA28" s="1806">
        <f t="shared" si="3"/>
        <v>1</v>
      </c>
      <c r="AB28" s="1806">
        <f t="shared" si="4"/>
        <v>1</v>
      </c>
      <c r="AC28" s="1806">
        <f t="shared" si="5"/>
        <v>1</v>
      </c>
    </row>
    <row r="29" spans="1:29" ht="15">
      <c r="A29" s="427"/>
      <c r="B29" s="629"/>
      <c r="C29" s="446"/>
      <c r="D29" s="447"/>
      <c r="E29" s="2606"/>
      <c r="F29" s="447"/>
      <c r="G29" s="2606"/>
      <c r="H29" s="447"/>
      <c r="I29" s="2606"/>
      <c r="J29" s="447"/>
      <c r="K29" s="612"/>
      <c r="L29" s="1140"/>
      <c r="M29" s="1131"/>
      <c r="N29" s="1131"/>
      <c r="O29" s="1139"/>
      <c r="P29" s="3251"/>
      <c r="Q29" s="1805"/>
      <c r="R29" s="771"/>
      <c r="S29" s="772"/>
      <c r="T29" s="771"/>
      <c r="U29" s="772"/>
      <c r="V29" s="771"/>
      <c r="W29" s="772"/>
      <c r="X29" s="1808"/>
      <c r="Y29" s="3251"/>
      <c r="Z29" s="1809"/>
      <c r="AA29" s="1806">
        <v>1</v>
      </c>
      <c r="AB29" s="1806">
        <v>1</v>
      </c>
      <c r="AC29" s="1806">
        <v>1</v>
      </c>
    </row>
    <row r="30" spans="1:29" ht="15">
      <c r="A30" s="427"/>
      <c r="B30" s="651" t="s">
        <v>2749</v>
      </c>
      <c r="C30" s="1385">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40"/>
      <c r="M30" s="1131"/>
      <c r="N30" s="1131"/>
      <c r="O30" s="1139"/>
      <c r="P30" s="3251"/>
      <c r="Q30" s="1805" t="str">
        <f t="shared" si="8"/>
        <v>土地级别</v>
      </c>
      <c r="R30" s="771" t="s">
        <v>17</v>
      </c>
      <c r="S30" s="772">
        <f t="shared" si="10"/>
        <v>100</v>
      </c>
      <c r="T30" s="771" t="s">
        <v>17</v>
      </c>
      <c r="U30" s="772">
        <f t="shared" si="11"/>
        <v>100</v>
      </c>
      <c r="V30" s="771" t="s">
        <v>17</v>
      </c>
      <c r="W30" s="772">
        <f t="shared" si="12"/>
        <v>100</v>
      </c>
      <c r="X30" s="1808"/>
      <c r="Y30" s="3251"/>
      <c r="Z30" s="1809" t="str">
        <f t="shared" si="13"/>
        <v>土地级别</v>
      </c>
      <c r="AA30" s="1806">
        <f t="shared" si="3"/>
        <v>1</v>
      </c>
      <c r="AB30" s="1806">
        <f t="shared" si="4"/>
        <v>1</v>
      </c>
      <c r="AC30" s="1806">
        <f t="shared" si="5"/>
        <v>1</v>
      </c>
    </row>
    <row r="31" spans="1:29" ht="15">
      <c r="A31" s="403"/>
      <c r="B31" s="2673">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51"/>
      <c r="Q31" s="1805">
        <f t="shared" si="8"/>
        <v>111</v>
      </c>
      <c r="R31" s="771" t="s">
        <v>17</v>
      </c>
      <c r="S31" s="772">
        <f t="shared" si="10"/>
        <v>100</v>
      </c>
      <c r="T31" s="771" t="s">
        <v>17</v>
      </c>
      <c r="U31" s="772">
        <f t="shared" si="11"/>
        <v>100</v>
      </c>
      <c r="V31" s="771" t="s">
        <v>17</v>
      </c>
      <c r="W31" s="772">
        <f t="shared" si="12"/>
        <v>100</v>
      </c>
      <c r="X31" s="1808"/>
      <c r="Y31" s="3251"/>
      <c r="Z31" s="1809">
        <f t="shared" si="13"/>
        <v>111</v>
      </c>
      <c r="AA31" s="1806">
        <f t="shared" si="3"/>
        <v>1</v>
      </c>
      <c r="AB31" s="1806">
        <f t="shared" si="4"/>
        <v>1</v>
      </c>
      <c r="AC31" s="1806">
        <f t="shared" si="5"/>
        <v>1</v>
      </c>
    </row>
    <row r="32" spans="1:29" ht="15">
      <c r="A32" s="672"/>
      <c r="B32" s="2709">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40"/>
      <c r="M32" s="1131"/>
      <c r="N32" s="1131"/>
      <c r="O32" s="1139"/>
      <c r="P32" s="3278" t="s">
        <v>2564</v>
      </c>
      <c r="Q32" s="1805">
        <f t="shared" si="8"/>
        <v>111</v>
      </c>
      <c r="R32" s="771" t="s">
        <v>17</v>
      </c>
      <c r="S32" s="772">
        <f t="shared" si="10"/>
        <v>100</v>
      </c>
      <c r="T32" s="771" t="s">
        <v>17</v>
      </c>
      <c r="U32" s="772">
        <f t="shared" si="11"/>
        <v>100</v>
      </c>
      <c r="V32" s="771" t="s">
        <v>17</v>
      </c>
      <c r="W32" s="772">
        <f t="shared" si="12"/>
        <v>100</v>
      </c>
      <c r="X32" s="1808"/>
      <c r="Y32" s="3255" t="s">
        <v>2564</v>
      </c>
      <c r="Z32" s="1809">
        <f t="shared" si="13"/>
        <v>111</v>
      </c>
      <c r="AA32" s="1806">
        <f t="shared" si="3"/>
        <v>1</v>
      </c>
      <c r="AB32" s="1806">
        <f t="shared" si="4"/>
        <v>1</v>
      </c>
      <c r="AC32" s="1806">
        <f t="shared" si="5"/>
        <v>1</v>
      </c>
    </row>
    <row r="33" spans="1:29" s="470" customFormat="1" ht="15.75" thickBot="1">
      <c r="A33" s="673"/>
      <c r="B33" s="2710">
        <v>111</v>
      </c>
      <c r="C33" s="675"/>
      <c r="D33" s="136">
        <v>100</v>
      </c>
      <c r="E33" s="698"/>
      <c r="F33" s="437">
        <f>SUMIF(105:105,E33,106:106)-SUMIF(105:105,C33,106:106)+100</f>
        <v>100</v>
      </c>
      <c r="G33" s="698"/>
      <c r="H33" s="437">
        <f>SUMIF(105:105,G33,106:106)-SUMIF(105:105,C33,106:106)+100</f>
        <v>100</v>
      </c>
      <c r="I33" s="675"/>
      <c r="J33" s="437">
        <f>SUMIF(105:105,I33,106:106)-SUMIF(105:105,C33,106:106)+100</f>
        <v>100</v>
      </c>
      <c r="K33" s="612"/>
      <c r="L33" s="1138"/>
      <c r="M33" s="1141"/>
      <c r="N33" s="1141"/>
      <c r="O33" s="1142"/>
      <c r="P33" s="3255"/>
      <c r="Q33" s="1805">
        <f t="shared" si="8"/>
        <v>111</v>
      </c>
      <c r="R33" s="774" t="s">
        <v>17</v>
      </c>
      <c r="S33" s="775">
        <f t="shared" si="10"/>
        <v>100</v>
      </c>
      <c r="T33" s="774" t="s">
        <v>17</v>
      </c>
      <c r="U33" s="775">
        <f t="shared" si="11"/>
        <v>100</v>
      </c>
      <c r="V33" s="774" t="s">
        <v>17</v>
      </c>
      <c r="W33" s="775">
        <f t="shared" si="12"/>
        <v>100</v>
      </c>
      <c r="X33" s="776"/>
      <c r="Y33" s="3255"/>
      <c r="Z33" s="777">
        <f t="shared" si="13"/>
        <v>111</v>
      </c>
      <c r="AA33" s="1806">
        <f t="shared" si="3"/>
        <v>1</v>
      </c>
      <c r="AB33" s="1806">
        <f t="shared" si="4"/>
        <v>1</v>
      </c>
      <c r="AC33" s="1806">
        <f t="shared" si="5"/>
        <v>1</v>
      </c>
    </row>
    <row r="34" spans="1:29" ht="15">
      <c r="A34" s="439" t="s">
        <v>2562</v>
      </c>
      <c r="B34" s="455" t="s">
        <v>2750</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40"/>
      <c r="M34" s="1131"/>
      <c r="N34" s="1131"/>
      <c r="O34" s="1139"/>
      <c r="P34" s="3255"/>
      <c r="Q34" s="1805" t="str">
        <f>B34</f>
        <v>宗地面积</v>
      </c>
      <c r="R34" s="771" t="s">
        <v>17</v>
      </c>
      <c r="S34" s="772" t="e">
        <f t="shared" si="10"/>
        <v>#N/A</v>
      </c>
      <c r="T34" s="771" t="s">
        <v>17</v>
      </c>
      <c r="U34" s="772" t="e">
        <f t="shared" si="11"/>
        <v>#N/A</v>
      </c>
      <c r="V34" s="771" t="s">
        <v>17</v>
      </c>
      <c r="W34" s="772" t="e">
        <f t="shared" si="12"/>
        <v>#N/A</v>
      </c>
      <c r="X34" s="1808"/>
      <c r="Y34" s="3255"/>
      <c r="Z34" s="1809" t="str">
        <f t="shared" si="13"/>
        <v>宗地面积</v>
      </c>
      <c r="AA34" s="1806" t="e">
        <f t="shared" si="3"/>
        <v>#N/A</v>
      </c>
      <c r="AB34" s="1806" t="e">
        <f t="shared" si="4"/>
        <v>#N/A</v>
      </c>
      <c r="AC34" s="1806" t="e">
        <f t="shared" si="5"/>
        <v>#N/A</v>
      </c>
    </row>
    <row r="35" spans="1:29" ht="15">
      <c r="A35" s="471"/>
      <c r="B35" s="421" t="s">
        <v>2751</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40"/>
      <c r="M35" s="1131"/>
      <c r="N35" s="1131"/>
      <c r="O35" s="1139"/>
      <c r="P35" s="3255"/>
      <c r="Q35" s="1805" t="str">
        <f t="shared" ref="Q35:Q40" si="14">B35</f>
        <v>宗地形状</v>
      </c>
      <c r="R35" s="771" t="s">
        <v>17</v>
      </c>
      <c r="S35" s="772">
        <f t="shared" si="10"/>
        <v>100</v>
      </c>
      <c r="T35" s="771" t="s">
        <v>17</v>
      </c>
      <c r="U35" s="772">
        <f t="shared" si="11"/>
        <v>100</v>
      </c>
      <c r="V35" s="771" t="s">
        <v>17</v>
      </c>
      <c r="W35" s="772">
        <f t="shared" si="12"/>
        <v>100</v>
      </c>
      <c r="X35" s="1808"/>
      <c r="Y35" s="3255"/>
      <c r="Z35" s="1809" t="str">
        <f t="shared" si="13"/>
        <v>宗地形状</v>
      </c>
      <c r="AA35" s="1806">
        <f t="shared" si="3"/>
        <v>1</v>
      </c>
      <c r="AB35" s="1806">
        <f t="shared" si="4"/>
        <v>1</v>
      </c>
      <c r="AC35" s="1806">
        <f t="shared" si="5"/>
        <v>1</v>
      </c>
    </row>
    <row r="36" spans="1:29" s="117" customFormat="1" ht="15">
      <c r="A36" s="472"/>
      <c r="B36" s="421" t="s">
        <v>2753</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2"/>
      <c r="M36" s="1133"/>
      <c r="N36" s="1133"/>
      <c r="O36" s="1134"/>
      <c r="P36" s="3255"/>
      <c r="Q36" s="1805" t="str">
        <f t="shared" si="14"/>
        <v>宗地开发程度</v>
      </c>
      <c r="R36" s="767" t="s">
        <v>17</v>
      </c>
      <c r="S36" s="768">
        <f t="shared" si="10"/>
        <v>100</v>
      </c>
      <c r="T36" s="767" t="s">
        <v>17</v>
      </c>
      <c r="U36" s="768">
        <f t="shared" si="11"/>
        <v>100</v>
      </c>
      <c r="V36" s="767" t="s">
        <v>17</v>
      </c>
      <c r="W36" s="768">
        <f t="shared" si="12"/>
        <v>100</v>
      </c>
      <c r="X36" s="769"/>
      <c r="Y36" s="3255"/>
      <c r="Z36" s="55" t="str">
        <f t="shared" si="13"/>
        <v>宗地开发程度</v>
      </c>
      <c r="AA36" s="770">
        <f t="shared" si="3"/>
        <v>1</v>
      </c>
      <c r="AB36" s="770">
        <f t="shared" si="4"/>
        <v>1</v>
      </c>
      <c r="AC36" s="770">
        <f t="shared" si="5"/>
        <v>1</v>
      </c>
    </row>
    <row r="37" spans="1:29" ht="15">
      <c r="A37" s="471"/>
      <c r="B37" s="421" t="s">
        <v>2754</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40"/>
      <c r="M37" s="1131"/>
      <c r="N37" s="1131"/>
      <c r="O37" s="1139"/>
      <c r="P37" s="3255" t="s">
        <v>2564</v>
      </c>
      <c r="Q37" s="1805" t="str">
        <f t="shared" si="14"/>
        <v>工程地质条件</v>
      </c>
      <c r="R37" s="771" t="s">
        <v>17</v>
      </c>
      <c r="S37" s="772">
        <f t="shared" si="10"/>
        <v>100</v>
      </c>
      <c r="T37" s="771" t="s">
        <v>17</v>
      </c>
      <c r="U37" s="772">
        <f t="shared" si="11"/>
        <v>100</v>
      </c>
      <c r="V37" s="771" t="s">
        <v>17</v>
      </c>
      <c r="W37" s="772">
        <f t="shared" si="12"/>
        <v>100</v>
      </c>
      <c r="X37" s="1808"/>
      <c r="Y37" s="3255" t="s">
        <v>2564</v>
      </c>
      <c r="Z37" s="1809" t="str">
        <f t="shared" si="13"/>
        <v>工程地质条件</v>
      </c>
      <c r="AA37" s="1806">
        <f t="shared" si="3"/>
        <v>1</v>
      </c>
      <c r="AB37" s="1806">
        <f t="shared" si="4"/>
        <v>1</v>
      </c>
      <c r="AC37" s="1806">
        <f t="shared" si="5"/>
        <v>1</v>
      </c>
    </row>
    <row r="38" spans="1:29" ht="15">
      <c r="A38" s="471"/>
      <c r="B38" s="1383">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40"/>
      <c r="M38" s="1131"/>
      <c r="N38" s="1131"/>
      <c r="O38" s="1139"/>
      <c r="P38" s="3255"/>
      <c r="Q38" s="1805">
        <f t="shared" si="14"/>
        <v>111</v>
      </c>
      <c r="R38" s="771" t="s">
        <v>17</v>
      </c>
      <c r="S38" s="772">
        <f t="shared" si="10"/>
        <v>100</v>
      </c>
      <c r="T38" s="771" t="s">
        <v>17</v>
      </c>
      <c r="U38" s="772">
        <f t="shared" si="11"/>
        <v>100</v>
      </c>
      <c r="V38" s="771" t="s">
        <v>17</v>
      </c>
      <c r="W38" s="772">
        <f t="shared" si="12"/>
        <v>100</v>
      </c>
      <c r="X38" s="1808"/>
      <c r="Y38" s="3255"/>
      <c r="Z38" s="1809">
        <f t="shared" si="13"/>
        <v>111</v>
      </c>
      <c r="AA38" s="1806">
        <f t="shared" si="3"/>
        <v>1</v>
      </c>
      <c r="AB38" s="1806">
        <f t="shared" si="4"/>
        <v>1</v>
      </c>
      <c r="AC38" s="1806">
        <f t="shared" si="5"/>
        <v>1</v>
      </c>
    </row>
    <row r="39" spans="1:29" ht="15">
      <c r="A39" s="471"/>
      <c r="B39" s="1383">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40"/>
      <c r="M39" s="1131"/>
      <c r="N39" s="1131"/>
      <c r="O39" s="1139"/>
      <c r="P39" s="3255"/>
      <c r="Q39" s="1805">
        <f t="shared" si="14"/>
        <v>111</v>
      </c>
      <c r="R39" s="771" t="s">
        <v>17</v>
      </c>
      <c r="S39" s="772">
        <f t="shared" si="10"/>
        <v>100</v>
      </c>
      <c r="T39" s="771" t="s">
        <v>17</v>
      </c>
      <c r="U39" s="772">
        <f t="shared" si="11"/>
        <v>100</v>
      </c>
      <c r="V39" s="771" t="s">
        <v>17</v>
      </c>
      <c r="W39" s="772">
        <f t="shared" si="12"/>
        <v>100</v>
      </c>
      <c r="X39" s="1808"/>
      <c r="Y39" s="3255"/>
      <c r="Z39" s="1809">
        <f t="shared" si="13"/>
        <v>111</v>
      </c>
      <c r="AA39" s="1806">
        <f t="shared" si="3"/>
        <v>1</v>
      </c>
      <c r="AB39" s="1806">
        <f t="shared" si="4"/>
        <v>1</v>
      </c>
      <c r="AC39" s="1806">
        <f t="shared" si="5"/>
        <v>1</v>
      </c>
    </row>
    <row r="40" spans="1:29" s="470" customFormat="1" ht="15.75" thickBot="1">
      <c r="A40" s="467"/>
      <c r="B40" s="1383">
        <v>111</v>
      </c>
      <c r="C40" s="2698"/>
      <c r="D40" s="136">
        <v>100</v>
      </c>
      <c r="E40" s="671"/>
      <c r="F40" s="437">
        <f>SUMIF(120:120,E40,121:121)-SUMIF(120:120,C40,121:121)+100</f>
        <v>100</v>
      </c>
      <c r="G40" s="671"/>
      <c r="H40" s="437">
        <f>SUMIF(120:120,G40,121:121)-SUMIF(120:120,C40,121:121)+100</f>
        <v>100</v>
      </c>
      <c r="I40" s="548"/>
      <c r="J40" s="437">
        <f>SUMIF(120:120,I40,121:121)-SUMIF(120:120,C40,121:121)+100</f>
        <v>100</v>
      </c>
      <c r="K40" s="678"/>
      <c r="L40" s="1138"/>
      <c r="M40" s="1141"/>
      <c r="N40" s="1141"/>
      <c r="O40" s="1142"/>
      <c r="P40" s="3255"/>
      <c r="Q40" s="1805">
        <f t="shared" si="14"/>
        <v>111</v>
      </c>
      <c r="R40" s="774" t="s">
        <v>17</v>
      </c>
      <c r="S40" s="775">
        <f t="shared" si="10"/>
        <v>100</v>
      </c>
      <c r="T40" s="774" t="s">
        <v>17</v>
      </c>
      <c r="U40" s="775">
        <f t="shared" si="11"/>
        <v>100</v>
      </c>
      <c r="V40" s="774" t="s">
        <v>17</v>
      </c>
      <c r="W40" s="775">
        <f t="shared" si="12"/>
        <v>100</v>
      </c>
      <c r="X40" s="776"/>
      <c r="Y40" s="3255"/>
      <c r="Z40" s="777">
        <f t="shared" si="13"/>
        <v>111</v>
      </c>
      <c r="AA40" s="1806">
        <f t="shared" si="3"/>
        <v>1</v>
      </c>
      <c r="AB40" s="1806">
        <f t="shared" si="4"/>
        <v>1</v>
      </c>
      <c r="AC40" s="1806">
        <f t="shared" si="5"/>
        <v>1</v>
      </c>
    </row>
    <row r="41" spans="1:29" ht="15">
      <c r="A41" s="478" t="s">
        <v>2719</v>
      </c>
      <c r="B41" s="2699" t="s">
        <v>2799</v>
      </c>
      <c r="C41" s="679" t="s">
        <v>1</v>
      </c>
      <c r="D41" s="480"/>
      <c r="E41" s="481"/>
      <c r="F41" s="482"/>
      <c r="G41" s="483"/>
      <c r="H41" s="484"/>
      <c r="I41" s="481"/>
      <c r="J41" s="484"/>
      <c r="K41" s="780"/>
      <c r="L41" s="1143"/>
      <c r="M41" s="1131"/>
      <c r="N41" s="1131"/>
      <c r="O41" s="1144"/>
      <c r="P41" s="3248" t="str">
        <f>A41</f>
        <v>成交单价</v>
      </c>
      <c r="Q41" s="3248"/>
      <c r="R41" s="3243">
        <f>E41</f>
        <v>0</v>
      </c>
      <c r="S41" s="3243"/>
      <c r="T41" s="3243">
        <f>G41</f>
        <v>0</v>
      </c>
      <c r="U41" s="3243"/>
      <c r="V41" s="3243">
        <f>I41</f>
        <v>0</v>
      </c>
      <c r="W41" s="3243"/>
      <c r="X41" s="756"/>
      <c r="Y41" s="778"/>
      <c r="Z41" s="756"/>
      <c r="AA41" s="756"/>
      <c r="AB41" s="756"/>
      <c r="AC41" s="756"/>
    </row>
    <row r="42" spans="1:29" ht="15.75" thickBot="1">
      <c r="A42" s="485" t="s">
        <v>2668</v>
      </c>
      <c r="B42" s="680"/>
      <c r="C42" s="489" t="e">
        <f>R43</f>
        <v>#DIV/0!</v>
      </c>
      <c r="D42" s="488"/>
      <c r="E42" s="489" t="e">
        <f>R42</f>
        <v>#DIV/0!</v>
      </c>
      <c r="F42" s="490"/>
      <c r="G42" s="487" t="e">
        <f>T42</f>
        <v>#DIV/0!</v>
      </c>
      <c r="H42" s="488"/>
      <c r="I42" s="489" t="e">
        <f>V42</f>
        <v>#DIV/0!</v>
      </c>
      <c r="J42" s="488"/>
      <c r="K42" s="781"/>
      <c r="L42" s="1143"/>
      <c r="M42" s="1131"/>
      <c r="N42" s="1131"/>
      <c r="O42" s="1144"/>
      <c r="P42" s="3248" t="str">
        <f>A42</f>
        <v>比较价值（元/平方米）</v>
      </c>
      <c r="Q42" s="3248"/>
      <c r="R42" s="3306" t="e">
        <f>ROUND(PRODUCT(R41,AA7:AA40),0)</f>
        <v>#DIV/0!</v>
      </c>
      <c r="S42" s="3306"/>
      <c r="T42" s="3306" t="e">
        <f>ROUND(PRODUCT(T41,AB7:AB40),0)</f>
        <v>#DIV/0!</v>
      </c>
      <c r="U42" s="3306"/>
      <c r="V42" s="3306" t="e">
        <f>ROUND(PRODUCT(V41,AC7:AC40),0)</f>
        <v>#DIV/0!</v>
      </c>
      <c r="W42" s="3306"/>
      <c r="X42" s="756"/>
      <c r="Y42" s="756"/>
      <c r="Z42" s="756"/>
      <c r="AA42" s="756"/>
      <c r="AB42" s="756"/>
      <c r="AC42" s="756"/>
    </row>
    <row r="43" spans="1:29" ht="15.75" thickBot="1">
      <c r="A43" s="491" t="s">
        <v>2669</v>
      </c>
      <c r="B43" s="492"/>
      <c r="C43" s="493" t="e">
        <f>R43</f>
        <v>#DIV/0!</v>
      </c>
      <c r="D43" s="493"/>
      <c r="E43" s="493"/>
      <c r="F43" s="493"/>
      <c r="G43" s="493"/>
      <c r="H43" s="493"/>
      <c r="I43" s="493"/>
      <c r="J43" s="493"/>
      <c r="K43" s="782"/>
      <c r="L43" s="1143"/>
      <c r="M43" s="1131"/>
      <c r="N43" s="1131"/>
      <c r="O43" s="1144"/>
      <c r="P43" s="3245" t="str">
        <f>A43</f>
        <v>估价对象XX用房的比较价值（楼面单价，元/平方米）</v>
      </c>
      <c r="Q43" s="3246"/>
      <c r="R43" s="3307" t="e">
        <f>ROUND(AVERAGE(R42:V42),0)</f>
        <v>#DIV/0!</v>
      </c>
      <c r="S43" s="3307"/>
      <c r="T43" s="3307"/>
      <c r="U43" s="3307"/>
      <c r="V43" s="3307"/>
      <c r="W43" s="3307"/>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1" t="s">
        <v>2757</v>
      </c>
      <c r="B50" s="682" t="s">
        <v>2758</v>
      </c>
      <c r="C50" s="2700" t="s">
        <v>2759</v>
      </c>
      <c r="D50" s="2701" t="s">
        <v>2760</v>
      </c>
      <c r="E50" s="683" t="s">
        <v>2761</v>
      </c>
      <c r="F50" s="684" t="s">
        <v>2762</v>
      </c>
      <c r="G50" s="3231" t="s">
        <v>2763</v>
      </c>
      <c r="H50" s="3308"/>
      <c r="I50" s="1809" t="s">
        <v>2800</v>
      </c>
      <c r="J50" s="1809" t="str">
        <f>项目基本情况!F35</f>
        <v>江苏省镇江市京口区</v>
      </c>
      <c r="K50" s="2703" t="s">
        <v>2765</v>
      </c>
      <c r="L50" s="1106"/>
      <c r="M50" s="1144"/>
      <c r="N50" s="1144"/>
      <c r="O50" s="1144"/>
    </row>
    <row r="51" spans="1:17" s="689" customFormat="1">
      <c r="A51" s="685" t="s">
        <v>2766</v>
      </c>
      <c r="B51" s="686" t="e">
        <f>C43</f>
        <v>#DIV/0!</v>
      </c>
      <c r="C51" s="687">
        <v>1</v>
      </c>
      <c r="D51" s="1163">
        <v>1</v>
      </c>
      <c r="E51" s="687">
        <f>'数据-汇总表'!E8+'数据-汇总表'!E9</f>
        <v>133.31</v>
      </c>
      <c r="F51" s="688" t="e">
        <f t="shared" ref="F51:F60" si="15">ROUND(B51*E51/10000,0)</f>
        <v>#DIV/0!</v>
      </c>
      <c r="G51" s="3230"/>
      <c r="H51" s="3248"/>
      <c r="I51" s="942">
        <v>1</v>
      </c>
      <c r="J51" s="942">
        <v>1</v>
      </c>
      <c r="K51" s="1145"/>
      <c r="L51" s="941"/>
      <c r="M51" s="941"/>
      <c r="N51" s="941"/>
      <c r="O51" s="941"/>
    </row>
    <row r="52" spans="1:17" s="689" customFormat="1">
      <c r="A52" s="690" t="s">
        <v>2767</v>
      </c>
      <c r="B52" s="261" t="e">
        <f>ROUND($C$43*C52*D52,0)</f>
        <v>#DIV/0!</v>
      </c>
      <c r="C52" s="199">
        <f t="shared" ref="C52:C60" si="16">IF($C$50="北京市系数",I52,J52)</f>
        <v>0</v>
      </c>
      <c r="D52" s="1164">
        <v>0.25</v>
      </c>
      <c r="E52" s="691"/>
      <c r="F52" s="688" t="e">
        <f t="shared" si="15"/>
        <v>#DIV/0!</v>
      </c>
      <c r="G52" s="3309" t="s">
        <v>2768</v>
      </c>
      <c r="H52" s="1104">
        <f>项目基本情况!B37</f>
        <v>0</v>
      </c>
      <c r="I52" s="942">
        <f>SUMIF(修正!A45:A56,H52,修正!B45:B56)</f>
        <v>0</v>
      </c>
      <c r="J52" s="943"/>
      <c r="K52" s="1144"/>
      <c r="L52" s="941"/>
      <c r="M52" s="941"/>
      <c r="N52" s="941"/>
      <c r="O52" s="941"/>
    </row>
    <row r="53" spans="1:17" s="689" customFormat="1">
      <c r="A53" s="690" t="s">
        <v>2769</v>
      </c>
      <c r="B53" s="261" t="e">
        <f t="shared" ref="B53:B60" si="17">ROUND($C$43*C53*D53,0)</f>
        <v>#DIV/0!</v>
      </c>
      <c r="C53" s="199">
        <f t="shared" si="16"/>
        <v>0</v>
      </c>
      <c r="D53" s="1164">
        <v>0.25</v>
      </c>
      <c r="E53" s="691"/>
      <c r="F53" s="688" t="e">
        <f t="shared" si="15"/>
        <v>#DIV/0!</v>
      </c>
      <c r="G53" s="3309"/>
      <c r="H53" s="1104">
        <f>项目基本情况!B37</f>
        <v>0</v>
      </c>
      <c r="I53" s="942">
        <f>SUMIF(修正!A45:A56,H53,修正!C45:C56)</f>
        <v>0</v>
      </c>
      <c r="J53" s="943"/>
      <c r="K53" s="1145"/>
      <c r="L53" s="941"/>
      <c r="M53" s="941"/>
      <c r="N53" s="941"/>
      <c r="O53" s="941"/>
    </row>
    <row r="54" spans="1:17" s="689" customFormat="1">
      <c r="A54" s="690" t="s">
        <v>2770</v>
      </c>
      <c r="B54" s="261" t="e">
        <f t="shared" si="17"/>
        <v>#DIV/0!</v>
      </c>
      <c r="C54" s="199">
        <f t="shared" si="16"/>
        <v>0</v>
      </c>
      <c r="D54" s="1164">
        <v>0.25</v>
      </c>
      <c r="E54" s="691"/>
      <c r="F54" s="688" t="e">
        <f t="shared" si="15"/>
        <v>#DIV/0!</v>
      </c>
      <c r="G54" s="3309"/>
      <c r="H54" s="1104">
        <f>项目基本情况!B37</f>
        <v>0</v>
      </c>
      <c r="I54" s="942">
        <f>SUMIF(修正!A45:A56,H54,修正!D45:D56)</f>
        <v>0</v>
      </c>
      <c r="J54" s="943"/>
      <c r="K54" s="1144"/>
      <c r="L54" s="941"/>
      <c r="M54" s="941"/>
      <c r="N54" s="941"/>
      <c r="O54" s="941"/>
    </row>
    <row r="55" spans="1:17" s="689" customFormat="1">
      <c r="A55" s="690" t="s">
        <v>2771</v>
      </c>
      <c r="B55" s="261" t="e">
        <f t="shared" si="17"/>
        <v>#DIV/0!</v>
      </c>
      <c r="C55" s="199">
        <f t="shared" si="16"/>
        <v>0</v>
      </c>
      <c r="D55" s="1164">
        <v>0.25</v>
      </c>
      <c r="E55" s="691"/>
      <c r="F55" s="688" t="e">
        <f t="shared" si="15"/>
        <v>#DIV/0!</v>
      </c>
      <c r="G55" s="3309"/>
      <c r="H55" s="1104">
        <f>项目基本情况!B37</f>
        <v>0</v>
      </c>
      <c r="I55" s="942">
        <f>SUMIF(修正!A45:A56,H55,修正!E45:E56)</f>
        <v>0</v>
      </c>
      <c r="J55" s="943"/>
      <c r="K55" s="1145"/>
      <c r="L55" s="941"/>
      <c r="M55" s="941"/>
      <c r="N55" s="941"/>
      <c r="O55" s="941"/>
    </row>
    <row r="56" spans="1:17" s="689" customFormat="1">
      <c r="A56" s="690" t="s">
        <v>2772</v>
      </c>
      <c r="B56" s="261" t="e">
        <f t="shared" si="17"/>
        <v>#DIV/0!</v>
      </c>
      <c r="C56" s="199">
        <f t="shared" si="16"/>
        <v>0</v>
      </c>
      <c r="D56" s="1164">
        <v>0.25</v>
      </c>
      <c r="E56" s="260">
        <f>'数据-汇总表'!E11</f>
        <v>0</v>
      </c>
      <c r="F56" s="688" t="e">
        <f t="shared" si="15"/>
        <v>#DIV/0!</v>
      </c>
      <c r="G56" s="2704" t="s">
        <v>2773</v>
      </c>
      <c r="H56" s="1104">
        <f>项目基本情况!C37</f>
        <v>0</v>
      </c>
      <c r="I56" s="942">
        <f>SUMIF(修正!A45:A56,H56,修正!F45:F56)</f>
        <v>0</v>
      </c>
      <c r="J56" s="943"/>
      <c r="K56" s="1144"/>
      <c r="L56" s="941"/>
      <c r="M56" s="941"/>
      <c r="N56" s="941"/>
      <c r="O56" s="941"/>
    </row>
    <row r="57" spans="1:17" s="689" customFormat="1">
      <c r="A57" s="690" t="s">
        <v>2774</v>
      </c>
      <c r="B57" s="261" t="e">
        <f t="shared" si="17"/>
        <v>#DIV/0!</v>
      </c>
      <c r="C57" s="199">
        <f t="shared" si="16"/>
        <v>0</v>
      </c>
      <c r="D57" s="1164">
        <v>0.25</v>
      </c>
      <c r="E57" s="260">
        <f>'数据-汇总表'!E12</f>
        <v>0</v>
      </c>
      <c r="F57" s="688"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89" customFormat="1">
      <c r="A58" s="690" t="s">
        <v>2776</v>
      </c>
      <c r="B58" s="261" t="e">
        <f t="shared" si="17"/>
        <v>#DIV/0!</v>
      </c>
      <c r="C58" s="199">
        <f t="shared" si="16"/>
        <v>0</v>
      </c>
      <c r="D58" s="1164">
        <v>0.25</v>
      </c>
      <c r="E58" s="260">
        <f>'数据-汇总表'!E13</f>
        <v>0</v>
      </c>
      <c r="F58" s="688"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89" customFormat="1">
      <c r="A59" s="690" t="s">
        <v>2778</v>
      </c>
      <c r="B59" s="261" t="e">
        <f t="shared" si="17"/>
        <v>#DIV/0!</v>
      </c>
      <c r="C59" s="199">
        <f t="shared" si="16"/>
        <v>0</v>
      </c>
      <c r="D59" s="1164">
        <v>0.25</v>
      </c>
      <c r="E59" s="260">
        <f>'数据-汇总表'!E14</f>
        <v>0</v>
      </c>
      <c r="F59" s="688" t="e">
        <f t="shared" si="15"/>
        <v>#DIV/0!</v>
      </c>
      <c r="G59" s="2704" t="s">
        <v>2768</v>
      </c>
      <c r="H59" s="1104">
        <f>项目基本情况!B37</f>
        <v>0</v>
      </c>
      <c r="I59" s="942">
        <f>SUMIF(修正!A45:A56,H59,修正!H45:H56)</f>
        <v>0</v>
      </c>
      <c r="J59" s="943"/>
      <c r="K59" s="1145"/>
      <c r="L59" s="941"/>
      <c r="M59" s="941"/>
      <c r="N59" s="941"/>
      <c r="O59" s="941"/>
    </row>
    <row r="60" spans="1:17" s="689" customFormat="1" ht="15" thickBot="1">
      <c r="A60" s="690" t="s">
        <v>2779</v>
      </c>
      <c r="B60" s="261" t="e">
        <f t="shared" si="17"/>
        <v>#DIV/0!</v>
      </c>
      <c r="C60" s="199">
        <f t="shared" si="16"/>
        <v>0</v>
      </c>
      <c r="D60" s="1164">
        <v>0.25</v>
      </c>
      <c r="E60" s="260">
        <f>'数据-汇总表'!E15</f>
        <v>0</v>
      </c>
      <c r="F60" s="688" t="e">
        <f t="shared" si="15"/>
        <v>#DIV/0!</v>
      </c>
      <c r="G60" s="2705" t="s">
        <v>2773</v>
      </c>
      <c r="H60" s="1114">
        <f>项目基本情况!C37</f>
        <v>0</v>
      </c>
      <c r="I60" s="942">
        <f>SUMIF(修正!A45:A56,H60,修正!H45:H56)</f>
        <v>0</v>
      </c>
      <c r="J60" s="943"/>
      <c r="K60" s="1144"/>
      <c r="L60" s="941"/>
      <c r="M60" s="941"/>
      <c r="N60" s="941"/>
      <c r="O60" s="941"/>
    </row>
    <row r="61" spans="1:17" s="689" customFormat="1" ht="15" thickBot="1">
      <c r="A61" s="692" t="s">
        <v>2780</v>
      </c>
      <c r="B61" s="693" t="s">
        <v>28</v>
      </c>
      <c r="C61" s="693" t="s">
        <v>29</v>
      </c>
      <c r="D61" s="693" t="s">
        <v>1029</v>
      </c>
      <c r="E61" s="693">
        <f>IF(B41="楼面地价",SUM(E51:E60),'数据-汇总表'!D3)</f>
        <v>9.2200000000000006</v>
      </c>
      <c r="F61" s="694"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2018-9-1</v>
      </c>
      <c r="D63" s="758">
        <f>EDATE(C63,-3)</f>
        <v>43252</v>
      </c>
      <c r="E63" s="758">
        <f>EDATE(D63,-3)</f>
        <v>43160</v>
      </c>
      <c r="F63" s="758">
        <f t="shared" ref="F63:O63" si="18">EDATE(E63,-3)</f>
        <v>43070</v>
      </c>
      <c r="G63" s="758">
        <f t="shared" si="18"/>
        <v>42979</v>
      </c>
      <c r="H63" s="758">
        <f t="shared" si="18"/>
        <v>42887</v>
      </c>
      <c r="I63" s="758">
        <f t="shared" si="18"/>
        <v>42795</v>
      </c>
      <c r="J63" s="758">
        <f t="shared" si="18"/>
        <v>42705</v>
      </c>
      <c r="K63" s="758">
        <f t="shared" si="18"/>
        <v>42614</v>
      </c>
      <c r="L63" s="758">
        <f t="shared" si="18"/>
        <v>42522</v>
      </c>
      <c r="M63" s="758">
        <f t="shared" si="18"/>
        <v>42430</v>
      </c>
      <c r="N63" s="758">
        <f t="shared" si="18"/>
        <v>42339</v>
      </c>
      <c r="O63" s="758">
        <f t="shared" si="18"/>
        <v>42248</v>
      </c>
    </row>
    <row r="64" spans="1:17" ht="21.75" thickBot="1">
      <c r="A64" s="760" t="s">
        <v>2673</v>
      </c>
      <c r="B64" s="756"/>
      <c r="C64" s="761"/>
      <c r="D64" s="761"/>
      <c r="E64" s="761"/>
      <c r="F64" s="762"/>
      <c r="G64" s="762"/>
      <c r="H64" s="761"/>
      <c r="I64" s="761"/>
      <c r="J64" s="761"/>
      <c r="K64" s="763"/>
      <c r="L64" s="764"/>
      <c r="M64" s="761"/>
      <c r="N64" s="761"/>
      <c r="O64" s="1159"/>
      <c r="P64" s="502"/>
      <c r="Q64" s="503"/>
    </row>
    <row r="65" spans="1:17" s="507" customFormat="1" ht="15">
      <c r="A65" s="2706" t="s">
        <v>2781</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6"/>
    </row>
    <row r="66" spans="1:17" s="117" customFormat="1" ht="30.75" customHeight="1">
      <c r="A66" s="2711" t="s">
        <v>2801</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1"/>
      <c r="O68" s="1151"/>
      <c r="P68" s="525"/>
      <c r="Q68" s="503"/>
    </row>
    <row r="69" spans="1:17" s="117" customFormat="1" ht="15.75" thickBot="1">
      <c r="A69" s="520"/>
      <c r="B69" s="509"/>
      <c r="C69" s="636">
        <v>100</v>
      </c>
      <c r="D69" s="511"/>
      <c r="E69" s="511"/>
      <c r="F69" s="511"/>
      <c r="G69" s="511"/>
      <c r="H69" s="511"/>
      <c r="I69" s="511"/>
      <c r="J69" s="511"/>
      <c r="K69" s="511"/>
      <c r="L69" s="511"/>
      <c r="M69" s="513"/>
      <c r="N69" s="1151"/>
      <c r="O69" s="1151"/>
      <c r="P69" s="503"/>
      <c r="Q69" s="503"/>
    </row>
    <row r="70" spans="1:17">
      <c r="A70" s="526" t="s">
        <v>2587</v>
      </c>
      <c r="B70" s="527" t="s">
        <v>2553</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2556</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5"/>
      <c r="M87" s="619"/>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19"/>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2802</v>
      </c>
      <c r="C93" s="657" t="s">
        <v>2674</v>
      </c>
      <c r="D93" s="657" t="s">
        <v>2675</v>
      </c>
      <c r="E93" s="657" t="s">
        <v>2676</v>
      </c>
      <c r="F93" s="657" t="s">
        <v>2677</v>
      </c>
      <c r="G93" s="657" t="s">
        <v>2678</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4"/>
      <c r="O94" s="1154"/>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2690</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2749</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2"/>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4"/>
      <c r="H106" s="674"/>
      <c r="I106" s="674"/>
      <c r="J106" s="674"/>
      <c r="K106" s="674"/>
      <c r="L106" s="674"/>
      <c r="M106" s="696"/>
      <c r="N106" s="1153"/>
      <c r="O106" s="1153"/>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2791</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2793</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2794</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7"/>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39" t="s">
        <v>2803</v>
      </c>
      <c r="B1" s="240"/>
      <c r="C1" s="244" t="s">
        <v>2804</v>
      </c>
      <c r="D1" s="387">
        <f>SUM(D29:D30,D33:D39)</f>
        <v>0</v>
      </c>
      <c r="E1" s="2712"/>
      <c r="F1" s="2712"/>
      <c r="G1" s="2712"/>
      <c r="H1" s="2712"/>
      <c r="I1" s="2712"/>
      <c r="J1" s="2712"/>
      <c r="K1" s="1366"/>
      <c r="L1" s="2713" t="s">
        <v>2805</v>
      </c>
      <c r="M1" s="1080">
        <f>SUMPRODUCT((区片价!B5:B9=I2)*(区片价!C3:F3=E2)*(区片价!C5:F9))</f>
        <v>0</v>
      </c>
      <c r="N1" s="1083">
        <f>SUMPRODUCT((因素修正幅度!B5:B9=I2)*(因素修正幅度!C3:F3=E2)*(因素修正幅度!C5:F9))</f>
        <v>0</v>
      </c>
      <c r="O1" s="2714"/>
      <c r="P1" s="2714"/>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t="e">
        <f>C26</f>
        <v>#DIV/0!</v>
      </c>
      <c r="C2" s="2716" t="s">
        <v>2812</v>
      </c>
      <c r="D2" s="2717" t="s">
        <v>2813</v>
      </c>
      <c r="E2" s="2718"/>
      <c r="F2" s="2717" t="s">
        <v>2814</v>
      </c>
      <c r="G2" s="2719">
        <f>IF(E2="商业",项目基本情况!B37,IF(E2="办公",项目基本情况!C37,IF(E2="住宅",项目基本情况!D37,项目基本情况!E37)))</f>
        <v>0</v>
      </c>
      <c r="H2" s="2717" t="s">
        <v>2815</v>
      </c>
      <c r="I2" s="2719">
        <f>IF(E2="商业",项目基本情况!B38,IF(E2="办公",项目基本情况!C38,IF(E2="住宅",项目基本情况!D38,项目基本情况!E38)))</f>
        <v>0</v>
      </c>
      <c r="J2" s="2720"/>
      <c r="K2" s="1366"/>
      <c r="L2" s="2721" t="s">
        <v>2816</v>
      </c>
      <c r="M2" s="1081">
        <f>SUMPRODUCT((区片价!B10:B28=I2)*(区片价!C3:F3=E2)*(区片价!C10:F28))</f>
        <v>0</v>
      </c>
      <c r="N2" s="1083">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2817</v>
      </c>
      <c r="B3" s="247" t="e">
        <f>ROUND(B2*10000/D1,0)</f>
        <v>#DIV/0!</v>
      </c>
      <c r="C3" s="2716" t="s">
        <v>2818</v>
      </c>
      <c r="D3" s="2717" t="s">
        <v>2819</v>
      </c>
      <c r="E3" s="2722"/>
      <c r="F3" s="2723" t="s">
        <v>2820</v>
      </c>
      <c r="G3" s="913">
        <f>IF(F3="宗地容积率",'数据-汇总表'!I4,IF(F3="估价对象容积率",'数据-汇总表'!I6,'数据-汇总表'!I7))</f>
        <v>14.46</v>
      </c>
      <c r="H3" s="197" t="s">
        <v>2821</v>
      </c>
      <c r="I3" s="944"/>
      <c r="J3" s="2720" t="s">
        <v>2822</v>
      </c>
      <c r="K3" s="1366"/>
      <c r="L3" s="2721" t="s">
        <v>2823</v>
      </c>
      <c r="M3" s="1081">
        <f>SUMPRODUCT((区片价!B29:B48=I2)*(区片价!C3:F3=E2)*(区片价!C29:F48))</f>
        <v>0</v>
      </c>
      <c r="N3" s="1083">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28"/>
      <c r="B4" s="3329"/>
      <c r="C4" s="3329"/>
      <c r="D4" s="3330"/>
      <c r="E4" s="3330"/>
      <c r="F4" s="3330"/>
      <c r="G4" s="3330"/>
      <c r="H4" s="3330"/>
      <c r="I4" s="3330"/>
      <c r="J4" s="3331"/>
      <c r="K4" s="1366"/>
      <c r="L4" s="2721" t="s">
        <v>2824</v>
      </c>
      <c r="M4" s="1081">
        <f>SUMPRODUCT((区片价!B49:B75=I2)*(区片价!C3:F3=E2)*(区片价!C49:F75))</f>
        <v>0</v>
      </c>
      <c r="N4" s="1083">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2825</v>
      </c>
      <c r="C5" s="914" t="e">
        <f>ROUND(IF(E2="商业",IF(F16="增加",C6*C7+C16,C6*C7-C16),IF(E2="住宅",IF(F16="增加",C6*C12+C16,C6*C12-C16),IF(F16="增加",C6+C16,C6-C16))),0)</f>
        <v>#DIV/0!</v>
      </c>
      <c r="D5" s="1782">
        <f>ROUND(IF(E2="商业",IF(F16="增加",C6+C16,C6-C16)),0)</f>
        <v>0</v>
      </c>
      <c r="E5" s="2726"/>
      <c r="F5" s="2726"/>
      <c r="G5" s="2727"/>
      <c r="H5" s="2727"/>
      <c r="I5" s="2727"/>
      <c r="J5" s="2728"/>
      <c r="K5" s="2729"/>
      <c r="L5" s="2721" t="s">
        <v>2826</v>
      </c>
      <c r="M5" s="1081">
        <f>SUMPRODUCT((区片价!B76:B109=I2)*(区片价!C3:F3=E2)*(区片价!C76:F109))</f>
        <v>0</v>
      </c>
      <c r="N5" s="1083">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2827</v>
      </c>
      <c r="B6" s="2735" t="s">
        <v>2828</v>
      </c>
      <c r="C6" s="915">
        <f>SUMIF(L1:L12,G2,M1:M12)</f>
        <v>0</v>
      </c>
      <c r="D6" s="2736" t="s">
        <v>2829</v>
      </c>
      <c r="E6" s="2737"/>
      <c r="F6" s="2737"/>
      <c r="G6" s="2738"/>
      <c r="H6" s="2738"/>
      <c r="I6" s="2738"/>
      <c r="J6" s="2739"/>
      <c r="K6" s="1837"/>
      <c r="L6" s="2721" t="s">
        <v>2830</v>
      </c>
      <c r="M6" s="1081">
        <f>SUMPRODUCT((区片价!B110:B157=I2)*(区片价!C3:F3=E2)*(区片价!C110:F157))</f>
        <v>0</v>
      </c>
      <c r="N6" s="1083">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14" t="str">
        <f>IF(E2="商业",IF(C8="不临58条商业街","",2),"")</f>
        <v/>
      </c>
      <c r="B7" s="2740" t="s">
        <v>2831</v>
      </c>
      <c r="C7" s="916" t="e">
        <f>IF(C8="不临58条商业街",1,ROUND(1+(1.6*E8+1.2*E9+0.8*E10+0.4*E11)*C9,4))</f>
        <v>#DIV/0!</v>
      </c>
      <c r="D7" s="2741" t="s">
        <v>2832</v>
      </c>
      <c r="E7" s="945"/>
      <c r="F7" s="2742"/>
      <c r="G7" s="2743"/>
      <c r="H7" s="2743"/>
      <c r="I7" s="2743"/>
      <c r="J7" s="2744"/>
      <c r="K7" s="1837"/>
      <c r="L7" s="2721" t="s">
        <v>2833</v>
      </c>
      <c r="M7" s="1081">
        <f>SUMPRODUCT((区片价!B158:B205=I2)*(区片价!C3:F3=E2)*(区片价!C158:F205))</f>
        <v>0</v>
      </c>
      <c r="N7" s="1083">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1" t="s">
        <v>2834</v>
      </c>
      <c r="X7" s="1600">
        <f>G2</f>
        <v>0</v>
      </c>
      <c r="Y7" s="1600" t="s">
        <v>2835</v>
      </c>
      <c r="Z7" s="1601">
        <f>G3</f>
        <v>14.46</v>
      </c>
      <c r="AA7" s="1602"/>
      <c r="AB7" s="1602"/>
      <c r="AC7" s="1603"/>
      <c r="AD7" s="1604"/>
      <c r="AE7" s="1604"/>
      <c r="AF7" s="1604"/>
      <c r="AG7" s="1604"/>
      <c r="AH7" s="1604"/>
      <c r="AI7" s="1604"/>
      <c r="AJ7" s="1605"/>
    </row>
    <row r="8" spans="1:36" ht="15">
      <c r="A8" s="3315"/>
      <c r="B8" s="197" t="s">
        <v>2836</v>
      </c>
      <c r="C8" s="2745"/>
      <c r="D8" s="917" t="s">
        <v>139</v>
      </c>
      <c r="E8" s="918" t="e">
        <f>ROUND(C11/E7,4)</f>
        <v>#DIV/0!</v>
      </c>
      <c r="F8" s="2746" t="s">
        <v>2837</v>
      </c>
      <c r="G8" s="2747"/>
      <c r="H8" s="2747"/>
      <c r="I8" s="2747"/>
      <c r="J8" s="2748"/>
      <c r="K8" s="1366"/>
      <c r="L8" s="2721" t="s">
        <v>2838</v>
      </c>
      <c r="M8" s="1081">
        <f>SUMPRODUCT((区片价!B206:B244=I2)*(区片价!C3:F3=E2)*(区片价!C206:F244))</f>
        <v>0</v>
      </c>
      <c r="N8" s="1083">
        <f>SUMPRODUCT((因素修正幅度!B206:B244=I2)*(因素修正幅度!C3:F3=E2)*(因素修正幅度!C206:F244))</f>
        <v>0</v>
      </c>
      <c r="O8" s="1366"/>
      <c r="P8" s="1366"/>
      <c r="Q8" s="1366"/>
      <c r="R8" s="1598">
        <v>7</v>
      </c>
      <c r="S8" s="1599"/>
      <c r="T8" s="1598" t="e">
        <f t="shared" si="0"/>
        <v>#DIV/0!</v>
      </c>
      <c r="U8" s="1599"/>
      <c r="V8" s="1598" t="e">
        <f t="shared" si="1"/>
        <v>#DIV/0!</v>
      </c>
      <c r="W8" s="3325" t="s">
        <v>2839</v>
      </c>
      <c r="X8" s="3326"/>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15"/>
      <c r="B9" s="197" t="s">
        <v>2852</v>
      </c>
      <c r="C9" s="919">
        <f>SUMIF(修正!C59:C119,C8,修正!E59:E119)</f>
        <v>0</v>
      </c>
      <c r="D9" s="199" t="s">
        <v>140</v>
      </c>
      <c r="E9" s="199" t="e">
        <f>ROUND(C11/E7,4)</f>
        <v>#DIV/0!</v>
      </c>
      <c r="F9" s="2746" t="s">
        <v>2853</v>
      </c>
      <c r="G9" s="2747"/>
      <c r="H9" s="2747"/>
      <c r="I9" s="2747"/>
      <c r="J9" s="2748"/>
      <c r="K9" s="1366"/>
      <c r="L9" s="2721" t="s">
        <v>2854</v>
      </c>
      <c r="M9" s="1081">
        <f>SUMPRODUCT((区片价!B245:B289=I2)*(区片价!C3:F3=E2)*(区片价!C245:F289))</f>
        <v>0</v>
      </c>
      <c r="N9" s="1083">
        <f>SUMPRODUCT((因素修正幅度!B245:B289=I2)*(因素修正幅度!C3:F3=E2)*(因素修正幅度!C245:F289))</f>
        <v>0</v>
      </c>
      <c r="O9" s="1366"/>
      <c r="P9" s="1366"/>
      <c r="Q9" s="1366"/>
      <c r="R9" s="1598">
        <v>8</v>
      </c>
      <c r="S9" s="1599"/>
      <c r="T9" s="1598" t="e">
        <f t="shared" si="0"/>
        <v>#DIV/0!</v>
      </c>
      <c r="U9" s="1599"/>
      <c r="V9" s="1598" t="e">
        <f t="shared" si="1"/>
        <v>#DIV/0!</v>
      </c>
      <c r="W9" s="3327" t="s">
        <v>2855</v>
      </c>
      <c r="X9" s="1607" t="s">
        <v>2856</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15"/>
      <c r="B10" s="197" t="s">
        <v>2857</v>
      </c>
      <c r="C10" s="199">
        <f>SUMIF(修正!C59:C119,C8,修正!F59:F119)</f>
        <v>0</v>
      </c>
      <c r="D10" s="199" t="s">
        <v>141</v>
      </c>
      <c r="E10" s="199" t="e">
        <f>ROUND(C11/E7,4)</f>
        <v>#DIV/0!</v>
      </c>
      <c r="F10" s="2746" t="s">
        <v>2858</v>
      </c>
      <c r="G10" s="2747"/>
      <c r="H10" s="2747"/>
      <c r="I10" s="2747"/>
      <c r="J10" s="2748"/>
      <c r="K10" s="1366"/>
      <c r="L10" s="2721" t="s">
        <v>2859</v>
      </c>
      <c r="M10" s="1081">
        <f>SUMPRODUCT((区片价!B290:B316=I2)*(区片价!C3:F3=E2)*(区片价!C290:F316))</f>
        <v>0</v>
      </c>
      <c r="N10" s="1083">
        <f>SUMPRODUCT((因素修正幅度!B290:B316=I2)*(因素修正幅度!C3:F3=E2)*(因素修正幅度!C290:F316))</f>
        <v>0</v>
      </c>
      <c r="O10" s="1366"/>
      <c r="P10" s="1366"/>
      <c r="Q10" s="1366"/>
      <c r="R10" s="1598">
        <v>9</v>
      </c>
      <c r="S10" s="1599"/>
      <c r="T10" s="1598" t="e">
        <f t="shared" si="0"/>
        <v>#DIV/0!</v>
      </c>
      <c r="U10" s="1599"/>
      <c r="V10" s="1598" t="e">
        <f t="shared" si="1"/>
        <v>#DIV/0!</v>
      </c>
      <c r="W10" s="332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15"/>
      <c r="B11" s="2749" t="s">
        <v>2860</v>
      </c>
      <c r="C11" s="920">
        <f>C10/4</f>
        <v>0</v>
      </c>
      <c r="D11" s="920" t="s">
        <v>142</v>
      </c>
      <c r="E11" s="920" t="e">
        <f>ROUND(C11/E7,4)</f>
        <v>#DIV/0!</v>
      </c>
      <c r="F11" s="2750" t="s">
        <v>2861</v>
      </c>
      <c r="G11" s="2751"/>
      <c r="H11" s="2751"/>
      <c r="I11" s="2751"/>
      <c r="J11" s="2752"/>
      <c r="K11" s="1366"/>
      <c r="L11" s="2721" t="s">
        <v>2862</v>
      </c>
      <c r="M11" s="1081">
        <f>SUMPRODUCT((区片价!B317:B337=I2)*(区片价!C3:F3=E2)*(区片价!C317:F337))</f>
        <v>0</v>
      </c>
      <c r="N11" s="1083">
        <f>SUMPRODUCT((因素修正幅度!B317:B337=I2)*(因素修正幅度!C3:F3=E2)*(因素修正幅度!C317:F337))</f>
        <v>0</v>
      </c>
      <c r="O11" s="1366"/>
      <c r="P11" s="1366"/>
      <c r="Q11" s="1366"/>
      <c r="R11" s="1598">
        <v>10</v>
      </c>
      <c r="S11" s="1599"/>
      <c r="T11" s="1598" t="e">
        <f t="shared" si="0"/>
        <v>#DIV/0!</v>
      </c>
      <c r="U11" s="1599"/>
      <c r="V11" s="1598" t="e">
        <f t="shared" si="1"/>
        <v>#DIV/0!</v>
      </c>
      <c r="W11" s="3327" t="s">
        <v>2863</v>
      </c>
      <c r="X11" s="1610" t="s">
        <v>2864</v>
      </c>
      <c r="Y11" s="1611">
        <f>$G$3</f>
        <v>14.46</v>
      </c>
      <c r="Z11" s="1611">
        <f t="shared" ref="Z11:AJ11" si="3">$G$3</f>
        <v>14.46</v>
      </c>
      <c r="AA11" s="1611">
        <f t="shared" si="3"/>
        <v>14.46</v>
      </c>
      <c r="AB11" s="1611">
        <f t="shared" si="3"/>
        <v>14.46</v>
      </c>
      <c r="AC11" s="1611">
        <f t="shared" si="3"/>
        <v>14.46</v>
      </c>
      <c r="AD11" s="1611">
        <f t="shared" si="3"/>
        <v>14.46</v>
      </c>
      <c r="AE11" s="1611">
        <f t="shared" si="3"/>
        <v>14.46</v>
      </c>
      <c r="AF11" s="1611">
        <f t="shared" si="3"/>
        <v>14.46</v>
      </c>
      <c r="AG11" s="1611">
        <f t="shared" si="3"/>
        <v>14.46</v>
      </c>
      <c r="AH11" s="1611">
        <f t="shared" si="3"/>
        <v>14.46</v>
      </c>
      <c r="AI11" s="1611">
        <f t="shared" si="3"/>
        <v>14.46</v>
      </c>
      <c r="AJ11" s="1611">
        <f t="shared" si="3"/>
        <v>14.46</v>
      </c>
    </row>
    <row r="12" spans="1:36" ht="25.5" thickBot="1">
      <c r="A12" s="3314" t="s">
        <v>2865</v>
      </c>
      <c r="B12" s="2753" t="s">
        <v>2866</v>
      </c>
      <c r="C12" s="916">
        <f>ROUND(C15*D15*E15*F15*G15*H15*I15*J15,4)</f>
        <v>1</v>
      </c>
      <c r="D12" s="2754" t="s">
        <v>2867</v>
      </c>
      <c r="E12" s="2755"/>
      <c r="F12" s="2755"/>
      <c r="G12" s="2756"/>
      <c r="H12" s="2756"/>
      <c r="I12" s="2756"/>
      <c r="J12" s="2757"/>
      <c r="K12" s="1366"/>
      <c r="L12" s="2758" t="s">
        <v>2868</v>
      </c>
      <c r="M12" s="1082">
        <f>SUMPRODUCT((区片价!B338:B344=I2)*(区片价!C3:F3=E2)*(区片价!C338:F344))</f>
        <v>0</v>
      </c>
      <c r="N12" s="1083">
        <f>SUMPRODUCT((因素修正幅度!B338:B344=I2)*(因素修正幅度!C3:F3=E2)*(因素修正幅度!C338:F344))</f>
        <v>0</v>
      </c>
      <c r="O12" s="1366"/>
      <c r="P12" s="1366"/>
      <c r="Q12" s="1366"/>
      <c r="R12" s="1598">
        <v>11</v>
      </c>
      <c r="S12" s="1599"/>
      <c r="T12" s="1598" t="e">
        <f t="shared" si="0"/>
        <v>#DIV/0!</v>
      </c>
      <c r="U12" s="1599"/>
      <c r="V12" s="1598" t="e">
        <f t="shared" si="1"/>
        <v>#DIV/0!</v>
      </c>
      <c r="W12" s="3327"/>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2"/>
      <c r="B13" s="2759" t="s">
        <v>2870</v>
      </c>
      <c r="C13" s="2760" t="s">
        <v>2871</v>
      </c>
      <c r="D13" s="1803" t="s">
        <v>2872</v>
      </c>
      <c r="E13" s="1803" t="s">
        <v>2873</v>
      </c>
      <c r="F13" s="30" t="s">
        <v>2874</v>
      </c>
      <c r="G13" s="2761" t="s">
        <v>2875</v>
      </c>
      <c r="H13" s="2761" t="s">
        <v>2875</v>
      </c>
      <c r="I13" s="2761" t="s">
        <v>2875</v>
      </c>
      <c r="J13" s="2762" t="s">
        <v>2875</v>
      </c>
      <c r="K13" s="1366"/>
      <c r="L13" s="1366"/>
      <c r="M13" s="1366"/>
      <c r="N13" s="1366"/>
      <c r="O13" s="1366"/>
      <c r="P13" s="1366"/>
      <c r="Q13" s="1366"/>
      <c r="R13" s="1598">
        <v>12</v>
      </c>
      <c r="S13" s="1599"/>
      <c r="T13" s="1598" t="e">
        <f t="shared" si="0"/>
        <v>#DIV/0!</v>
      </c>
      <c r="U13" s="1599"/>
      <c r="V13" s="1598" t="e">
        <f t="shared" si="1"/>
        <v>#DIV/0!</v>
      </c>
      <c r="W13" s="3327"/>
      <c r="X13" s="1612"/>
      <c r="Y13" s="1609">
        <f>(-0.163*(Y12^2)-0.59*Y12+7617)*(10^(-4))/Y11</f>
        <v>5.2676348547717841E-2</v>
      </c>
      <c r="Z13" s="1609">
        <f t="shared" ref="Z13:AJ13" si="5">(-0.163*(Z12^2)-0.59*Z12+7617)*(10^(-4))/Z11</f>
        <v>5.2676348547717841E-2</v>
      </c>
      <c r="AA13" s="1609">
        <f t="shared" si="5"/>
        <v>5.2676348547717841E-2</v>
      </c>
      <c r="AB13" s="1609">
        <f t="shared" si="5"/>
        <v>5.2676348547717841E-2</v>
      </c>
      <c r="AC13" s="1609">
        <f t="shared" si="5"/>
        <v>5.2676348547717841E-2</v>
      </c>
      <c r="AD13" s="1609">
        <f t="shared" si="5"/>
        <v>5.2676348547717841E-2</v>
      </c>
      <c r="AE13" s="1609">
        <f t="shared" si="5"/>
        <v>5.2676348547717841E-2</v>
      </c>
      <c r="AF13" s="1609">
        <f t="shared" si="5"/>
        <v>5.2676348547717841E-2</v>
      </c>
      <c r="AG13" s="1609">
        <f t="shared" si="5"/>
        <v>5.2676348547717841E-2</v>
      </c>
      <c r="AH13" s="1609">
        <f t="shared" si="5"/>
        <v>5.2676348547717841E-2</v>
      </c>
      <c r="AI13" s="1609">
        <f t="shared" si="5"/>
        <v>5.2676348547717841E-2</v>
      </c>
      <c r="AJ13" s="1609">
        <f t="shared" si="5"/>
        <v>5.2676348547717841E-2</v>
      </c>
    </row>
    <row r="14" spans="1:36" ht="15">
      <c r="A14" s="3332"/>
      <c r="B14" s="2763"/>
      <c r="C14" s="2764"/>
      <c r="D14" s="2765"/>
      <c r="E14" s="2765"/>
      <c r="F14" s="2766"/>
      <c r="G14" s="2767" t="s">
        <v>2876</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33"/>
      <c r="B15" s="2771" t="s">
        <v>2877</v>
      </c>
      <c r="C15" s="228">
        <f>IF(C14="有",1.1,1)</f>
        <v>1</v>
      </c>
      <c r="D15" s="228">
        <f>IF(D14="有",1.1,1)</f>
        <v>1</v>
      </c>
      <c r="E15" s="228">
        <f>IF(E14="有",1.1,1)</f>
        <v>1</v>
      </c>
      <c r="F15" s="228">
        <f>IF(F14="500米范围内",1.2,IF(F14="500-1000米",1.1,1))</f>
        <v>1</v>
      </c>
      <c r="G15" s="946">
        <v>1</v>
      </c>
      <c r="H15" s="946">
        <v>1</v>
      </c>
      <c r="I15" s="946">
        <v>1</v>
      </c>
      <c r="J15" s="947">
        <v>1</v>
      </c>
      <c r="K15" s="1366"/>
      <c r="L15" s="2772" t="s">
        <v>2813</v>
      </c>
      <c r="M15" s="917" t="s">
        <v>2878</v>
      </c>
      <c r="N15" s="917" t="s">
        <v>2879</v>
      </c>
      <c r="O15" s="917" t="s">
        <v>2880</v>
      </c>
      <c r="P15" s="2773" t="s">
        <v>2881</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14" t="s">
        <v>2882</v>
      </c>
      <c r="B16" s="2740" t="s">
        <v>2883</v>
      </c>
      <c r="C16" s="1796" t="e">
        <f>ROUND(SUM(G17:J17)/C17,0)</f>
        <v>#DIV/0!</v>
      </c>
      <c r="D16" s="2774" t="s">
        <v>2884</v>
      </c>
      <c r="E16" s="2775"/>
      <c r="F16" s="2776"/>
      <c r="G16" s="2777"/>
      <c r="H16" s="2777"/>
      <c r="I16" s="2777"/>
      <c r="J16" s="2778"/>
      <c r="K16" s="1366"/>
      <c r="L16" s="2779" t="s">
        <v>2885</v>
      </c>
      <c r="M16" s="919">
        <v>0.25</v>
      </c>
      <c r="N16" s="919">
        <v>0.2</v>
      </c>
      <c r="O16" s="919">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15"/>
      <c r="B17" s="2780" t="s">
        <v>2886</v>
      </c>
      <c r="C17" s="921">
        <f>SUMPRODUCT((修正!A2:A5=E2)*(修正!B1:M1=G2)*(修正!B2:M5))</f>
        <v>0</v>
      </c>
      <c r="D17" s="2781"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6"/>
      <c r="L17" s="2782"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2890</v>
      </c>
      <c r="C18" s="923">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2891</v>
      </c>
      <c r="C19" s="924" t="e">
        <f>ROUND(IF(H19="按公示增长率计算",SUMPRODUCT((地价!A3:A22=YEAR(G19)&amp;"-"&amp;ROUNDUP(MONTH(G19)/3,0))*(地价!X2:AB2=E2)*(地价!X3:AB22)),IF(H19="地价指数",M20/M19,(1+I19)^O19)),4)</f>
        <v>#DIV/0!</v>
      </c>
      <c r="D19" s="2792" t="s">
        <v>2892</v>
      </c>
      <c r="E19" s="925">
        <v>41640</v>
      </c>
      <c r="F19" s="2792" t="s">
        <v>2893</v>
      </c>
      <c r="G19" s="926">
        <f>'数据-取费表'!B2</f>
        <v>43346</v>
      </c>
      <c r="H19" s="2793" t="s">
        <v>2894</v>
      </c>
      <c r="I19" s="927" t="str">
        <f>IF(H19="季度增幅（自定义）",SUMIF(N21:N24,E2,O21:O24),"")</f>
        <v/>
      </c>
      <c r="J19" s="2790"/>
      <c r="K19" s="1373"/>
      <c r="L19" s="2794" t="s">
        <v>2895</v>
      </c>
      <c r="M19" s="1729">
        <f>ROUND(SUMIF(地价!B2:F2,E2,地价!B22:F22),0)</f>
        <v>0</v>
      </c>
      <c r="N19" s="2795" t="s">
        <v>2896</v>
      </c>
      <c r="O19" s="928">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2897</v>
      </c>
      <c r="C20" s="929" t="e">
        <f>ROUND(POWER(1+G20,J20-I20)*(POWER(1+G20,I20)-1)/(POWER(1+G20,J20)-1),4)</f>
        <v>#DIV/0!</v>
      </c>
      <c r="D20" s="2801" t="s">
        <v>2898</v>
      </c>
      <c r="E20" s="1763">
        <f ca="1">存贷款利率!D4/100</f>
        <v>4.3499999999999997E-2</v>
      </c>
      <c r="F20" s="2801" t="s">
        <v>2889</v>
      </c>
      <c r="G20" s="934">
        <f>SUMIF(M15:P15,E2,M17:P17)</f>
        <v>0</v>
      </c>
      <c r="H20" s="2801" t="s">
        <v>2899</v>
      </c>
      <c r="I20" s="935" t="e">
        <f>SUMIF('数据-取费表'!C6:C15,E2,'数据-取费表'!F6:F15)/COUNTIF('数据-取费表'!C6:C15,E2)</f>
        <v>#DIV/0!</v>
      </c>
      <c r="J20" s="936">
        <f>IF(E2="住宅",70,IF(E2="商业",40,50))</f>
        <v>50</v>
      </c>
      <c r="K20" s="1373"/>
      <c r="L20" s="2802" t="s">
        <v>2900</v>
      </c>
      <c r="M20" s="1730">
        <f>ROUND(SUMPRODUCT((地价!A4:A22=YEAR(G19)&amp;"-"&amp;ROUNDUP(MONTH(G19)/3,0))*(地价!B2:F2=E2)*(地价!B4:F22)),0)</f>
        <v>0</v>
      </c>
      <c r="N20" s="2803" t="s">
        <v>2901</v>
      </c>
      <c r="O20" s="2804" t="s">
        <v>2902</v>
      </c>
      <c r="P20" s="2805" t="s">
        <v>2903</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2904</v>
      </c>
      <c r="C21" s="937">
        <f>IF(B21="容积率修正",IF(G3&lt;=10,D22,J22),C23)</f>
        <v>0</v>
      </c>
      <c r="D21" s="2808"/>
      <c r="E21" s="2808"/>
      <c r="F21" s="2808"/>
      <c r="G21" s="2808"/>
      <c r="H21" s="2808"/>
      <c r="I21" s="2808"/>
      <c r="J21" s="2809"/>
      <c r="K21" s="1373"/>
      <c r="N21" s="2810" t="s">
        <v>2905</v>
      </c>
      <c r="O21" s="1557"/>
      <c r="P21" s="1558">
        <f>SUMPRODUCT((地价!A3:A22=YEAR(G19)&amp;"-"&amp;ROUNDUP(MONTH(G19)/3,0))*(地价!AD2:AH2=N21)*(地价!AD3:AH22))</f>
        <v>0</v>
      </c>
      <c r="R21" s="1372"/>
      <c r="S21" s="1372"/>
      <c r="T21" s="1367"/>
      <c r="U21" s="1367"/>
      <c r="V21" s="1367"/>
      <c r="W21" s="1366"/>
      <c r="X21" s="1366"/>
      <c r="Y21" s="1366"/>
      <c r="Z21" s="1373"/>
      <c r="AA21" s="1374"/>
      <c r="AB21" s="1374"/>
      <c r="AC21" s="1374"/>
      <c r="AD21" s="1374"/>
      <c r="AE21" s="1374"/>
      <c r="AF21" s="1374"/>
    </row>
    <row r="22" spans="1:37" s="2733" customFormat="1" ht="14.25">
      <c r="A22" s="2659" t="s">
        <v>2906</v>
      </c>
      <c r="B22" s="2811" t="s">
        <v>2907</v>
      </c>
      <c r="C22" s="1805" t="s">
        <v>2908</v>
      </c>
      <c r="D22" s="1805" t="str">
        <f>IF(E22=G22,F22,IF(G3&lt;=10,ROUND(F22+(H22-F22)*(G3-E22)/(G22-E22),4),"——"))</f>
        <v>——</v>
      </c>
      <c r="E22" s="913">
        <f>ROUNDDOWN(G3,1)</f>
        <v>14.4</v>
      </c>
      <c r="F22" s="180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3">
        <f>ROUNDUP(G3,1)</f>
        <v>14.5</v>
      </c>
      <c r="H22" s="180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5" t="s">
        <v>155</v>
      </c>
      <c r="J22" s="938">
        <f>IF(G3&gt;10,D113,"——")</f>
        <v>0</v>
      </c>
      <c r="K22" s="1373"/>
      <c r="N22" s="2810" t="s">
        <v>2909</v>
      </c>
      <c r="O22" s="1557"/>
      <c r="P22" s="1558">
        <f>SUMPRODUCT((地价!A3:A22=YEAR(G19)&amp;"-"&amp;ROUNDUP(MONTH(G19)/3,0))*(地价!AD2:AH2=N22)*(地价!AD3:AH22))</f>
        <v>0</v>
      </c>
      <c r="R22" s="1372"/>
      <c r="S22" s="1372"/>
      <c r="T22" s="1367"/>
      <c r="U22" s="1367"/>
      <c r="V22" s="1367"/>
      <c r="W22" s="1366"/>
      <c r="X22" s="1366"/>
      <c r="Y22" s="1366"/>
      <c r="Z22" s="1373"/>
      <c r="AA22" s="1374"/>
      <c r="AB22" s="1374"/>
      <c r="AC22" s="1374"/>
      <c r="AD22" s="1374"/>
      <c r="AE22" s="1374"/>
      <c r="AF22" s="1374"/>
    </row>
    <row r="23" spans="1:37" ht="27.75" thickBot="1">
      <c r="A23" s="2659" t="s">
        <v>2910</v>
      </c>
      <c r="B23" s="2812" t="s">
        <v>2911</v>
      </c>
      <c r="C23" s="1013">
        <f>ROUND(IF(G3&gt;1,IF(I3&lt;7,SUMPRODUCT((B93:B98=I3)*(C92:N92=G2)*(C93:N98)),SUMIF(C92:N92,G2,C100:N100)),IF(I3&lt;7,SUMPRODUCT((B102:B107=I3)*(C92:N92=G2)*(C102:N107)),SUMIF(C92:N92,G2,C109:N109))),4)</f>
        <v>0</v>
      </c>
      <c r="D23" s="2768"/>
      <c r="E23" s="2768"/>
      <c r="F23" s="2813"/>
      <c r="G23" s="2814"/>
      <c r="H23" s="2815"/>
      <c r="I23" s="2816"/>
      <c r="J23" s="2817"/>
      <c r="K23" s="1366"/>
      <c r="N23" s="2810" t="s">
        <v>2912</v>
      </c>
      <c r="O23" s="1557"/>
      <c r="P23" s="1558">
        <f>SUMPRODUCT((地价!A3:A22=YEAR(G19)&amp;"-"&amp;ROUNDUP(MONTH(G19)/3,0))*(地价!AD2:AH2=N23)*(地价!AD3:AH22))</f>
        <v>0</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2913</v>
      </c>
      <c r="C24" s="924">
        <f>SUMIF(A45:A88,E2,B45:B88)</f>
        <v>0</v>
      </c>
      <c r="D24" s="2788"/>
      <c r="E24" s="2818"/>
      <c r="F24" s="2818"/>
      <c r="G24" s="2818"/>
      <c r="H24" s="2818"/>
      <c r="I24" s="2818"/>
      <c r="J24" s="2819"/>
      <c r="K24" s="1373"/>
      <c r="N24" s="2820" t="s">
        <v>2914</v>
      </c>
      <c r="O24" s="1559"/>
      <c r="P24" s="1560">
        <f>SUMPRODUCT((地价!A3:A22=YEAR(G19)&amp;"-"&amp;ROUNDUP(MONTH(G19)/3,0))*(地价!AD2:AH2=N24)*(地价!AD3:AH22))</f>
        <v>0</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2915</v>
      </c>
      <c r="C25" s="930"/>
      <c r="D25" s="2743"/>
      <c r="E25" s="2743"/>
      <c r="F25" s="2822"/>
      <c r="G25" s="2743"/>
      <c r="H25" s="2743"/>
      <c r="I25" s="2743"/>
      <c r="J25" s="2744"/>
      <c r="K25" s="1366"/>
      <c r="N25" s="2823" t="s">
        <v>2916</v>
      </c>
      <c r="O25" s="1561"/>
      <c r="P25" s="1560">
        <f>SUMPRODUCT((地价!A3:A22=YEAR(G19)&amp;"-"&amp;ROUNDUP(MONTH(G19)/3,0))*(地价!AD2:AH2=N25)*(地价!AD3:AH22))</f>
        <v>0</v>
      </c>
      <c r="R25" s="1372"/>
      <c r="S25" s="1372"/>
      <c r="T25" s="1367"/>
      <c r="U25" s="1367"/>
      <c r="V25" s="1367"/>
      <c r="W25" s="1366"/>
      <c r="X25" s="1366"/>
      <c r="Y25" s="1366"/>
      <c r="Z25" s="1373"/>
      <c r="AA25" s="1374"/>
      <c r="AB25" s="1374"/>
      <c r="AC25" s="1374"/>
      <c r="AD25" s="1374"/>
    </row>
    <row r="26" spans="1:37" ht="15">
      <c r="A26" s="2824"/>
      <c r="B26" s="2811" t="s">
        <v>2917</v>
      </c>
      <c r="C26" s="205"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2918</v>
      </c>
      <c r="C27" s="931"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2919</v>
      </c>
      <c r="C28" s="2835" t="s">
        <v>2920</v>
      </c>
      <c r="D28" s="2835" t="s">
        <v>2921</v>
      </c>
      <c r="E28" s="2836" t="s">
        <v>2922</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2923</v>
      </c>
      <c r="C29" s="205" t="e">
        <f>ROUND(C5*C18*C19*C20*C21*C24,0)</f>
        <v>#DIV/0!</v>
      </c>
      <c r="D29" s="2840"/>
      <c r="E29" s="942" t="e">
        <f>ROUND(C29*D29/10000,0)</f>
        <v>#DIV/0!</v>
      </c>
      <c r="F29" s="2841" t="s">
        <v>2924</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2925</v>
      </c>
      <c r="C30" s="228" t="e">
        <f>ROUND(IF(E2="工业",C29*M39,C29*M38),0)</f>
        <v>#DIV/0!</v>
      </c>
      <c r="D30" s="2846"/>
      <c r="E30" s="942" t="e">
        <f>ROUND(C30*D30/10000,0)</f>
        <v>#DIV/0!</v>
      </c>
      <c r="F30" s="2847" t="s">
        <v>2926</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2927</v>
      </c>
      <c r="C31" s="2852" t="s">
        <v>2928</v>
      </c>
      <c r="D31" s="2756"/>
      <c r="E31" s="2852"/>
      <c r="F31" s="2852"/>
      <c r="G31" s="2754" t="s">
        <v>2929</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0" t="s">
        <v>2920</v>
      </c>
      <c r="D32" s="497" t="s">
        <v>2921</v>
      </c>
      <c r="E32" s="497" t="s">
        <v>2922</v>
      </c>
      <c r="F32" s="387" t="s">
        <v>2930</v>
      </c>
      <c r="G32" s="2855" t="s">
        <v>2920</v>
      </c>
      <c r="H32" s="2855" t="s">
        <v>2921</v>
      </c>
      <c r="I32" s="2855" t="s">
        <v>2922</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22" t="s">
        <v>2931</v>
      </c>
      <c r="B33" s="2856" t="s">
        <v>2932</v>
      </c>
      <c r="C33" s="205" t="e">
        <f>ROUND(D5*C19*C20*C24*F33,0)</f>
        <v>#DIV/0!</v>
      </c>
      <c r="D33" s="2840"/>
      <c r="E33" s="199" t="e">
        <f>ROUND(C33*D33/10000,0)</f>
        <v>#DIV/0!</v>
      </c>
      <c r="F33" s="199">
        <f>SUMIF(修正!A45:A56,G2,修正!B45:B56)</f>
        <v>0</v>
      </c>
      <c r="G33" s="199" t="e">
        <f t="shared" ref="G33:G39" si="6">ROUND(IF(E2="工业",C33*$M$39,C33*$M$38),0)</f>
        <v>#DIV/0!</v>
      </c>
      <c r="H33" s="199">
        <f>D33</f>
        <v>0</v>
      </c>
      <c r="I33" s="199"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23"/>
      <c r="B34" s="2760" t="s">
        <v>2933</v>
      </c>
      <c r="C34" s="205" t="e">
        <f>ROUND(D5*C19*C20*C24*F34,0)</f>
        <v>#DIV/0!</v>
      </c>
      <c r="D34" s="284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3"/>
      <c r="B35" s="2760" t="s">
        <v>2934</v>
      </c>
      <c r="C35" s="205" t="e">
        <f>ROUND(D5*C19*C20*C24*F35,0)</f>
        <v>#DIV/0!</v>
      </c>
      <c r="D35" s="2840"/>
      <c r="E35" s="199" t="e">
        <f t="shared" si="7"/>
        <v>#DIV/0!</v>
      </c>
      <c r="F35" s="199">
        <f>SUMIF(修正!A45:A56,G2,修正!D45:D56)</f>
        <v>0</v>
      </c>
      <c r="G35" s="199" t="e">
        <f t="shared" si="6"/>
        <v>#DIV/0!</v>
      </c>
      <c r="H35" s="199">
        <f t="shared" si="8"/>
        <v>0</v>
      </c>
      <c r="I35" s="199"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24"/>
      <c r="B36" s="2760" t="s">
        <v>2935</v>
      </c>
      <c r="C36" s="205" t="e">
        <f>ROUND(D5*C19*C20*C24*F36,0)</f>
        <v>#DIV/0!</v>
      </c>
      <c r="D36" s="2840"/>
      <c r="E36" s="199" t="e">
        <f t="shared" si="7"/>
        <v>#DIV/0!</v>
      </c>
      <c r="F36" s="199">
        <f>SUMIF(修正!A45:A56,G2,修正!E45:E56)</f>
        <v>0</v>
      </c>
      <c r="G36" s="199" t="e">
        <f t="shared" si="6"/>
        <v>#DIV/0!</v>
      </c>
      <c r="H36" s="199">
        <f t="shared" si="8"/>
        <v>0</v>
      </c>
      <c r="I36" s="199"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2936</v>
      </c>
      <c r="C37" s="199" t="e">
        <f>ROUND(C5*C19*C20*C24*F37,0)</f>
        <v>#DIV/0!</v>
      </c>
      <c r="D37" s="2840"/>
      <c r="E37" s="199" t="e">
        <f t="shared" si="7"/>
        <v>#DIV/0!</v>
      </c>
      <c r="F37" s="205">
        <f>SUMIF(修正!A45:A56,G2,修正!F45:F56)</f>
        <v>0</v>
      </c>
      <c r="G37" s="199" t="e">
        <f t="shared" si="6"/>
        <v>#DIV/0!</v>
      </c>
      <c r="H37" s="199">
        <f t="shared" si="8"/>
        <v>0</v>
      </c>
      <c r="I37" s="199" t="e">
        <f t="shared" si="9"/>
        <v>#DIV/0!</v>
      </c>
      <c r="J37" s="2857"/>
      <c r="K37" s="1366"/>
      <c r="L37" s="2859" t="s">
        <v>2937</v>
      </c>
      <c r="M37" s="2860"/>
      <c r="N37" s="1366"/>
      <c r="O37" s="1366"/>
      <c r="P37" s="1366"/>
      <c r="Q37" s="1366"/>
      <c r="R37" s="1366"/>
      <c r="S37" s="1366"/>
      <c r="T37" s="1366"/>
      <c r="U37" s="1366"/>
      <c r="V37" s="1366"/>
      <c r="W37" s="1366"/>
      <c r="X37" s="1366"/>
      <c r="Y37" s="1366"/>
      <c r="Z37" s="1367"/>
    </row>
    <row r="38" spans="1:37">
      <c r="A38" s="2858"/>
      <c r="B38" s="2760" t="s">
        <v>2938</v>
      </c>
      <c r="C38" s="199" t="e">
        <f>ROUND(C5*C19*C20*C24*F38,0)</f>
        <v>#DIV/0!</v>
      </c>
      <c r="D38" s="2840"/>
      <c r="E38" s="199" t="e">
        <f t="shared" si="7"/>
        <v>#DIV/0!</v>
      </c>
      <c r="F38" s="205">
        <f>SUMIF(修正!A45:A56,G2,修正!G45:G56)</f>
        <v>0</v>
      </c>
      <c r="G38" s="199" t="e">
        <f t="shared" si="6"/>
        <v>#DIV/0!</v>
      </c>
      <c r="H38" s="199">
        <f t="shared" si="8"/>
        <v>0</v>
      </c>
      <c r="I38" s="199" t="e">
        <f t="shared" si="9"/>
        <v>#DIV/0!</v>
      </c>
      <c r="J38" s="2857"/>
      <c r="K38" s="1366"/>
      <c r="L38" s="1882" t="s">
        <v>2939</v>
      </c>
      <c r="M38" s="2861">
        <v>0.25</v>
      </c>
      <c r="N38" s="1366"/>
      <c r="O38" s="1366"/>
      <c r="P38" s="1366"/>
      <c r="Q38" s="1366"/>
      <c r="R38" s="1366"/>
      <c r="S38" s="1366"/>
      <c r="T38" s="1366"/>
      <c r="U38" s="1366"/>
      <c r="V38" s="1366"/>
      <c r="W38" s="1366"/>
      <c r="X38" s="1366"/>
      <c r="Y38" s="1366"/>
      <c r="Z38" s="1367"/>
    </row>
    <row r="39" spans="1:37" ht="13.5" thickBot="1">
      <c r="A39" s="2844"/>
      <c r="B39" s="2862" t="s">
        <v>2940</v>
      </c>
      <c r="C39" s="228" t="e">
        <f>ROUND(C5*C19*C20*C24*F39,0)</f>
        <v>#DIV/0!</v>
      </c>
      <c r="D39" s="2846"/>
      <c r="E39" s="228" t="e">
        <f t="shared" si="7"/>
        <v>#DIV/0!</v>
      </c>
      <c r="F39" s="932">
        <f>SUMIF(修正!A45:A56,G2,修正!H45:H56)</f>
        <v>0</v>
      </c>
      <c r="G39" s="228" t="e">
        <f t="shared" si="6"/>
        <v>#DIV/0!</v>
      </c>
      <c r="H39" s="228">
        <f t="shared" si="8"/>
        <v>0</v>
      </c>
      <c r="I39" s="228" t="e">
        <f t="shared" si="9"/>
        <v>#DIV/0!</v>
      </c>
      <c r="J39" s="2863"/>
      <c r="K39" s="1366"/>
      <c r="L39" s="2864" t="s">
        <v>2881</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2941</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2942</v>
      </c>
      <c r="B46" s="2870">
        <f>1+E48</f>
        <v>1</v>
      </c>
      <c r="C46" s="2871"/>
      <c r="D46" s="811"/>
      <c r="E46" s="812"/>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2943</v>
      </c>
      <c r="B47" s="1804" t="s">
        <v>2944</v>
      </c>
      <c r="C47" s="1804" t="s">
        <v>2945</v>
      </c>
      <c r="D47" s="1804" t="s">
        <v>2946</v>
      </c>
      <c r="E47" s="816" t="s">
        <v>2947</v>
      </c>
      <c r="F47" s="2874" t="s">
        <v>2948</v>
      </c>
      <c r="G47" s="1804" t="s">
        <v>754</v>
      </c>
      <c r="H47" s="2875" t="s">
        <v>2949</v>
      </c>
      <c r="I47" s="1804" t="s">
        <v>2950</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38.25">
      <c r="A48" s="2873" t="s">
        <v>2951</v>
      </c>
      <c r="B48" s="2876" t="str">
        <f>估价对象房地状况!C4</f>
        <v>估价对象位于XX商圈，周边商业氛围成熟，人流量大，商业繁华度好</v>
      </c>
      <c r="C48" s="2765"/>
      <c r="D48" s="1282">
        <f t="shared" ref="D48:D56" si="10">SUMIF($J$47:$N$47,C48,J48:N48)</f>
        <v>0</v>
      </c>
      <c r="E48" s="818">
        <f>ROUND(SUM(D48:D56),4)</f>
        <v>0</v>
      </c>
      <c r="F48" s="2496"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2952</v>
      </c>
      <c r="B49" s="2877" t="str">
        <f>估价对象房地状况!C18</f>
        <v>估价对象周边道路状况、公共交通通达情况、停车便捷程度，综合评价交通便捷度较好</v>
      </c>
      <c r="C49" s="2765"/>
      <c r="D49" s="1282">
        <f t="shared" si="10"/>
        <v>0</v>
      </c>
      <c r="E49" s="819"/>
      <c r="F49" s="2496"/>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2953</v>
      </c>
      <c r="B50" s="2877">
        <f>估价对象房地状况!C19</f>
        <v>0</v>
      </c>
      <c r="C50" s="2765"/>
      <c r="D50" s="1282">
        <f t="shared" si="10"/>
        <v>0</v>
      </c>
      <c r="E50" s="819"/>
      <c r="F50" s="2496"/>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2954</v>
      </c>
      <c r="B51" s="2878" t="s">
        <v>2955</v>
      </c>
      <c r="C51" s="2765"/>
      <c r="D51" s="1282">
        <f t="shared" si="10"/>
        <v>0</v>
      </c>
      <c r="E51" s="819"/>
      <c r="F51" s="2496"/>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2956</v>
      </c>
      <c r="B52" s="2877">
        <f>估价对象房地状况!C24</f>
        <v>0</v>
      </c>
      <c r="C52" s="2765"/>
      <c r="D52" s="1282">
        <f t="shared" si="10"/>
        <v>0</v>
      </c>
      <c r="E52" s="819"/>
      <c r="F52" s="2496"/>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2957</v>
      </c>
      <c r="B53" s="2879" t="s">
        <v>2958</v>
      </c>
      <c r="C53" s="2765"/>
      <c r="D53" s="1282">
        <f t="shared" si="10"/>
        <v>0</v>
      </c>
      <c r="E53" s="819"/>
      <c r="F53" s="2496"/>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2959</v>
      </c>
      <c r="B54" s="1720" t="str">
        <f>估价对象房地状况!C21</f>
        <v>估价对象所在区域公共配套设施齐备情况</v>
      </c>
      <c r="C54" s="2765"/>
      <c r="D54" s="1282">
        <f t="shared" si="10"/>
        <v>0</v>
      </c>
      <c r="E54" s="819"/>
      <c r="F54" s="2496"/>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2960</v>
      </c>
      <c r="B55" s="2877" t="str">
        <f>估价对象房地状况!C22</f>
        <v>估价对象所在区域基础设施水平</v>
      </c>
      <c r="C55" s="2765"/>
      <c r="D55" s="1282">
        <f t="shared" si="10"/>
        <v>0</v>
      </c>
      <c r="E55" s="819"/>
      <c r="F55" s="2496"/>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2961</v>
      </c>
      <c r="B56" s="2882" t="str">
        <f>估价对象房地状况!C20</f>
        <v>区域自然环境：；人文环境；综合评价环境状况一般</v>
      </c>
      <c r="C56" s="2765"/>
      <c r="D56" s="1282">
        <f t="shared" si="10"/>
        <v>0</v>
      </c>
      <c r="E56" s="822"/>
      <c r="F56" s="2496"/>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2962</v>
      </c>
      <c r="B57" s="2870">
        <f>1+E59</f>
        <v>1</v>
      </c>
      <c r="C57" s="811"/>
      <c r="D57" s="811"/>
      <c r="E57" s="812"/>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2943</v>
      </c>
      <c r="B58" s="1804"/>
      <c r="C58" s="1804" t="s">
        <v>2945</v>
      </c>
      <c r="D58" s="1804" t="s">
        <v>2946</v>
      </c>
      <c r="E58" s="816" t="s">
        <v>2947</v>
      </c>
      <c r="F58" s="2874" t="s">
        <v>2963</v>
      </c>
      <c r="G58" s="1804" t="s">
        <v>754</v>
      </c>
      <c r="H58" s="2875" t="s">
        <v>2949</v>
      </c>
      <c r="I58" s="1804" t="s">
        <v>2950</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38.25">
      <c r="A59" s="2873" t="s">
        <v>2964</v>
      </c>
      <c r="B59" s="2876" t="str">
        <f>估价对象房地状况!C17</f>
        <v>估价对象位于XX商圈，周边办公楼项目较多，入驻率高，办公集聚程度较好</v>
      </c>
      <c r="C59" s="2765"/>
      <c r="D59" s="1282">
        <f t="shared" ref="D59:D67" si="15">SUMIF($J$58:$N$58,C59,J59:N59)</f>
        <v>0</v>
      </c>
      <c r="E59" s="818">
        <f>ROUND(SUM(D59:D67),4)</f>
        <v>0</v>
      </c>
      <c r="F59" s="2496"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3" t="s">
        <v>2952</v>
      </c>
      <c r="B60" s="2877" t="str">
        <f>估价对象房地状况!C18</f>
        <v>估价对象周边道路状况、公共交通通达情况、停车便捷程度，综合评价交通便捷度较好</v>
      </c>
      <c r="C60" s="2765"/>
      <c r="D60" s="1282">
        <f t="shared" si="15"/>
        <v>0</v>
      </c>
      <c r="E60" s="819"/>
      <c r="F60" s="2496"/>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2953</v>
      </c>
      <c r="B61" s="2877">
        <f>估价对象房地状况!C19</f>
        <v>0</v>
      </c>
      <c r="C61" s="2765"/>
      <c r="D61" s="1282">
        <f t="shared" si="15"/>
        <v>0</v>
      </c>
      <c r="E61" s="819"/>
      <c r="F61" s="2496"/>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2954</v>
      </c>
      <c r="B62" s="2878" t="s">
        <v>2955</v>
      </c>
      <c r="C62" s="2765"/>
      <c r="D62" s="1282">
        <f t="shared" si="15"/>
        <v>0</v>
      </c>
      <c r="E62" s="819"/>
      <c r="F62" s="2496"/>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2956</v>
      </c>
      <c r="B63" s="2877">
        <f>估价对象房地状况!C24</f>
        <v>0</v>
      </c>
      <c r="C63" s="2765"/>
      <c r="D63" s="1282">
        <f t="shared" si="15"/>
        <v>0</v>
      </c>
      <c r="E63" s="819"/>
      <c r="F63" s="2496"/>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2957</v>
      </c>
      <c r="B64" s="2879" t="s">
        <v>2958</v>
      </c>
      <c r="C64" s="2765"/>
      <c r="D64" s="1282">
        <f t="shared" si="15"/>
        <v>0</v>
      </c>
      <c r="E64" s="819"/>
      <c r="F64" s="2496"/>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3" t="s">
        <v>2959</v>
      </c>
      <c r="B65" s="1720" t="str">
        <f>估价对象房地状况!C21</f>
        <v>估价对象所在区域公共配套设施齐备情况</v>
      </c>
      <c r="C65" s="2765"/>
      <c r="D65" s="1282">
        <f t="shared" si="15"/>
        <v>0</v>
      </c>
      <c r="E65" s="819"/>
      <c r="F65" s="2496"/>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3" t="s">
        <v>2960</v>
      </c>
      <c r="B66" s="1720" t="str">
        <f>估价对象房地状况!C22</f>
        <v>估价对象所在区域基础设施水平</v>
      </c>
      <c r="C66" s="2765"/>
      <c r="D66" s="1282">
        <f t="shared" si="15"/>
        <v>0</v>
      </c>
      <c r="E66" s="819"/>
      <c r="F66" s="2496"/>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1" t="s">
        <v>2961</v>
      </c>
      <c r="B67" s="2883" t="str">
        <f>估价对象房地状况!C20</f>
        <v>区域自然环境：；人文环境；综合评价环境状况一般</v>
      </c>
      <c r="C67" s="2765"/>
      <c r="D67" s="1282">
        <f t="shared" si="15"/>
        <v>0</v>
      </c>
      <c r="E67" s="822"/>
      <c r="F67" s="2496"/>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2965</v>
      </c>
      <c r="B68" s="2870">
        <f>1+E70</f>
        <v>1</v>
      </c>
      <c r="C68" s="811"/>
      <c r="D68" s="811"/>
      <c r="E68" s="812"/>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2943</v>
      </c>
      <c r="B69" s="1804"/>
      <c r="C69" s="1804" t="s">
        <v>2945</v>
      </c>
      <c r="D69" s="1804" t="s">
        <v>2946</v>
      </c>
      <c r="E69" s="816" t="s">
        <v>2947</v>
      </c>
      <c r="F69" s="2874" t="s">
        <v>2963</v>
      </c>
      <c r="G69" s="1804" t="s">
        <v>754</v>
      </c>
      <c r="H69" s="2875" t="s">
        <v>2949</v>
      </c>
      <c r="I69" s="1804" t="s">
        <v>2950</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51">
      <c r="A70" s="2873" t="s">
        <v>2966</v>
      </c>
      <c r="B70" s="2876" t="str">
        <f>估价对象房地状况!C15</f>
        <v>估价对象周边居住用地比例、居住小区规模和社区发展完善程度，综合评价居住社区成熟度一般</v>
      </c>
      <c r="C70" s="2765"/>
      <c r="D70" s="1282">
        <f t="shared" ref="D70:D78" si="20">SUMIF($J$69:$N$69,C70,J70:N70)</f>
        <v>0</v>
      </c>
      <c r="E70" s="818">
        <f>ROUND(SUM(D70:D78),4)</f>
        <v>0</v>
      </c>
      <c r="F70" s="2496"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3" t="s">
        <v>2952</v>
      </c>
      <c r="B71" s="2877" t="str">
        <f>估价对象房地状况!C18</f>
        <v>估价对象周边道路状况、公共交通通达情况、停车便捷程度，综合评价交通便捷度较好</v>
      </c>
      <c r="C71" s="2765"/>
      <c r="D71" s="1282">
        <f t="shared" si="20"/>
        <v>0</v>
      </c>
      <c r="E71" s="823"/>
      <c r="F71" s="2496"/>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2953</v>
      </c>
      <c r="B72" s="2877">
        <f>估价对象房地状况!C19</f>
        <v>0</v>
      </c>
      <c r="C72" s="2765"/>
      <c r="D72" s="1282">
        <f t="shared" si="20"/>
        <v>0</v>
      </c>
      <c r="E72" s="823"/>
      <c r="F72" s="2496"/>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2967</v>
      </c>
      <c r="B73" s="2877">
        <f>估价对象房地状况!C24</f>
        <v>0</v>
      </c>
      <c r="C73" s="2765"/>
      <c r="D73" s="1282">
        <f t="shared" si="20"/>
        <v>0</v>
      </c>
      <c r="E73" s="823"/>
      <c r="F73" s="2496"/>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3" t="s">
        <v>2959</v>
      </c>
      <c r="B74" s="1720" t="str">
        <f>估价对象房地状况!C21</f>
        <v>估价对象所在区域公共配套设施齐备情况</v>
      </c>
      <c r="C74" s="2765"/>
      <c r="D74" s="1282">
        <f t="shared" si="20"/>
        <v>0</v>
      </c>
      <c r="E74" s="823"/>
      <c r="F74" s="2496"/>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3" t="s">
        <v>2960</v>
      </c>
      <c r="B75" s="1720" t="str">
        <f>估价对象房地状况!C22</f>
        <v>估价对象所在区域基础设施水平</v>
      </c>
      <c r="C75" s="2765"/>
      <c r="D75" s="1282">
        <f t="shared" si="20"/>
        <v>0</v>
      </c>
      <c r="E75" s="823"/>
      <c r="F75" s="2496"/>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2957</v>
      </c>
      <c r="B76" s="2879" t="s">
        <v>2958</v>
      </c>
      <c r="C76" s="2765"/>
      <c r="D76" s="1282">
        <f t="shared" si="20"/>
        <v>0</v>
      </c>
      <c r="E76" s="823"/>
      <c r="F76" s="2496"/>
      <c r="G76" s="1280"/>
      <c r="H76" s="1284" t="str">
        <f t="shared" si="21"/>
        <v>——</v>
      </c>
      <c r="I76" s="817">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38.25">
      <c r="A77" s="2873" t="s">
        <v>2961</v>
      </c>
      <c r="B77" s="2876" t="str">
        <f>估价对象房地状况!C20</f>
        <v>区域自然环境：；人文环境；综合评价环境状况一般</v>
      </c>
      <c r="C77" s="2765"/>
      <c r="D77" s="1282">
        <f t="shared" si="20"/>
        <v>0</v>
      </c>
      <c r="E77" s="823"/>
      <c r="F77" s="2496"/>
      <c r="G77" s="1280"/>
      <c r="H77" s="1284" t="str">
        <f t="shared" si="21"/>
        <v>——</v>
      </c>
      <c r="I77" s="817">
        <v>0.15</v>
      </c>
      <c r="J77" s="1281">
        <f t="shared" si="22"/>
        <v>0</v>
      </c>
      <c r="K77" s="1281">
        <f t="shared" si="23"/>
        <v>0</v>
      </c>
      <c r="L77" s="1281">
        <v>0</v>
      </c>
      <c r="M77" s="1281">
        <f t="shared" si="24"/>
        <v>0</v>
      </c>
      <c r="N77" s="1281">
        <f t="shared" si="24"/>
        <v>0</v>
      </c>
      <c r="Z77" s="2715"/>
      <c r="AA77" s="2791"/>
      <c r="AG77" s="1368"/>
      <c r="AK77" s="2791"/>
    </row>
    <row r="78" spans="1:37" ht="24.75" thickBot="1">
      <c r="A78" s="2881" t="s">
        <v>2968</v>
      </c>
      <c r="B78" s="2885"/>
      <c r="C78" s="2765"/>
      <c r="D78" s="1282">
        <f t="shared" si="20"/>
        <v>0</v>
      </c>
      <c r="E78" s="824"/>
      <c r="F78" s="2496"/>
      <c r="G78" s="1280"/>
      <c r="H78" s="1284" t="str">
        <f t="shared" si="21"/>
        <v>——</v>
      </c>
      <c r="I78" s="821">
        <v>0.04</v>
      </c>
      <c r="J78" s="1281">
        <f t="shared" si="22"/>
        <v>0</v>
      </c>
      <c r="K78" s="1281">
        <f t="shared" si="23"/>
        <v>0</v>
      </c>
      <c r="L78" s="1281">
        <v>0</v>
      </c>
      <c r="M78" s="1281">
        <f t="shared" si="24"/>
        <v>0</v>
      </c>
      <c r="N78" s="1281">
        <f t="shared" si="24"/>
        <v>0</v>
      </c>
      <c r="Z78" s="2715"/>
      <c r="AA78" s="2791"/>
      <c r="AG78" s="1368"/>
      <c r="AK78" s="2791"/>
    </row>
    <row r="79" spans="1:37" ht="15">
      <c r="A79" s="2869" t="s">
        <v>2969</v>
      </c>
      <c r="B79" s="2870">
        <f>1+E81</f>
        <v>1</v>
      </c>
      <c r="C79" s="811"/>
      <c r="D79" s="811"/>
      <c r="E79" s="812"/>
      <c r="F79" s="2872"/>
      <c r="G79" s="6"/>
      <c r="H79" s="6"/>
      <c r="I79" s="6"/>
      <c r="J79" s="7"/>
      <c r="K79" s="7"/>
      <c r="L79" s="7"/>
      <c r="M79" s="7"/>
      <c r="N79" s="7"/>
      <c r="Z79" s="2715"/>
      <c r="AA79" s="2791"/>
      <c r="AG79" s="1368"/>
      <c r="AK79" s="2791"/>
    </row>
    <row r="80" spans="1:37" ht="24.75">
      <c r="A80" s="2873" t="s">
        <v>2943</v>
      </c>
      <c r="B80" s="1804"/>
      <c r="C80" s="1804" t="s">
        <v>2945</v>
      </c>
      <c r="D80" s="1804" t="s">
        <v>2946</v>
      </c>
      <c r="E80" s="816" t="s">
        <v>2947</v>
      </c>
      <c r="F80" s="2874" t="s">
        <v>2963</v>
      </c>
      <c r="G80" s="1804" t="s">
        <v>754</v>
      </c>
      <c r="H80" s="2875" t="s">
        <v>2949</v>
      </c>
      <c r="I80" s="1804" t="s">
        <v>2950</v>
      </c>
      <c r="J80" s="602" t="s">
        <v>2596</v>
      </c>
      <c r="K80" s="602" t="s">
        <v>2597</v>
      </c>
      <c r="L80" s="602" t="s">
        <v>2598</v>
      </c>
      <c r="M80" s="602" t="s">
        <v>2599</v>
      </c>
      <c r="N80" s="602" t="s">
        <v>2600</v>
      </c>
      <c r="Z80" s="2715"/>
      <c r="AA80" s="2791"/>
      <c r="AG80" s="1368"/>
      <c r="AK80" s="2791"/>
    </row>
    <row r="81" spans="1:37" ht="38.25">
      <c r="A81" s="2873" t="s">
        <v>2970</v>
      </c>
      <c r="B81" s="2877" t="str">
        <f>估价对象房地状况!G15</f>
        <v>估价对象位于XX开发区，园区建设成熟度XX，产业集聚程度XX</v>
      </c>
      <c r="C81" s="2765"/>
      <c r="D81" s="1282">
        <f t="shared" ref="D81:D88" si="25">SUMIF($J$80:$N$80,C81,J81:N81)</f>
        <v>0</v>
      </c>
      <c r="E81" s="818">
        <f>ROUND(SUM(D81:D88),4)</f>
        <v>0</v>
      </c>
      <c r="F81" s="2496"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51">
      <c r="A82" s="2873" t="s">
        <v>2952</v>
      </c>
      <c r="B82" s="2877" t="str">
        <f>估价对象房地状况!G16</f>
        <v>估价对象周边道路状况、公共交通通达情况、停车便捷程度，综合评价交通便捷度较好</v>
      </c>
      <c r="C82" s="2765"/>
      <c r="D82" s="1282">
        <f t="shared" si="25"/>
        <v>0</v>
      </c>
      <c r="E82" s="823"/>
      <c r="F82" s="2496"/>
      <c r="G82" s="1280"/>
      <c r="H82" s="1284" t="str">
        <f t="shared" si="26"/>
        <v>——</v>
      </c>
      <c r="I82" s="817">
        <v>0.33</v>
      </c>
      <c r="J82" s="1281">
        <f t="shared" si="27"/>
        <v>0</v>
      </c>
      <c r="K82" s="1281">
        <f t="shared" si="28"/>
        <v>0</v>
      </c>
      <c r="L82" s="1281">
        <v>0</v>
      </c>
      <c r="M82" s="1281">
        <f t="shared" si="29"/>
        <v>0</v>
      </c>
      <c r="N82" s="1281">
        <f t="shared" si="29"/>
        <v>0</v>
      </c>
      <c r="Z82" s="2715"/>
      <c r="AA82" s="2791"/>
      <c r="AG82" s="1368"/>
      <c r="AK82" s="2791"/>
    </row>
    <row r="83" spans="1:37" ht="24">
      <c r="A83" s="2873" t="s">
        <v>2953</v>
      </c>
      <c r="B83" s="2877">
        <f>估价对象房地状况!G17</f>
        <v>0</v>
      </c>
      <c r="C83" s="2765"/>
      <c r="D83" s="1282">
        <f t="shared" si="25"/>
        <v>0</v>
      </c>
      <c r="E83" s="823"/>
      <c r="F83" s="2496"/>
      <c r="G83" s="1280"/>
      <c r="H83" s="1284" t="str">
        <f t="shared" si="26"/>
        <v>——</v>
      </c>
      <c r="I83" s="817">
        <v>0.05</v>
      </c>
      <c r="J83" s="1281">
        <f t="shared" si="27"/>
        <v>0</v>
      </c>
      <c r="K83" s="1281">
        <f t="shared" si="28"/>
        <v>0</v>
      </c>
      <c r="L83" s="1281">
        <v>0</v>
      </c>
      <c r="M83" s="1281">
        <f t="shared" si="29"/>
        <v>0</v>
      </c>
      <c r="N83" s="1281">
        <f t="shared" si="29"/>
        <v>0</v>
      </c>
      <c r="Z83" s="2715"/>
      <c r="AA83" s="2791"/>
      <c r="AG83" s="1368"/>
      <c r="AK83" s="2791"/>
    </row>
    <row r="84" spans="1:37" ht="14.25">
      <c r="A84" s="2873" t="s">
        <v>2967</v>
      </c>
      <c r="B84" s="2877">
        <f>估价对象房地状况!G22</f>
        <v>0</v>
      </c>
      <c r="C84" s="2765"/>
      <c r="D84" s="1282">
        <f t="shared" si="25"/>
        <v>0</v>
      </c>
      <c r="E84" s="823"/>
      <c r="F84" s="2496"/>
      <c r="G84" s="1280"/>
      <c r="H84" s="1284" t="str">
        <f t="shared" si="26"/>
        <v>——</v>
      </c>
      <c r="I84" s="817">
        <v>0.04</v>
      </c>
      <c r="J84" s="1281">
        <f t="shared" si="27"/>
        <v>0</v>
      </c>
      <c r="K84" s="1281">
        <f t="shared" si="28"/>
        <v>0</v>
      </c>
      <c r="L84" s="1281">
        <v>0</v>
      </c>
      <c r="M84" s="1281">
        <f t="shared" si="29"/>
        <v>0</v>
      </c>
      <c r="N84" s="1281">
        <f t="shared" si="29"/>
        <v>0</v>
      </c>
      <c r="Z84" s="2715"/>
      <c r="AA84" s="2791"/>
      <c r="AG84" s="1368"/>
      <c r="AK84" s="2791"/>
    </row>
    <row r="85" spans="1:37" ht="25.5">
      <c r="A85" s="2873" t="s">
        <v>2959</v>
      </c>
      <c r="B85" s="1720" t="str">
        <f>估价对象房地状况!G19</f>
        <v>估价对象所在区域公共配套设施齐备情况</v>
      </c>
      <c r="C85" s="2765"/>
      <c r="D85" s="1282">
        <f t="shared" si="25"/>
        <v>0</v>
      </c>
      <c r="E85" s="823"/>
      <c r="F85" s="2496"/>
      <c r="G85" s="1280"/>
      <c r="H85" s="1284" t="str">
        <f t="shared" si="26"/>
        <v>——</v>
      </c>
      <c r="I85" s="817">
        <v>0.06</v>
      </c>
      <c r="J85" s="1281">
        <f t="shared" si="27"/>
        <v>0</v>
      </c>
      <c r="K85" s="1281">
        <f t="shared" si="28"/>
        <v>0</v>
      </c>
      <c r="L85" s="1281">
        <v>0</v>
      </c>
      <c r="M85" s="1281">
        <f t="shared" si="29"/>
        <v>0</v>
      </c>
      <c r="N85" s="1281">
        <f t="shared" si="29"/>
        <v>0</v>
      </c>
      <c r="Z85" s="2715"/>
      <c r="AA85" s="2791"/>
      <c r="AG85" s="1368"/>
      <c r="AK85" s="2791"/>
    </row>
    <row r="86" spans="1:37" ht="25.5">
      <c r="A86" s="2873" t="s">
        <v>2960</v>
      </c>
      <c r="B86" s="1720" t="str">
        <f>估价对象房地状况!G20</f>
        <v>估价对象所在区域基础设施水平</v>
      </c>
      <c r="C86" s="2765"/>
      <c r="D86" s="1282">
        <f t="shared" si="25"/>
        <v>0</v>
      </c>
      <c r="E86" s="823"/>
      <c r="F86" s="2496"/>
      <c r="G86" s="1280"/>
      <c r="H86" s="1284" t="str">
        <f t="shared" si="26"/>
        <v>——</v>
      </c>
      <c r="I86" s="817">
        <v>0.15</v>
      </c>
      <c r="J86" s="1281">
        <f t="shared" si="27"/>
        <v>0</v>
      </c>
      <c r="K86" s="1281">
        <f t="shared" si="28"/>
        <v>0</v>
      </c>
      <c r="L86" s="1281">
        <v>0</v>
      </c>
      <c r="M86" s="1281">
        <f t="shared" si="29"/>
        <v>0</v>
      </c>
      <c r="N86" s="1281">
        <f t="shared" si="29"/>
        <v>0</v>
      </c>
      <c r="Z86" s="2715"/>
      <c r="AA86" s="2791"/>
      <c r="AG86" s="1368"/>
      <c r="AK86" s="2791"/>
    </row>
    <row r="87" spans="1:37" ht="24">
      <c r="A87" s="2873" t="s">
        <v>2957</v>
      </c>
      <c r="B87" s="2879" t="s">
        <v>2971</v>
      </c>
      <c r="C87" s="2765"/>
      <c r="D87" s="1282">
        <f t="shared" si="25"/>
        <v>0</v>
      </c>
      <c r="E87" s="823"/>
      <c r="F87" s="2496"/>
      <c r="G87" s="1280"/>
      <c r="H87" s="1284" t="str">
        <f t="shared" si="26"/>
        <v>——</v>
      </c>
      <c r="I87" s="817">
        <v>0.05</v>
      </c>
      <c r="J87" s="1281">
        <f t="shared" si="27"/>
        <v>0</v>
      </c>
      <c r="K87" s="1281">
        <f t="shared" si="28"/>
        <v>0</v>
      </c>
      <c r="L87" s="1281">
        <v>0</v>
      </c>
      <c r="M87" s="1281">
        <f t="shared" si="29"/>
        <v>0</v>
      </c>
      <c r="N87" s="1281">
        <f t="shared" si="29"/>
        <v>0</v>
      </c>
      <c r="Z87" s="2715"/>
      <c r="AA87" s="2791"/>
      <c r="AG87" s="1368"/>
      <c r="AK87" s="2791"/>
    </row>
    <row r="88" spans="1:37" ht="39" thickBot="1">
      <c r="A88" s="2881" t="s">
        <v>2972</v>
      </c>
      <c r="B88" s="2886" t="str">
        <f>估价对象房地状况!G18</f>
        <v>该园区内是否有污染型企业，绿化情况，卫生条件，整体环境状况判断</v>
      </c>
      <c r="C88" s="2765"/>
      <c r="D88" s="1282">
        <f t="shared" si="25"/>
        <v>0</v>
      </c>
      <c r="E88" s="824"/>
      <c r="F88" s="2496"/>
      <c r="G88" s="1280"/>
      <c r="H88" s="1284" t="str">
        <f t="shared" si="26"/>
        <v>——</v>
      </c>
      <c r="I88" s="821">
        <v>0.06</v>
      </c>
      <c r="J88" s="1281">
        <f t="shared" si="27"/>
        <v>0</v>
      </c>
      <c r="K88" s="1281">
        <f t="shared" si="28"/>
        <v>0</v>
      </c>
      <c r="L88" s="1281">
        <v>0</v>
      </c>
      <c r="M88" s="1281">
        <f t="shared" si="29"/>
        <v>0</v>
      </c>
      <c r="N88" s="1281">
        <f t="shared" si="29"/>
        <v>0</v>
      </c>
      <c r="Z88" s="2715"/>
      <c r="AA88" s="2791"/>
      <c r="AG88" s="1368"/>
      <c r="AK88" s="2791"/>
    </row>
    <row r="90" spans="1:37">
      <c r="A90" s="3316" t="s">
        <v>2973</v>
      </c>
      <c r="B90" s="3316"/>
      <c r="C90" s="3316"/>
      <c r="D90" s="3316"/>
      <c r="E90" s="3316"/>
      <c r="F90" s="3316"/>
      <c r="G90" s="3316"/>
      <c r="H90" s="3316"/>
      <c r="I90" s="3316"/>
      <c r="J90" s="3316"/>
      <c r="K90" s="2887"/>
      <c r="L90" s="2887"/>
      <c r="M90" s="2887"/>
      <c r="N90" s="2887"/>
    </row>
    <row r="91" spans="1:37">
      <c r="A91" s="3318" t="s">
        <v>2974</v>
      </c>
      <c r="B91" s="3318" t="s">
        <v>2975</v>
      </c>
      <c r="C91" s="2841" t="s">
        <v>2976</v>
      </c>
      <c r="D91" s="2842"/>
      <c r="E91" s="2842"/>
      <c r="F91" s="2842"/>
      <c r="G91" s="2842"/>
      <c r="H91" s="2842"/>
      <c r="I91" s="2842"/>
      <c r="J91" s="2888"/>
      <c r="K91" s="2889"/>
      <c r="L91" s="2889"/>
      <c r="M91" s="2889"/>
      <c r="N91" s="2889"/>
    </row>
    <row r="92" spans="1:37">
      <c r="A92" s="3318"/>
      <c r="B92" s="3318"/>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19"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2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2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2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2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2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20"/>
      <c r="B99" s="2890" t="s">
        <v>2856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2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19" t="s">
        <v>2978</v>
      </c>
      <c r="B101" s="2894" t="s">
        <v>2979</v>
      </c>
      <c r="C101" s="2895">
        <f>$G$3</f>
        <v>14.46</v>
      </c>
      <c r="D101" s="2895">
        <f t="shared" ref="D101:N101" si="31">$G$3</f>
        <v>14.46</v>
      </c>
      <c r="E101" s="2895">
        <f t="shared" si="31"/>
        <v>14.46</v>
      </c>
      <c r="F101" s="2895">
        <f t="shared" si="31"/>
        <v>14.46</v>
      </c>
      <c r="G101" s="2895">
        <f t="shared" si="31"/>
        <v>14.46</v>
      </c>
      <c r="H101" s="2895">
        <f t="shared" si="31"/>
        <v>14.46</v>
      </c>
      <c r="I101" s="2895">
        <f t="shared" si="31"/>
        <v>14.46</v>
      </c>
      <c r="J101" s="2895">
        <f t="shared" si="31"/>
        <v>14.46</v>
      </c>
      <c r="K101" s="2895">
        <f t="shared" si="31"/>
        <v>14.46</v>
      </c>
      <c r="L101" s="2895">
        <f t="shared" si="31"/>
        <v>14.46</v>
      </c>
      <c r="M101" s="2895">
        <f t="shared" si="31"/>
        <v>14.46</v>
      </c>
      <c r="N101" s="2895">
        <f t="shared" si="31"/>
        <v>14.46</v>
      </c>
    </row>
    <row r="102" spans="1:14">
      <c r="A102" s="3320"/>
      <c r="B102" s="2890">
        <v>1</v>
      </c>
      <c r="C102" s="2891">
        <f>1.9362/C101</f>
        <v>0.13390041493775931</v>
      </c>
      <c r="D102" s="2891">
        <f>1.9362/D101</f>
        <v>0.13390041493775931</v>
      </c>
      <c r="E102" s="2891">
        <f>1.8629/E101</f>
        <v>0.12883125864453665</v>
      </c>
      <c r="F102" s="2891">
        <f>1.8629/F101</f>
        <v>0.12883125864453665</v>
      </c>
      <c r="G102" s="2891">
        <f>1.8629/G101</f>
        <v>0.12883125864453665</v>
      </c>
      <c r="H102" s="2891">
        <f>1.8629/H101</f>
        <v>0.12883125864453665</v>
      </c>
      <c r="I102" s="2891">
        <f>1.8629/I101</f>
        <v>0.12883125864453665</v>
      </c>
      <c r="J102" s="2891">
        <f>1.942/J101</f>
        <v>0.13430152143845089</v>
      </c>
      <c r="K102" s="2891">
        <f>1.942/K101</f>
        <v>0.13430152143845089</v>
      </c>
      <c r="L102" s="2891">
        <f>1.942/L101</f>
        <v>0.13430152143845089</v>
      </c>
      <c r="M102" s="2891">
        <f>1.942/M101</f>
        <v>0.13430152143845089</v>
      </c>
      <c r="N102" s="2891">
        <f>1.942/N101</f>
        <v>0.13430152143845089</v>
      </c>
    </row>
    <row r="103" spans="1:14">
      <c r="A103" s="3320"/>
      <c r="B103" s="2890">
        <v>2</v>
      </c>
      <c r="C103" s="2891">
        <f>1.4198/C101</f>
        <v>9.8188105117565691E-2</v>
      </c>
      <c r="D103" s="2891">
        <f>1.4198/D101</f>
        <v>9.8188105117565691E-2</v>
      </c>
      <c r="E103" s="2891">
        <f>1.3372/E101</f>
        <v>9.2475795297372057E-2</v>
      </c>
      <c r="F103" s="2891">
        <f>1.3372/F101</f>
        <v>9.2475795297372057E-2</v>
      </c>
      <c r="G103" s="2891">
        <f>1.3372/G101</f>
        <v>9.2475795297372057E-2</v>
      </c>
      <c r="H103" s="2891">
        <f>1.3372/H101</f>
        <v>9.2475795297372057E-2</v>
      </c>
      <c r="I103" s="2891">
        <f>1.3372/I101</f>
        <v>9.2475795297372057E-2</v>
      </c>
      <c r="J103" s="2891">
        <f>1.2799/J101</f>
        <v>8.8513139695712312E-2</v>
      </c>
      <c r="K103" s="2891">
        <f>1.2799/K101</f>
        <v>8.8513139695712312E-2</v>
      </c>
      <c r="L103" s="2891">
        <f>1.2799/L101</f>
        <v>8.8513139695712312E-2</v>
      </c>
      <c r="M103" s="2891">
        <f>1.2799/M101</f>
        <v>8.8513139695712312E-2</v>
      </c>
      <c r="N103" s="2891">
        <f>1.2799/N101</f>
        <v>8.8513139695712312E-2</v>
      </c>
    </row>
    <row r="104" spans="1:14">
      <c r="A104" s="3320"/>
      <c r="B104" s="2890">
        <v>3</v>
      </c>
      <c r="C104" s="2891">
        <f>1.1594/C101</f>
        <v>8.0179806362378966E-2</v>
      </c>
      <c r="D104" s="2891">
        <f>1.1594/D101</f>
        <v>8.0179806362378966E-2</v>
      </c>
      <c r="E104" s="2891">
        <f>1.0788/E101</f>
        <v>7.4605809128630698E-2</v>
      </c>
      <c r="F104" s="2891">
        <f>1.0788/F101</f>
        <v>7.4605809128630698E-2</v>
      </c>
      <c r="G104" s="2891">
        <f>1.0788/G101</f>
        <v>7.4605809128630698E-2</v>
      </c>
      <c r="H104" s="2891">
        <f>1.0788/H101</f>
        <v>7.4605809128630698E-2</v>
      </c>
      <c r="I104" s="2891">
        <f>1.0788/I101</f>
        <v>7.4605809128630698E-2</v>
      </c>
      <c r="J104" s="2891">
        <f>1.0072/J101</f>
        <v>6.9654218533886592E-2</v>
      </c>
      <c r="K104" s="2891">
        <f>1.0072/K101</f>
        <v>6.9654218533886592E-2</v>
      </c>
      <c r="L104" s="2891">
        <f>1.0072/L101</f>
        <v>6.9654218533886592E-2</v>
      </c>
      <c r="M104" s="2891">
        <f>1.0072/M101</f>
        <v>6.9654218533886592E-2</v>
      </c>
      <c r="N104" s="2891">
        <f>1.0072/N101</f>
        <v>6.9654218533886592E-2</v>
      </c>
    </row>
    <row r="105" spans="1:14">
      <c r="A105" s="3320"/>
      <c r="B105" s="2890">
        <v>4</v>
      </c>
      <c r="C105" s="2891">
        <f>0.9622/C101</f>
        <v>6.6542185338865842E-2</v>
      </c>
      <c r="D105" s="2891">
        <f>0.9622/D101</f>
        <v>6.6542185338865842E-2</v>
      </c>
      <c r="E105" s="2891">
        <f>0.8656/E101</f>
        <v>5.9861687413554632E-2</v>
      </c>
      <c r="F105" s="2891">
        <f>0.8656/F101</f>
        <v>5.9861687413554632E-2</v>
      </c>
      <c r="G105" s="2891">
        <f>0.8656/G101</f>
        <v>5.9861687413554632E-2</v>
      </c>
      <c r="H105" s="2891">
        <f>0.8656/H101</f>
        <v>5.9861687413554632E-2</v>
      </c>
      <c r="I105" s="2891">
        <f>0.8656/I101</f>
        <v>5.9861687413554632E-2</v>
      </c>
      <c r="J105" s="2891">
        <f>0.7525/J101</f>
        <v>5.2040110650069152E-2</v>
      </c>
      <c r="K105" s="2891">
        <f>0.7525/K101</f>
        <v>5.2040110650069152E-2</v>
      </c>
      <c r="L105" s="2891">
        <f>0.7525/L101</f>
        <v>5.2040110650069152E-2</v>
      </c>
      <c r="M105" s="2891">
        <f>0.7525/M101</f>
        <v>5.2040110650069152E-2</v>
      </c>
      <c r="N105" s="2891">
        <f>0.7525/N101</f>
        <v>5.2040110650069152E-2</v>
      </c>
    </row>
    <row r="106" spans="1:14">
      <c r="A106" s="3320"/>
      <c r="B106" s="2890">
        <v>5</v>
      </c>
      <c r="C106" s="2891">
        <f>0.8417/C101</f>
        <v>5.8208852005532503E-2</v>
      </c>
      <c r="D106" s="2891">
        <f>0.8417/D101</f>
        <v>5.8208852005532503E-2</v>
      </c>
      <c r="E106" s="2891">
        <f>0.7371/E101</f>
        <v>5.0975103734439829E-2</v>
      </c>
      <c r="F106" s="2891">
        <f>0.7371/F101</f>
        <v>5.0975103734439829E-2</v>
      </c>
      <c r="G106" s="2891">
        <f>0.7371/G101</f>
        <v>5.0975103734439829E-2</v>
      </c>
      <c r="H106" s="2891">
        <f>0.7371/H101</f>
        <v>5.0975103734439829E-2</v>
      </c>
      <c r="I106" s="2891">
        <f>0.7371/I101</f>
        <v>5.0975103734439829E-2</v>
      </c>
      <c r="J106" s="2891">
        <f>0.5659/J101</f>
        <v>3.9135546334716456E-2</v>
      </c>
      <c r="K106" s="2891">
        <f>0.5659/K101</f>
        <v>3.9135546334716456E-2</v>
      </c>
      <c r="L106" s="2891">
        <f>0.5659/L101</f>
        <v>3.9135546334716456E-2</v>
      </c>
      <c r="M106" s="2891">
        <f>0.5659/M101</f>
        <v>3.9135546334716456E-2</v>
      </c>
      <c r="N106" s="2891">
        <f>0.5659/N101</f>
        <v>3.9135546334716456E-2</v>
      </c>
    </row>
    <row r="107" spans="1:14">
      <c r="A107" s="3320"/>
      <c r="B107" s="2890">
        <v>6</v>
      </c>
      <c r="C107" s="2891">
        <f>0.7608/C101</f>
        <v>5.2614107883817429E-2</v>
      </c>
      <c r="D107" s="2891">
        <f>0.7608/D101</f>
        <v>5.2614107883817429E-2</v>
      </c>
      <c r="E107" s="2891">
        <f>0.6482/E101</f>
        <v>4.4827109266943291E-2</v>
      </c>
      <c r="F107" s="2891">
        <f>0.6482/F101</f>
        <v>4.4827109266943291E-2</v>
      </c>
      <c r="G107" s="2891">
        <f>0.6482/G101</f>
        <v>4.4827109266943291E-2</v>
      </c>
      <c r="H107" s="2891">
        <f>0.6482/H101</f>
        <v>4.4827109266943291E-2</v>
      </c>
      <c r="I107" s="2891">
        <f>0.6482/I101</f>
        <v>4.4827109266943291E-2</v>
      </c>
      <c r="J107" s="2891">
        <f>0.4525/J101</f>
        <v>3.1293222683264177E-2</v>
      </c>
      <c r="K107" s="2891">
        <f>0.4525/K101</f>
        <v>3.1293222683264177E-2</v>
      </c>
      <c r="L107" s="2891">
        <f>0.4525/L101</f>
        <v>3.1293222683264177E-2</v>
      </c>
      <c r="M107" s="2891">
        <f>0.4525/M101</f>
        <v>3.1293222683264177E-2</v>
      </c>
      <c r="N107" s="2891">
        <f>0.4525/N101</f>
        <v>3.1293222683264177E-2</v>
      </c>
    </row>
    <row r="108" spans="1:14">
      <c r="A108" s="3320"/>
      <c r="B108" s="3144"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21"/>
      <c r="B109" s="3145"/>
      <c r="C109" s="2893">
        <f>(-0.163*(C108^2)-0.59*C108+7617)*(10^(-4))/C101</f>
        <v>5.2676348547717841E-2</v>
      </c>
      <c r="D109" s="2893">
        <f>(-0.163*(D108^2)-0.59*D108+7617)*(10^(-4))/D101</f>
        <v>5.2676348547717841E-2</v>
      </c>
      <c r="E109" s="2893">
        <f>(-0.161*(E108^2)-7.509*E108+6533)*(10^(-4))/E101</f>
        <v>4.517980636237897E-2</v>
      </c>
      <c r="F109" s="2893">
        <f>(-0.161*(F108^2)-7.509*F108+6533)*(10^(-4))/F101</f>
        <v>4.517980636237897E-2</v>
      </c>
      <c r="G109" s="2893">
        <f>(-0.161*(G108^2)-7.509*G108+6533)*(10^(-4))/G101</f>
        <v>4.517980636237897E-2</v>
      </c>
      <c r="H109" s="2893">
        <f>(-0.161*(H108^2)-7.509*H108+6533)*(10^(-4))/H101</f>
        <v>4.517980636237897E-2</v>
      </c>
      <c r="I109" s="2893">
        <f>(-0.161*(I108^2)-7.509*I108+6533)*(10^(-4))/I101</f>
        <v>4.517980636237897E-2</v>
      </c>
      <c r="J109" s="2893">
        <f>(-0.214*(J108^2)-21.991*J108+4665)*(10^(-4))/J101</f>
        <v>3.2261410788381746E-2</v>
      </c>
      <c r="K109" s="2893">
        <f>(-0.214*(K108^2)-21.991*K108+4665)*(10^(-4))/K101</f>
        <v>3.2261410788381746E-2</v>
      </c>
      <c r="L109" s="2893">
        <f>(-0.214*(L108^2)-21.991*L108+4665)*(10^(-4))/L101</f>
        <v>3.2261410788381746E-2</v>
      </c>
      <c r="M109" s="2893">
        <f>(-0.214*(M108^2)-21.991*M108+4665)*(10^(-4))/M101</f>
        <v>3.2261410788381746E-2</v>
      </c>
      <c r="N109" s="2893">
        <f>(-0.214*(N108^2)-21.991*N108+4665)*(10^(-4))/N101</f>
        <v>3.2261410788381746E-2</v>
      </c>
    </row>
    <row r="110" spans="1:14">
      <c r="A110" s="3317" t="s">
        <v>2981</v>
      </c>
      <c r="B110" s="3317"/>
      <c r="C110" s="3317"/>
      <c r="D110" s="3317"/>
      <c r="E110" s="3317"/>
      <c r="F110" s="3317"/>
      <c r="G110" s="3317"/>
      <c r="H110" s="3317"/>
      <c r="I110" s="3317"/>
      <c r="J110" s="3317"/>
      <c r="K110" s="2896"/>
      <c r="L110" s="2896"/>
      <c r="M110" s="2896"/>
      <c r="N110" s="2896"/>
    </row>
    <row r="112" spans="1:14" ht="13.5" thickBot="1"/>
    <row r="113" spans="1:13" ht="25.5" thickBot="1">
      <c r="A113" s="900" t="s">
        <v>2982</v>
      </c>
      <c r="B113" s="1283">
        <f>G3</f>
        <v>14.46</v>
      </c>
      <c r="C113" s="901" t="s">
        <v>2983</v>
      </c>
      <c r="D113" s="902">
        <f>SUMPRODUCT((A115:A118=F113)*(B114:M114=H113)*B115:M118)</f>
        <v>0</v>
      </c>
      <c r="E113" s="2719" t="s">
        <v>2813</v>
      </c>
      <c r="F113" s="2898">
        <f>E2</f>
        <v>0</v>
      </c>
      <c r="G113" s="2719" t="s">
        <v>2814</v>
      </c>
      <c r="H113" s="2898">
        <f>G2</f>
        <v>0</v>
      </c>
      <c r="I113" s="2719"/>
      <c r="J113" s="2899"/>
      <c r="K113" s="2899"/>
      <c r="L113" s="2899"/>
      <c r="M113" s="2899"/>
    </row>
    <row r="114" spans="1:13">
      <c r="A114" s="905"/>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6" t="s">
        <v>2878</v>
      </c>
      <c r="B115" s="907">
        <f>ROUND(0.9335-0.0094*B113,4)</f>
        <v>0.79759999999999998</v>
      </c>
      <c r="C115" s="907">
        <f>B115</f>
        <v>0.79759999999999998</v>
      </c>
      <c r="D115" s="907">
        <f>ROUND(0.8331-0.0109*B113,4)</f>
        <v>0.67549999999999999</v>
      </c>
      <c r="E115" s="907">
        <f>D115</f>
        <v>0.67549999999999999</v>
      </c>
      <c r="F115" s="907">
        <f>E115</f>
        <v>0.67549999999999999</v>
      </c>
      <c r="G115" s="907">
        <f>F115</f>
        <v>0.67549999999999999</v>
      </c>
      <c r="H115" s="907">
        <f>G115</f>
        <v>0.67549999999999999</v>
      </c>
      <c r="I115" s="907">
        <f>ROUND(0.689-0.0155*B113,4)</f>
        <v>0.46489999999999998</v>
      </c>
      <c r="J115" s="907">
        <f t="shared" ref="J115:M118" si="33">I115</f>
        <v>0.46489999999999998</v>
      </c>
      <c r="K115" s="907">
        <f t="shared" si="33"/>
        <v>0.46489999999999998</v>
      </c>
      <c r="L115" s="907">
        <f t="shared" si="33"/>
        <v>0.46489999999999998</v>
      </c>
      <c r="M115" s="908">
        <f t="shared" si="33"/>
        <v>0.46489999999999998</v>
      </c>
    </row>
    <row r="116" spans="1:13">
      <c r="A116" s="906" t="s">
        <v>2879</v>
      </c>
      <c r="B116" s="907">
        <f>ROUND(0.949-0.012*B113,4)</f>
        <v>0.77549999999999997</v>
      </c>
      <c r="C116" s="907">
        <f>B116</f>
        <v>0.77549999999999997</v>
      </c>
      <c r="D116" s="907">
        <f>ROUND(0.8567-0.013*B113,4)</f>
        <v>0.66869999999999996</v>
      </c>
      <c r="E116" s="907">
        <f t="shared" ref="E116:H117" si="34">D116</f>
        <v>0.66869999999999996</v>
      </c>
      <c r="F116" s="907">
        <f t="shared" si="34"/>
        <v>0.66869999999999996</v>
      </c>
      <c r="G116" s="907">
        <f t="shared" si="34"/>
        <v>0.66869999999999996</v>
      </c>
      <c r="H116" s="907">
        <f t="shared" si="34"/>
        <v>0.66869999999999996</v>
      </c>
      <c r="I116" s="907">
        <f>ROUND(0.7694-0.014*B113,4)</f>
        <v>0.56699999999999995</v>
      </c>
      <c r="J116" s="907">
        <f t="shared" si="33"/>
        <v>0.56699999999999995</v>
      </c>
      <c r="K116" s="907">
        <f t="shared" si="33"/>
        <v>0.56699999999999995</v>
      </c>
      <c r="L116" s="907">
        <f t="shared" si="33"/>
        <v>0.56699999999999995</v>
      </c>
      <c r="M116" s="908">
        <f t="shared" si="33"/>
        <v>0.56699999999999995</v>
      </c>
    </row>
    <row r="117" spans="1:13">
      <c r="A117" s="906" t="s">
        <v>2880</v>
      </c>
      <c r="B117" s="907">
        <f>ROUND(0.8808-0.006*B113,4)</f>
        <v>0.79400000000000004</v>
      </c>
      <c r="C117" s="907">
        <f>B117</f>
        <v>0.79400000000000004</v>
      </c>
      <c r="D117" s="907">
        <f>ROUND(0.8748-0.008*B113,4)</f>
        <v>0.7591</v>
      </c>
      <c r="E117" s="907">
        <f t="shared" si="34"/>
        <v>0.7591</v>
      </c>
      <c r="F117" s="907">
        <f t="shared" si="34"/>
        <v>0.7591</v>
      </c>
      <c r="G117" s="907">
        <f t="shared" si="34"/>
        <v>0.7591</v>
      </c>
      <c r="H117" s="907">
        <f t="shared" si="34"/>
        <v>0.7591</v>
      </c>
      <c r="I117" s="907">
        <f>ROUND(0.7412-0.0095*B113,4)</f>
        <v>0.6038</v>
      </c>
      <c r="J117" s="907">
        <f t="shared" si="33"/>
        <v>0.6038</v>
      </c>
      <c r="K117" s="907">
        <f t="shared" si="33"/>
        <v>0.6038</v>
      </c>
      <c r="L117" s="907">
        <f t="shared" si="33"/>
        <v>0.6038</v>
      </c>
      <c r="M117" s="908">
        <f t="shared" si="33"/>
        <v>0.6038</v>
      </c>
    </row>
    <row r="118" spans="1:13" ht="13.5" thickBot="1">
      <c r="A118" s="711" t="s">
        <v>2881</v>
      </c>
      <c r="B118" s="909">
        <f>ROUND(0.7275-0.01*B113,4)</f>
        <v>0.58289999999999997</v>
      </c>
      <c r="C118" s="909">
        <f>B118</f>
        <v>0.58289999999999997</v>
      </c>
      <c r="D118" s="909">
        <f>ROUND(0.7043-0.012*B113,4)</f>
        <v>0.53080000000000005</v>
      </c>
      <c r="E118" s="909">
        <f>D118</f>
        <v>0.53080000000000005</v>
      </c>
      <c r="F118" s="909">
        <f>E118</f>
        <v>0.53080000000000005</v>
      </c>
      <c r="G118" s="909">
        <f>ROUND(0.6299-0.0122*B113,4)</f>
        <v>0.45350000000000001</v>
      </c>
      <c r="H118" s="909">
        <f>G118</f>
        <v>0.45350000000000001</v>
      </c>
      <c r="I118" s="909">
        <f>ROUND(0.5667-0.0136*B113,4)</f>
        <v>0.37</v>
      </c>
      <c r="J118" s="909">
        <f t="shared" si="33"/>
        <v>0.37</v>
      </c>
      <c r="K118" s="909">
        <f t="shared" si="33"/>
        <v>0.37</v>
      </c>
      <c r="L118" s="909">
        <f t="shared" si="33"/>
        <v>0.37</v>
      </c>
      <c r="M118" s="910">
        <f t="shared" si="33"/>
        <v>0.37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34" t="s">
        <v>183</v>
      </c>
      <c r="B18" s="879" t="s">
        <v>560</v>
      </c>
      <c r="C18" s="880" t="s">
        <v>561</v>
      </c>
      <c r="D18" s="881"/>
      <c r="E18" s="879">
        <v>1</v>
      </c>
      <c r="F18" s="882" t="s">
        <v>562</v>
      </c>
      <c r="G18" s="883"/>
      <c r="H18" s="875"/>
      <c r="I18" s="875"/>
    </row>
    <row r="19" spans="1:9" s="884" customFormat="1" ht="19.5" customHeight="1">
      <c r="A19" s="3334"/>
      <c r="B19" s="3334" t="s">
        <v>563</v>
      </c>
      <c r="C19" s="880" t="s">
        <v>564</v>
      </c>
      <c r="D19" s="881"/>
      <c r="E19" s="879">
        <v>0.9</v>
      </c>
      <c r="F19" s="882" t="s">
        <v>565</v>
      </c>
      <c r="G19" s="883"/>
      <c r="H19" s="875"/>
      <c r="I19" s="875"/>
    </row>
    <row r="20" spans="1:9" s="884" customFormat="1" ht="19.5" customHeight="1">
      <c r="A20" s="3334"/>
      <c r="B20" s="3334"/>
      <c r="C20" s="880" t="s">
        <v>566</v>
      </c>
      <c r="D20" s="881"/>
      <c r="E20" s="879">
        <v>1.1000000000000001</v>
      </c>
      <c r="F20" s="882" t="s">
        <v>567</v>
      </c>
      <c r="G20" s="883"/>
      <c r="H20" s="875"/>
      <c r="I20" s="875"/>
    </row>
    <row r="21" spans="1:9" s="884" customFormat="1" ht="19.5" customHeight="1">
      <c r="A21" s="3334"/>
      <c r="B21" s="3334"/>
      <c r="C21" s="880" t="s">
        <v>568</v>
      </c>
      <c r="D21" s="881"/>
      <c r="E21" s="879">
        <v>0.8</v>
      </c>
      <c r="F21" s="882" t="s">
        <v>569</v>
      </c>
      <c r="G21" s="883"/>
      <c r="H21" s="875"/>
      <c r="I21" s="875"/>
    </row>
    <row r="22" spans="1:9" s="884" customFormat="1" ht="19.5" customHeight="1">
      <c r="A22" s="3334"/>
      <c r="B22" s="3334"/>
      <c r="C22" s="880" t="s">
        <v>570</v>
      </c>
      <c r="D22" s="881"/>
      <c r="E22" s="879">
        <v>0.5</v>
      </c>
      <c r="F22" s="882"/>
      <c r="G22" s="883"/>
      <c r="H22" s="875"/>
      <c r="I22" s="875"/>
    </row>
    <row r="23" spans="1:9" s="884" customFormat="1" ht="19.5" customHeight="1">
      <c r="A23" s="3334" t="s">
        <v>184</v>
      </c>
      <c r="B23" s="879" t="s">
        <v>560</v>
      </c>
      <c r="C23" s="880" t="s">
        <v>571</v>
      </c>
      <c r="D23" s="881"/>
      <c r="E23" s="879">
        <v>1</v>
      </c>
      <c r="F23" s="882" t="s">
        <v>572</v>
      </c>
      <c r="G23" s="883"/>
      <c r="H23" s="875"/>
      <c r="I23" s="875"/>
    </row>
    <row r="24" spans="1:9" s="884" customFormat="1" ht="19.5" customHeight="1">
      <c r="A24" s="3334"/>
      <c r="B24" s="3334" t="s">
        <v>563</v>
      </c>
      <c r="C24" s="880" t="s">
        <v>573</v>
      </c>
      <c r="D24" s="881"/>
      <c r="E24" s="879">
        <v>0.5</v>
      </c>
      <c r="F24" s="882"/>
      <c r="G24" s="883"/>
      <c r="H24" s="875"/>
      <c r="I24" s="875"/>
    </row>
    <row r="25" spans="1:9" s="884" customFormat="1" ht="19.5" customHeight="1">
      <c r="A25" s="3334"/>
      <c r="B25" s="3334"/>
      <c r="C25" s="880" t="s">
        <v>574</v>
      </c>
      <c r="D25" s="881"/>
      <c r="E25" s="879">
        <v>1.1000000000000001</v>
      </c>
      <c r="F25" s="882"/>
      <c r="G25" s="883"/>
      <c r="H25" s="875"/>
      <c r="I25" s="875"/>
    </row>
    <row r="26" spans="1:9" s="884" customFormat="1" ht="19.5" customHeight="1">
      <c r="A26" s="3334"/>
      <c r="B26" s="3334"/>
      <c r="C26" s="880" t="s">
        <v>575</v>
      </c>
      <c r="D26" s="881"/>
      <c r="E26" s="879">
        <v>1.1000000000000001</v>
      </c>
      <c r="F26" s="882"/>
      <c r="G26" s="883"/>
      <c r="H26" s="875"/>
      <c r="I26" s="875"/>
    </row>
    <row r="27" spans="1:9" s="884" customFormat="1" ht="19.5" customHeight="1">
      <c r="A27" s="3334"/>
      <c r="B27" s="3334"/>
      <c r="C27" s="880" t="s">
        <v>576</v>
      </c>
      <c r="D27" s="881"/>
      <c r="E27" s="879">
        <v>0.9</v>
      </c>
      <c r="F27" s="882" t="s">
        <v>577</v>
      </c>
      <c r="G27" s="883"/>
      <c r="H27" s="875"/>
      <c r="I27" s="875"/>
    </row>
    <row r="28" spans="1:9" s="884" customFormat="1" ht="19.5" customHeight="1">
      <c r="A28" s="3334"/>
      <c r="B28" s="3334"/>
      <c r="C28" s="880" t="s">
        <v>578</v>
      </c>
      <c r="D28" s="881"/>
      <c r="E28" s="879">
        <v>0.9</v>
      </c>
      <c r="F28" s="882" t="s">
        <v>579</v>
      </c>
      <c r="G28" s="883"/>
      <c r="H28" s="875"/>
      <c r="I28" s="875"/>
    </row>
    <row r="29" spans="1:9" s="884" customFormat="1" ht="19.5" customHeight="1">
      <c r="A29" s="3334"/>
      <c r="B29" s="3334"/>
      <c r="C29" s="880" t="s">
        <v>580</v>
      </c>
      <c r="D29" s="881"/>
      <c r="E29" s="879">
        <v>0.9</v>
      </c>
      <c r="F29" s="882" t="s">
        <v>581</v>
      </c>
      <c r="G29" s="883"/>
      <c r="H29" s="875"/>
      <c r="I29" s="875"/>
    </row>
    <row r="30" spans="1:9" s="884" customFormat="1" ht="19.5" customHeight="1">
      <c r="A30" s="3334"/>
      <c r="B30" s="3334"/>
      <c r="C30" s="880" t="s">
        <v>582</v>
      </c>
      <c r="D30" s="881"/>
      <c r="E30" s="879">
        <v>0.9</v>
      </c>
      <c r="F30" s="882" t="s">
        <v>583</v>
      </c>
      <c r="G30" s="883"/>
      <c r="H30" s="875"/>
      <c r="I30" s="875"/>
    </row>
    <row r="31" spans="1:9" s="884" customFormat="1" ht="19.5" customHeight="1">
      <c r="A31" s="3334"/>
      <c r="B31" s="3334"/>
      <c r="C31" s="880" t="s">
        <v>584</v>
      </c>
      <c r="D31" s="881"/>
      <c r="E31" s="879">
        <v>0.8</v>
      </c>
      <c r="F31" s="882" t="s">
        <v>585</v>
      </c>
      <c r="G31" s="883"/>
      <c r="H31" s="875"/>
      <c r="I31" s="875"/>
    </row>
    <row r="32" spans="1:9" s="884" customFormat="1" ht="19.5" customHeight="1">
      <c r="A32" s="3334"/>
      <c r="B32" s="3334"/>
      <c r="C32" s="880" t="s">
        <v>586</v>
      </c>
      <c r="D32" s="881"/>
      <c r="E32" s="879">
        <v>0.8</v>
      </c>
      <c r="F32" s="882" t="s">
        <v>587</v>
      </c>
      <c r="G32" s="883"/>
      <c r="H32" s="875"/>
      <c r="I32" s="875"/>
    </row>
    <row r="33" spans="1:9" s="884" customFormat="1" ht="19.5" customHeight="1">
      <c r="A33" s="3334" t="s">
        <v>185</v>
      </c>
      <c r="B33" s="879" t="s">
        <v>560</v>
      </c>
      <c r="C33" s="880" t="s">
        <v>588</v>
      </c>
      <c r="D33" s="881"/>
      <c r="E33" s="879">
        <v>1</v>
      </c>
      <c r="F33" s="882" t="s">
        <v>589</v>
      </c>
      <c r="G33" s="883"/>
      <c r="H33" s="875"/>
      <c r="I33" s="875"/>
    </row>
    <row r="34" spans="1:9" s="884" customFormat="1" ht="19.5" customHeight="1">
      <c r="A34" s="3334"/>
      <c r="B34" s="879" t="s">
        <v>563</v>
      </c>
      <c r="C34" s="880" t="s">
        <v>590</v>
      </c>
      <c r="D34" s="881"/>
      <c r="E34" s="879">
        <v>1.5</v>
      </c>
      <c r="F34" s="882" t="s">
        <v>591</v>
      </c>
      <c r="G34" s="883"/>
      <c r="H34" s="875"/>
      <c r="I34" s="875"/>
    </row>
    <row r="35" spans="1:9" s="884" customFormat="1" ht="19.5" customHeight="1">
      <c r="A35" s="3334" t="s">
        <v>186</v>
      </c>
      <c r="B35" s="879" t="s">
        <v>560</v>
      </c>
      <c r="C35" s="880" t="s">
        <v>592</v>
      </c>
      <c r="D35" s="881"/>
      <c r="E35" s="879">
        <v>1</v>
      </c>
      <c r="F35" s="882" t="s">
        <v>593</v>
      </c>
      <c r="G35" s="883"/>
      <c r="H35" s="875"/>
      <c r="I35" s="875"/>
    </row>
    <row r="36" spans="1:9" s="884" customFormat="1" ht="19.5" customHeight="1">
      <c r="A36" s="3334"/>
      <c r="B36" s="3334" t="s">
        <v>563</v>
      </c>
      <c r="C36" s="880" t="s">
        <v>594</v>
      </c>
      <c r="D36" s="881"/>
      <c r="E36" s="879">
        <v>1</v>
      </c>
      <c r="F36" s="882" t="s">
        <v>595</v>
      </c>
      <c r="G36" s="883"/>
      <c r="H36" s="875"/>
      <c r="I36" s="875"/>
    </row>
    <row r="37" spans="1:9" s="884" customFormat="1" ht="19.5" customHeight="1">
      <c r="A37" s="3334"/>
      <c r="B37" s="3334"/>
      <c r="C37" s="880" t="s">
        <v>596</v>
      </c>
      <c r="D37" s="881"/>
      <c r="E37" s="879">
        <v>1.5</v>
      </c>
      <c r="F37" s="882" t="s">
        <v>597</v>
      </c>
      <c r="G37" s="883"/>
      <c r="H37" s="875"/>
      <c r="I37" s="875"/>
    </row>
    <row r="38" spans="1:9" s="884" customFormat="1" ht="19.5" customHeight="1">
      <c r="A38" s="3334"/>
      <c r="B38" s="3334"/>
      <c r="C38" s="880" t="s">
        <v>598</v>
      </c>
      <c r="D38" s="881"/>
      <c r="E38" s="879">
        <v>1</v>
      </c>
      <c r="F38" s="882" t="s">
        <v>599</v>
      </c>
      <c r="G38" s="883"/>
      <c r="H38" s="875"/>
      <c r="I38" s="875"/>
    </row>
    <row r="39" spans="1:9" s="884" customFormat="1" ht="19.5" customHeight="1">
      <c r="A39" s="3334"/>
      <c r="B39" s="333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4" t="s">
        <v>614</v>
      </c>
      <c r="C61" s="815" t="s">
        <v>615</v>
      </c>
      <c r="D61" s="815" t="s">
        <v>616</v>
      </c>
      <c r="E61" s="892">
        <v>0.5</v>
      </c>
      <c r="F61" s="879">
        <v>80</v>
      </c>
    </row>
    <row r="62" spans="1:8" s="875" customFormat="1" ht="24">
      <c r="A62" s="879">
        <v>2</v>
      </c>
      <c r="B62" s="3334"/>
      <c r="C62" s="815" t="s">
        <v>617</v>
      </c>
      <c r="D62" s="815" t="s">
        <v>618</v>
      </c>
      <c r="E62" s="892">
        <v>0.5</v>
      </c>
      <c r="F62" s="879">
        <v>80</v>
      </c>
    </row>
    <row r="63" spans="1:8" s="875" customFormat="1" ht="36">
      <c r="A63" s="879">
        <v>3</v>
      </c>
      <c r="B63" s="3334"/>
      <c r="C63" s="815" t="s">
        <v>619</v>
      </c>
      <c r="D63" s="815" t="s">
        <v>620</v>
      </c>
      <c r="E63" s="892">
        <v>0.5</v>
      </c>
      <c r="F63" s="879">
        <v>80</v>
      </c>
    </row>
    <row r="64" spans="1:8" s="875" customFormat="1" ht="36">
      <c r="A64" s="879">
        <v>4</v>
      </c>
      <c r="B64" s="3334"/>
      <c r="C64" s="815" t="s">
        <v>621</v>
      </c>
      <c r="D64" s="815" t="s">
        <v>622</v>
      </c>
      <c r="E64" s="892">
        <v>0.4</v>
      </c>
      <c r="F64" s="879">
        <v>60</v>
      </c>
    </row>
    <row r="65" spans="1:6" s="875" customFormat="1" ht="36">
      <c r="A65" s="879">
        <v>5</v>
      </c>
      <c r="B65" s="3334"/>
      <c r="C65" s="815" t="s">
        <v>623</v>
      </c>
      <c r="D65" s="815" t="s">
        <v>624</v>
      </c>
      <c r="E65" s="892">
        <v>0.2</v>
      </c>
      <c r="F65" s="879">
        <v>30</v>
      </c>
    </row>
    <row r="66" spans="1:6" s="875" customFormat="1" ht="36">
      <c r="A66" s="879">
        <v>6</v>
      </c>
      <c r="B66" s="3334"/>
      <c r="C66" s="815" t="s">
        <v>625</v>
      </c>
      <c r="D66" s="815" t="s">
        <v>626</v>
      </c>
      <c r="E66" s="892">
        <v>0.3</v>
      </c>
      <c r="F66" s="879">
        <v>50</v>
      </c>
    </row>
    <row r="67" spans="1:6" s="875" customFormat="1" ht="36">
      <c r="A67" s="879">
        <v>7</v>
      </c>
      <c r="B67" s="3334"/>
      <c r="C67" s="815" t="s">
        <v>627</v>
      </c>
      <c r="D67" s="815" t="s">
        <v>628</v>
      </c>
      <c r="E67" s="892">
        <v>0.2</v>
      </c>
      <c r="F67" s="879">
        <v>30</v>
      </c>
    </row>
    <row r="68" spans="1:6" s="875" customFormat="1" ht="36">
      <c r="A68" s="879">
        <v>8</v>
      </c>
      <c r="B68" s="3334"/>
      <c r="C68" s="815" t="s">
        <v>629</v>
      </c>
      <c r="D68" s="815" t="s">
        <v>630</v>
      </c>
      <c r="E68" s="892">
        <v>0.2</v>
      </c>
      <c r="F68" s="879">
        <v>30</v>
      </c>
    </row>
    <row r="69" spans="1:6" s="875" customFormat="1" ht="36">
      <c r="A69" s="879">
        <v>9</v>
      </c>
      <c r="B69" s="3334"/>
      <c r="C69" s="815" t="s">
        <v>631</v>
      </c>
      <c r="D69" s="815" t="s">
        <v>632</v>
      </c>
      <c r="E69" s="892">
        <v>0.2</v>
      </c>
      <c r="F69" s="879">
        <v>30</v>
      </c>
    </row>
    <row r="70" spans="1:6" s="875" customFormat="1" ht="48">
      <c r="A70" s="879">
        <v>10</v>
      </c>
      <c r="B70" s="3334"/>
      <c r="C70" s="815" t="s">
        <v>633</v>
      </c>
      <c r="D70" s="815" t="s">
        <v>634</v>
      </c>
      <c r="E70" s="892">
        <v>0.2</v>
      </c>
      <c r="F70" s="879">
        <v>30</v>
      </c>
    </row>
    <row r="71" spans="1:6" s="875" customFormat="1" ht="48">
      <c r="A71" s="879">
        <v>11</v>
      </c>
      <c r="B71" s="3334"/>
      <c r="C71" s="815" t="s">
        <v>635</v>
      </c>
      <c r="D71" s="815" t="s">
        <v>636</v>
      </c>
      <c r="E71" s="892">
        <v>0.2</v>
      </c>
      <c r="F71" s="879">
        <v>30</v>
      </c>
    </row>
    <row r="72" spans="1:6" s="875" customFormat="1" ht="36">
      <c r="A72" s="879">
        <v>12</v>
      </c>
      <c r="B72" s="3334"/>
      <c r="C72" s="815" t="s">
        <v>637</v>
      </c>
      <c r="D72" s="815" t="s">
        <v>638</v>
      </c>
      <c r="E72" s="892">
        <v>0.5</v>
      </c>
      <c r="F72" s="879">
        <v>80</v>
      </c>
    </row>
    <row r="73" spans="1:6" s="875" customFormat="1" ht="24">
      <c r="A73" s="879">
        <v>13</v>
      </c>
      <c r="B73" s="3334"/>
      <c r="C73" s="815" t="s">
        <v>639</v>
      </c>
      <c r="D73" s="815" t="s">
        <v>640</v>
      </c>
      <c r="E73" s="892">
        <v>0.4</v>
      </c>
      <c r="F73" s="879">
        <v>60</v>
      </c>
    </row>
    <row r="74" spans="1:6" s="875" customFormat="1" ht="24">
      <c r="A74" s="879">
        <v>14</v>
      </c>
      <c r="B74" s="3334"/>
      <c r="C74" s="815" t="s">
        <v>641</v>
      </c>
      <c r="D74" s="815" t="s">
        <v>642</v>
      </c>
      <c r="E74" s="892">
        <v>0.2</v>
      </c>
      <c r="F74" s="879">
        <v>30</v>
      </c>
    </row>
    <row r="75" spans="1:6" s="875" customFormat="1" ht="24">
      <c r="A75" s="879">
        <v>15</v>
      </c>
      <c r="B75" s="3334"/>
      <c r="C75" s="815" t="s">
        <v>643</v>
      </c>
      <c r="D75" s="815" t="s">
        <v>644</v>
      </c>
      <c r="E75" s="892">
        <v>0.2</v>
      </c>
      <c r="F75" s="879">
        <v>30</v>
      </c>
    </row>
    <row r="76" spans="1:6" s="875" customFormat="1" ht="24">
      <c r="A76" s="879">
        <v>16</v>
      </c>
      <c r="B76" s="3334" t="s">
        <v>645</v>
      </c>
      <c r="C76" s="815" t="s">
        <v>646</v>
      </c>
      <c r="D76" s="815" t="s">
        <v>647</v>
      </c>
      <c r="E76" s="892">
        <v>0.5</v>
      </c>
      <c r="F76" s="879">
        <v>80</v>
      </c>
    </row>
    <row r="77" spans="1:6" s="875" customFormat="1" ht="24">
      <c r="A77" s="879">
        <v>17</v>
      </c>
      <c r="B77" s="3334"/>
      <c r="C77" s="815" t="s">
        <v>648</v>
      </c>
      <c r="D77" s="815" t="s">
        <v>649</v>
      </c>
      <c r="E77" s="892">
        <v>0.5</v>
      </c>
      <c r="F77" s="879">
        <v>80</v>
      </c>
    </row>
    <row r="78" spans="1:6" s="875" customFormat="1" ht="24">
      <c r="A78" s="879">
        <v>18</v>
      </c>
      <c r="B78" s="3334"/>
      <c r="C78" s="815" t="s">
        <v>650</v>
      </c>
      <c r="D78" s="815" t="s">
        <v>651</v>
      </c>
      <c r="E78" s="892">
        <v>0.2</v>
      </c>
      <c r="F78" s="879">
        <v>30</v>
      </c>
    </row>
    <row r="79" spans="1:6" s="875" customFormat="1" ht="24">
      <c r="A79" s="879">
        <v>19</v>
      </c>
      <c r="B79" s="3334"/>
      <c r="C79" s="815" t="s">
        <v>652</v>
      </c>
      <c r="D79" s="815" t="s">
        <v>653</v>
      </c>
      <c r="E79" s="892">
        <v>0.5</v>
      </c>
      <c r="F79" s="879">
        <v>80</v>
      </c>
    </row>
    <row r="80" spans="1:6" s="875" customFormat="1" ht="36">
      <c r="A80" s="879">
        <v>20</v>
      </c>
      <c r="B80" s="3334"/>
      <c r="C80" s="815" t="s">
        <v>654</v>
      </c>
      <c r="D80" s="815" t="s">
        <v>655</v>
      </c>
      <c r="E80" s="892">
        <v>0.2</v>
      </c>
      <c r="F80" s="879">
        <v>30</v>
      </c>
    </row>
    <row r="81" spans="1:6" s="875" customFormat="1" ht="36">
      <c r="A81" s="879">
        <v>21</v>
      </c>
      <c r="B81" s="3334"/>
      <c r="C81" s="815" t="s">
        <v>656</v>
      </c>
      <c r="D81" s="815" t="s">
        <v>657</v>
      </c>
      <c r="E81" s="892">
        <v>0.2</v>
      </c>
      <c r="F81" s="879">
        <v>30</v>
      </c>
    </row>
    <row r="82" spans="1:6" s="875" customFormat="1" ht="48">
      <c r="A82" s="879">
        <v>22</v>
      </c>
      <c r="B82" s="3334"/>
      <c r="C82" s="815" t="s">
        <v>658</v>
      </c>
      <c r="D82" s="815" t="s">
        <v>659</v>
      </c>
      <c r="E82" s="892">
        <v>0.2</v>
      </c>
      <c r="F82" s="879">
        <v>30</v>
      </c>
    </row>
    <row r="83" spans="1:6" s="875" customFormat="1" ht="48">
      <c r="A83" s="879">
        <v>23</v>
      </c>
      <c r="B83" s="3334"/>
      <c r="C83" s="815" t="s">
        <v>660</v>
      </c>
      <c r="D83" s="815" t="s">
        <v>661</v>
      </c>
      <c r="E83" s="892">
        <v>0.2</v>
      </c>
      <c r="F83" s="879">
        <v>30</v>
      </c>
    </row>
    <row r="84" spans="1:6" s="875" customFormat="1" ht="36">
      <c r="A84" s="879">
        <v>24</v>
      </c>
      <c r="B84" s="3334"/>
      <c r="C84" s="815" t="s">
        <v>662</v>
      </c>
      <c r="D84" s="815" t="s">
        <v>663</v>
      </c>
      <c r="E84" s="892">
        <v>0.2</v>
      </c>
      <c r="F84" s="879">
        <v>30</v>
      </c>
    </row>
    <row r="85" spans="1:6" s="875" customFormat="1" ht="36">
      <c r="A85" s="879">
        <v>25</v>
      </c>
      <c r="B85" s="3334"/>
      <c r="C85" s="815" t="s">
        <v>664</v>
      </c>
      <c r="D85" s="815" t="s">
        <v>665</v>
      </c>
      <c r="E85" s="892">
        <v>0.5</v>
      </c>
      <c r="F85" s="879">
        <v>80</v>
      </c>
    </row>
    <row r="86" spans="1:6" s="875" customFormat="1" ht="36">
      <c r="A86" s="879">
        <v>26</v>
      </c>
      <c r="B86" s="3334"/>
      <c r="C86" s="815" t="s">
        <v>666</v>
      </c>
      <c r="D86" s="815" t="s">
        <v>667</v>
      </c>
      <c r="E86" s="892">
        <v>0.2</v>
      </c>
      <c r="F86" s="879">
        <v>30</v>
      </c>
    </row>
    <row r="87" spans="1:6" s="875" customFormat="1" ht="36">
      <c r="A87" s="879">
        <v>27</v>
      </c>
      <c r="B87" s="3334"/>
      <c r="C87" s="815" t="s">
        <v>668</v>
      </c>
      <c r="D87" s="815" t="s">
        <v>669</v>
      </c>
      <c r="E87" s="892">
        <v>0.2</v>
      </c>
      <c r="F87" s="879">
        <v>30</v>
      </c>
    </row>
    <row r="88" spans="1:6" s="875" customFormat="1" ht="36">
      <c r="A88" s="879">
        <v>28</v>
      </c>
      <c r="B88" s="3334"/>
      <c r="C88" s="815" t="s">
        <v>670</v>
      </c>
      <c r="D88" s="815" t="s">
        <v>671</v>
      </c>
      <c r="E88" s="892">
        <v>0.2</v>
      </c>
      <c r="F88" s="879">
        <v>30</v>
      </c>
    </row>
    <row r="89" spans="1:6" s="875" customFormat="1" ht="24">
      <c r="A89" s="879">
        <v>29</v>
      </c>
      <c r="B89" s="3334"/>
      <c r="C89" s="815" t="s">
        <v>672</v>
      </c>
      <c r="D89" s="815" t="s">
        <v>673</v>
      </c>
      <c r="E89" s="892">
        <v>0.2</v>
      </c>
      <c r="F89" s="879">
        <v>30</v>
      </c>
    </row>
    <row r="90" spans="1:6" s="875" customFormat="1" ht="24">
      <c r="A90" s="879">
        <v>30</v>
      </c>
      <c r="B90" s="3334"/>
      <c r="C90" s="815" t="s">
        <v>674</v>
      </c>
      <c r="D90" s="815" t="s">
        <v>675</v>
      </c>
      <c r="E90" s="892">
        <v>0.2</v>
      </c>
      <c r="F90" s="879">
        <v>30</v>
      </c>
    </row>
    <row r="91" spans="1:6" s="875" customFormat="1" ht="36">
      <c r="A91" s="879">
        <v>31</v>
      </c>
      <c r="B91" s="3334"/>
      <c r="C91" s="815" t="s">
        <v>676</v>
      </c>
      <c r="D91" s="815" t="s">
        <v>677</v>
      </c>
      <c r="E91" s="892">
        <v>0.2</v>
      </c>
      <c r="F91" s="879">
        <v>30</v>
      </c>
    </row>
    <row r="92" spans="1:6" s="875" customFormat="1" ht="24">
      <c r="A92" s="879">
        <v>32</v>
      </c>
      <c r="B92" s="3334" t="s">
        <v>678</v>
      </c>
      <c r="C92" s="879" t="s">
        <v>679</v>
      </c>
      <c r="D92" s="815" t="s">
        <v>680</v>
      </c>
      <c r="E92" s="892">
        <v>0.2</v>
      </c>
      <c r="F92" s="879">
        <v>30</v>
      </c>
    </row>
    <row r="93" spans="1:6" s="875" customFormat="1" ht="36">
      <c r="A93" s="879">
        <v>33</v>
      </c>
      <c r="B93" s="3334"/>
      <c r="C93" s="879" t="s">
        <v>681</v>
      </c>
      <c r="D93" s="815" t="s">
        <v>682</v>
      </c>
      <c r="E93" s="892">
        <v>0.2</v>
      </c>
      <c r="F93" s="879">
        <v>30</v>
      </c>
    </row>
    <row r="94" spans="1:6" s="875" customFormat="1" ht="48">
      <c r="A94" s="879">
        <v>34</v>
      </c>
      <c r="B94" s="3334"/>
      <c r="C94" s="879" t="s">
        <v>683</v>
      </c>
      <c r="D94" s="815" t="s">
        <v>684</v>
      </c>
      <c r="E94" s="892">
        <v>0.2</v>
      </c>
      <c r="F94" s="879">
        <v>30</v>
      </c>
    </row>
    <row r="95" spans="1:6" s="875" customFormat="1" ht="36">
      <c r="A95" s="879">
        <v>35</v>
      </c>
      <c r="B95" s="3334"/>
      <c r="C95" s="879" t="s">
        <v>685</v>
      </c>
      <c r="D95" s="815" t="s">
        <v>686</v>
      </c>
      <c r="E95" s="892">
        <v>0.2</v>
      </c>
      <c r="F95" s="879">
        <v>30</v>
      </c>
    </row>
    <row r="96" spans="1:6" s="875" customFormat="1" ht="48">
      <c r="A96" s="879">
        <v>36</v>
      </c>
      <c r="B96" s="3334"/>
      <c r="C96" s="815" t="s">
        <v>687</v>
      </c>
      <c r="D96" s="815" t="s">
        <v>688</v>
      </c>
      <c r="E96" s="892">
        <v>0.2</v>
      </c>
      <c r="F96" s="879">
        <v>30</v>
      </c>
    </row>
    <row r="97" spans="1:6" s="875" customFormat="1" ht="36">
      <c r="A97" s="879">
        <v>37</v>
      </c>
      <c r="B97" s="3334"/>
      <c r="C97" s="879" t="s">
        <v>689</v>
      </c>
      <c r="D97" s="815" t="s">
        <v>690</v>
      </c>
      <c r="E97" s="892">
        <v>0.2</v>
      </c>
      <c r="F97" s="879">
        <v>30</v>
      </c>
    </row>
    <row r="98" spans="1:6" s="875" customFormat="1" ht="36">
      <c r="A98" s="879">
        <v>38</v>
      </c>
      <c r="B98" s="3334"/>
      <c r="C98" s="879" t="s">
        <v>691</v>
      </c>
      <c r="D98" s="815" t="s">
        <v>692</v>
      </c>
      <c r="E98" s="892">
        <v>0.2</v>
      </c>
      <c r="F98" s="879">
        <v>30</v>
      </c>
    </row>
    <row r="99" spans="1:6" s="875" customFormat="1" ht="36">
      <c r="A99" s="879">
        <v>39</v>
      </c>
      <c r="B99" s="3334" t="s">
        <v>693</v>
      </c>
      <c r="C99" s="879" t="s">
        <v>694</v>
      </c>
      <c r="D99" s="815" t="s">
        <v>695</v>
      </c>
      <c r="E99" s="892">
        <v>0.3</v>
      </c>
      <c r="F99" s="879">
        <v>50</v>
      </c>
    </row>
    <row r="100" spans="1:6" s="875" customFormat="1" ht="24">
      <c r="A100" s="879">
        <v>40</v>
      </c>
      <c r="B100" s="3334"/>
      <c r="C100" s="879" t="s">
        <v>696</v>
      </c>
      <c r="D100" s="815" t="s">
        <v>697</v>
      </c>
      <c r="E100" s="892">
        <v>0.2</v>
      </c>
      <c r="F100" s="879">
        <v>30</v>
      </c>
    </row>
    <row r="101" spans="1:6" s="875" customFormat="1" ht="36">
      <c r="A101" s="879">
        <v>41</v>
      </c>
      <c r="B101" s="333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4" t="s">
        <v>708</v>
      </c>
      <c r="C105" s="879" t="s">
        <v>709</v>
      </c>
      <c r="D105" s="815" t="s">
        <v>710</v>
      </c>
      <c r="E105" s="892">
        <v>0.2</v>
      </c>
      <c r="F105" s="879">
        <v>30</v>
      </c>
    </row>
    <row r="106" spans="1:6" s="875" customFormat="1" ht="36">
      <c r="A106" s="879">
        <v>46</v>
      </c>
      <c r="B106" s="3334"/>
      <c r="C106" s="879" t="s">
        <v>711</v>
      </c>
      <c r="D106" s="815" t="s">
        <v>712</v>
      </c>
      <c r="E106" s="892">
        <v>0.2</v>
      </c>
      <c r="F106" s="879">
        <v>30</v>
      </c>
    </row>
    <row r="107" spans="1:6" s="875" customFormat="1" ht="36">
      <c r="A107" s="879">
        <v>47</v>
      </c>
      <c r="B107" s="3334" t="s">
        <v>713</v>
      </c>
      <c r="C107" s="879" t="s">
        <v>714</v>
      </c>
      <c r="D107" s="815" t="s">
        <v>715</v>
      </c>
      <c r="E107" s="892">
        <v>0.3</v>
      </c>
      <c r="F107" s="879">
        <v>50</v>
      </c>
    </row>
    <row r="108" spans="1:6" s="875" customFormat="1" ht="36">
      <c r="A108" s="879">
        <v>48</v>
      </c>
      <c r="B108" s="333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4" t="s">
        <v>724</v>
      </c>
      <c r="C111" s="879" t="s">
        <v>725</v>
      </c>
      <c r="D111" s="815" t="s">
        <v>726</v>
      </c>
      <c r="E111" s="892">
        <v>0.2</v>
      </c>
      <c r="F111" s="879">
        <v>30</v>
      </c>
    </row>
    <row r="112" spans="1:6" s="875" customFormat="1" ht="24">
      <c r="A112" s="879">
        <v>52</v>
      </c>
      <c r="B112" s="3334"/>
      <c r="C112" s="879" t="s">
        <v>727</v>
      </c>
      <c r="D112" s="815" t="s">
        <v>728</v>
      </c>
      <c r="E112" s="892">
        <v>0.2</v>
      </c>
      <c r="F112" s="879">
        <v>30</v>
      </c>
    </row>
    <row r="113" spans="1:6" s="875" customFormat="1" ht="24">
      <c r="A113" s="879">
        <v>53</v>
      </c>
      <c r="B113" s="333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4" t="s">
        <v>737</v>
      </c>
      <c r="C116" s="879" t="s">
        <v>738</v>
      </c>
      <c r="D116" s="815" t="s">
        <v>739</v>
      </c>
      <c r="E116" s="892">
        <v>0.2</v>
      </c>
      <c r="F116" s="879">
        <v>30</v>
      </c>
    </row>
    <row r="117" spans="1:6" ht="36">
      <c r="A117" s="879">
        <v>57</v>
      </c>
      <c r="B117" s="333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3004</v>
      </c>
    </row>
    <row r="2" spans="1:5" ht="15.75">
      <c r="A2" s="2905" t="s">
        <v>2996</v>
      </c>
      <c r="B2" s="2906" t="e">
        <f ca="1">SUMIF(B6:B13,"&lt;&gt;#ref!",B6:B13)</f>
        <v>#DIV/0!</v>
      </c>
      <c r="C2" s="2905" t="s">
        <v>2997</v>
      </c>
      <c r="D2" s="2905" t="s">
        <v>2998</v>
      </c>
      <c r="E2" s="2906" t="e">
        <f ca="1">SUM(E6:E13)</f>
        <v>#REF!</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0">
        <f ca="1">SUMIF(INDIRECT("'"&amp;A6&amp;"'"&amp;"!C:C"),"建筑面积",INDIRECT("'"&amp;A6&amp;"'"&amp;"!D:D"))</f>
        <v>0</v>
      </c>
    </row>
    <row r="7" spans="1:5" ht="15.75">
      <c r="A7" s="2910"/>
      <c r="B7" s="2906" t="e">
        <f ca="1">SUMIF(INDIRECT("'"&amp;A7&amp;"'"&amp;"!A:A"),"总价",INDIRECT("'"&amp;A7&amp;"'"&amp;"!B:B"))</f>
        <v>#REF!</v>
      </c>
      <c r="C7" s="2905" t="s">
        <v>2997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0" t="e">
        <f t="shared" ca="1" si="0"/>
        <v>#REF!</v>
      </c>
    </row>
    <row r="9" spans="1:5" ht="15.75">
      <c r="A9" s="2910"/>
      <c r="B9" s="2906" t="e">
        <f t="shared" ca="1" si="1"/>
        <v>#REF!</v>
      </c>
      <c r="C9" s="2905" t="s">
        <v>2997</v>
      </c>
      <c r="D9" s="2907"/>
      <c r="E9" s="2570" t="e">
        <f t="shared" ca="1" si="0"/>
        <v>#REF!</v>
      </c>
    </row>
    <row r="10" spans="1:5" ht="15.75">
      <c r="A10" s="2910"/>
      <c r="B10" s="2906" t="e">
        <f t="shared" ca="1" si="1"/>
        <v>#REF!</v>
      </c>
      <c r="C10" s="2905" t="s">
        <v>2997</v>
      </c>
      <c r="D10" s="2907"/>
      <c r="E10" s="2570" t="e">
        <f t="shared" ca="1" si="0"/>
        <v>#REF!</v>
      </c>
    </row>
    <row r="11" spans="1:5" ht="15.75">
      <c r="A11" s="2910"/>
      <c r="B11" s="2906" t="e">
        <f t="shared" ca="1" si="1"/>
        <v>#REF!</v>
      </c>
      <c r="C11" s="2905" t="s">
        <v>2997</v>
      </c>
      <c r="D11" s="2907"/>
      <c r="E11" s="2570" t="e">
        <f t="shared" ca="1" si="0"/>
        <v>#REF!</v>
      </c>
    </row>
    <row r="12" spans="1:5" ht="15.75">
      <c r="A12" s="2910"/>
      <c r="B12" s="2906" t="e">
        <f t="shared" ca="1" si="1"/>
        <v>#REF!</v>
      </c>
      <c r="C12" s="2905" t="s">
        <v>2997</v>
      </c>
      <c r="D12" s="2907"/>
      <c r="E12" s="2570" t="e">
        <f t="shared" ca="1" si="0"/>
        <v>#REF!</v>
      </c>
    </row>
    <row r="13" spans="1:5" ht="15.75">
      <c r="A13" s="2910"/>
      <c r="B13" s="2906" t="e">
        <f t="shared" ca="1" si="1"/>
        <v>#REF!</v>
      </c>
      <c r="C13" s="2905" t="s">
        <v>2997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0" t="s">
        <v>1150</v>
      </c>
      <c r="C1" s="3340"/>
      <c r="D1" s="3340"/>
      <c r="E1" s="3340"/>
      <c r="F1" s="3340"/>
      <c r="G1" s="3336" t="s">
        <v>1151</v>
      </c>
      <c r="H1" s="3336"/>
      <c r="I1" s="3336"/>
      <c r="J1" s="3336"/>
      <c r="K1" s="3336"/>
      <c r="L1" s="3336"/>
      <c r="N1" s="3336" t="s">
        <v>1152</v>
      </c>
      <c r="O1" s="3336"/>
      <c r="P1" s="3336"/>
      <c r="Q1" s="3336"/>
      <c r="R1" s="1442"/>
      <c r="S1" s="3336" t="s">
        <v>1153</v>
      </c>
      <c r="T1" s="3336"/>
      <c r="U1" s="3336"/>
      <c r="V1" s="3336"/>
      <c r="X1" s="3335" t="s">
        <v>1154</v>
      </c>
      <c r="Y1" s="3336"/>
      <c r="Z1" s="3336"/>
      <c r="AA1" s="3336"/>
      <c r="AB1" s="3336"/>
      <c r="AD1" s="3335" t="s">
        <v>1155</v>
      </c>
      <c r="AE1" s="3336"/>
      <c r="AF1" s="3336"/>
      <c r="AG1" s="3336"/>
      <c r="AH1" s="3336"/>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3036</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3042</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4">
        <v>2018</v>
      </c>
      <c r="H5" s="1725">
        <v>2</v>
      </c>
      <c r="I5" s="2919">
        <v>0</v>
      </c>
      <c r="J5" s="2919">
        <v>0</v>
      </c>
      <c r="K5" s="2919">
        <v>0</v>
      </c>
      <c r="L5" s="2919">
        <v>0</v>
      </c>
      <c r="N5" s="1463">
        <f t="shared" ref="N5" si="7">I5/100</f>
        <v>0</v>
      </c>
      <c r="O5" s="1463">
        <f t="shared" ref="O5" si="8">J5/100</f>
        <v>0</v>
      </c>
      <c r="P5" s="1463">
        <f t="shared" ref="P5" si="9">K5/100</f>
        <v>0</v>
      </c>
      <c r="Q5" s="1463">
        <f t="shared" ref="Q5" si="10">L5/100</f>
        <v>0</v>
      </c>
      <c r="R5" s="1727"/>
      <c r="S5" s="1728"/>
      <c r="T5" s="1727"/>
      <c r="U5" s="1727"/>
      <c r="V5" s="1727"/>
      <c r="W5" s="2923" t="s">
        <v>3037</v>
      </c>
      <c r="X5" s="1721">
        <f>ROUND(SUMPRODUCT(PRODUCT(1+N5:N$21)),4)</f>
        <v>1.4517</v>
      </c>
      <c r="Y5" s="1721">
        <f>ROUND(SUMPRODUCT(PRODUCT(1+O5:O$21)),4)</f>
        <v>1.2928999999999999</v>
      </c>
      <c r="Z5" s="1721">
        <f t="shared" ref="Z5" si="11">Y5</f>
        <v>1.2928999999999999</v>
      </c>
      <c r="AA5" s="1721">
        <f>ROUND(SUMPRODUCT(PRODUCT(1+P5:P$21)),4)</f>
        <v>1.5068999999999999</v>
      </c>
      <c r="AB5" s="1721">
        <f>ROUND(SUMPRODUCT(PRODUCT(1+Q5:Q$21)),4)</f>
        <v>1.2557</v>
      </c>
      <c r="AD5" s="1464">
        <f>ROUND(AVERAGE(I5:I$22)/100,4)</f>
        <v>2.2700000000000001E-2</v>
      </c>
      <c r="AE5" s="1464">
        <f>ROUND(AVERAGE(J5:J$22)/100,4)</f>
        <v>1.5699999999999999E-2</v>
      </c>
      <c r="AF5" s="1464">
        <f t="shared" ref="AF5" si="12">AE5</f>
        <v>1.5699999999999999E-2</v>
      </c>
      <c r="AG5" s="1464">
        <f>ROUND(AVERAGE(K5:K$22)/100,4)</f>
        <v>2.5000000000000001E-2</v>
      </c>
      <c r="AH5" s="1464">
        <f>ROUND(AVERAGE(L5:L$22)/100,4)</f>
        <v>1.35E-2</v>
      </c>
    </row>
    <row r="6" spans="1:34" s="1462" customFormat="1" ht="13.5" thickBot="1">
      <c r="A6" s="1457" t="s">
        <v>3035</v>
      </c>
      <c r="B6" s="1473">
        <f t="shared" ref="B6" si="13">B7*(1+N6)</f>
        <v>446.46299999999997</v>
      </c>
      <c r="C6" s="1473">
        <f t="shared" ref="C6" si="14">C7*(1+O6)</f>
        <v>333.27840000000003</v>
      </c>
      <c r="D6" s="1473">
        <f t="shared" ref="D6" si="15">C6</f>
        <v>333.27840000000003</v>
      </c>
      <c r="E6" s="1473">
        <f t="shared" ref="E6" si="16">E7*(1+P6)</f>
        <v>637.28279999999995</v>
      </c>
      <c r="F6" s="1473">
        <f t="shared" ref="F6" si="17">F7*(1+Q6)</f>
        <v>288.68830000000003</v>
      </c>
      <c r="G6" s="2935">
        <v>2018</v>
      </c>
      <c r="H6" s="1460">
        <v>1</v>
      </c>
      <c r="I6" s="1460">
        <v>1.7</v>
      </c>
      <c r="J6" s="1460">
        <v>1.92</v>
      </c>
      <c r="K6" s="1460">
        <v>1.64</v>
      </c>
      <c r="L6" s="1474">
        <v>2.0099999999999998</v>
      </c>
      <c r="M6" s="1467"/>
      <c r="N6" s="1468">
        <f t="shared" ref="N6:N11" si="18">I6/100</f>
        <v>1.7000000000000001E-2</v>
      </c>
      <c r="O6" s="1469">
        <f t="shared" ref="O6" si="19">J6/100</f>
        <v>1.9199999999999998E-2</v>
      </c>
      <c r="P6" s="1469">
        <f t="shared" ref="P6" si="20">K6/100</f>
        <v>1.6399999999999998E-2</v>
      </c>
      <c r="Q6" s="1469">
        <f t="shared" ref="Q6" si="21">L6/100</f>
        <v>2.0099999999999996E-2</v>
      </c>
      <c r="R6" s="1470"/>
      <c r="S6" s="1468">
        <f>B6/B7-1</f>
        <v>1.6999999999999904E-2</v>
      </c>
      <c r="T6" s="1469">
        <f t="shared" ref="T6" si="22">C6/C7-1</f>
        <v>1.9200000000000106E-2</v>
      </c>
      <c r="U6" s="1469">
        <f t="shared" ref="U6" si="23">D6/D7-1</f>
        <v>1.9200000000000106E-2</v>
      </c>
      <c r="V6" s="1469">
        <f t="shared" ref="V6" si="24">E6/E7-1</f>
        <v>1.639999999999997E-2</v>
      </c>
      <c r="W6" s="1785"/>
      <c r="X6" s="1783">
        <f>ROUND(SUMPRODUCT(PRODUCT(1+N6:N$21)),4)</f>
        <v>1.4517</v>
      </c>
      <c r="Y6" s="1783">
        <f>ROUND(SUMPRODUCT(PRODUCT(1+O6:O$21)),4)</f>
        <v>1.2928999999999999</v>
      </c>
      <c r="Z6" s="1783">
        <f t="shared" ref="Z6" si="25">Y6</f>
        <v>1.2928999999999999</v>
      </c>
      <c r="AA6" s="1783">
        <f>ROUND(SUMPRODUCT(PRODUCT(1+P6:P$21)),4)</f>
        <v>1.5068999999999999</v>
      </c>
      <c r="AB6" s="1783">
        <f>ROUND(SUMPRODUCT(PRODUCT(1+Q6:Q$21)),4)</f>
        <v>1.2557</v>
      </c>
      <c r="AC6" s="1785"/>
      <c r="AD6" s="1784">
        <f>ROUND(AVERAGE(I6:I$22)/100,4)</f>
        <v>2.4E-2</v>
      </c>
      <c r="AE6" s="1784">
        <f>ROUND(AVERAGE(J6:J$22)/100,4)</f>
        <v>1.66E-2</v>
      </c>
      <c r="AF6" s="1784">
        <f t="shared" ref="AF6" si="26">AE6</f>
        <v>1.66E-2</v>
      </c>
      <c r="AG6" s="1784">
        <f>ROUND(AVERAGE(K6:K$22)/100,4)</f>
        <v>2.6499999999999999E-2</v>
      </c>
      <c r="AH6" s="1784">
        <f>ROUND(AVERAGE(L6:L$22)/100,4)</f>
        <v>1.43E-2</v>
      </c>
    </row>
    <row r="7" spans="1:34">
      <c r="A7" s="1457" t="s">
        <v>3032</v>
      </c>
      <c r="B7" s="1465">
        <v>439</v>
      </c>
      <c r="C7" s="1465">
        <v>327</v>
      </c>
      <c r="D7" s="1465">
        <f>C7</f>
        <v>327</v>
      </c>
      <c r="E7" s="1465">
        <v>627</v>
      </c>
      <c r="F7" s="1466">
        <v>283</v>
      </c>
      <c r="G7" s="2921">
        <v>2017</v>
      </c>
      <c r="H7" s="1458">
        <v>4</v>
      </c>
      <c r="I7" s="1458">
        <v>1.71</v>
      </c>
      <c r="J7" s="1458">
        <v>1.78</v>
      </c>
      <c r="K7" s="1458">
        <v>1.71</v>
      </c>
      <c r="L7" s="1459">
        <v>1.43</v>
      </c>
      <c r="N7" s="1468">
        <f t="shared" si="18"/>
        <v>1.7100000000000001E-2</v>
      </c>
      <c r="O7" s="1469">
        <f t="shared" ref="O7" si="27">J7/100</f>
        <v>1.78E-2</v>
      </c>
      <c r="P7" s="1469">
        <f t="shared" ref="P7" si="28">K7/100</f>
        <v>1.7100000000000001E-2</v>
      </c>
      <c r="Q7" s="1469">
        <f t="shared" ref="Q7" si="29">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3033</v>
      </c>
      <c r="B8" s="1473">
        <f t="shared" ref="B8:B9" si="30">B9*(1+N8)</f>
        <v>431.80730811680002</v>
      </c>
      <c r="C8" s="1473">
        <f t="shared" ref="C8:C9" si="31">C9*(1+O8)</f>
        <v>320.57880516480003</v>
      </c>
      <c r="D8" s="1473">
        <f t="shared" ref="D8:D9" si="32">C8</f>
        <v>320.57880516480003</v>
      </c>
      <c r="E8" s="1473">
        <f t="shared" ref="E8:E9" si="33">E9*(1+P8)</f>
        <v>615.96110553196797</v>
      </c>
      <c r="F8" s="1473">
        <f t="shared" ref="F8:F9" si="34">F9*(1+Q8)</f>
        <v>279.46777300108801</v>
      </c>
      <c r="G8" s="2917"/>
      <c r="H8" s="1460">
        <v>3</v>
      </c>
      <c r="I8" s="1460">
        <v>2.98</v>
      </c>
      <c r="J8" s="1460">
        <v>2.11</v>
      </c>
      <c r="K8" s="1460">
        <v>3.24</v>
      </c>
      <c r="L8" s="1474">
        <v>1.72</v>
      </c>
      <c r="M8" s="1467"/>
      <c r="N8" s="1468">
        <f t="shared" si="18"/>
        <v>2.98E-2</v>
      </c>
      <c r="O8" s="1469">
        <f t="shared" ref="O8" si="35">J8/100</f>
        <v>2.1099999999999997E-2</v>
      </c>
      <c r="P8" s="1469">
        <f t="shared" ref="P8" si="36">K8/100</f>
        <v>3.2400000000000005E-2</v>
      </c>
      <c r="Q8" s="1469">
        <f t="shared" ref="Q8" si="37">L8/100</f>
        <v>1.72E-2</v>
      </c>
      <c r="R8" s="1470"/>
      <c r="S8" s="1468"/>
      <c r="T8" s="1469"/>
      <c r="U8" s="1469"/>
      <c r="V8" s="1469"/>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6" customFormat="1">
      <c r="A9" s="1457" t="s">
        <v>1386</v>
      </c>
      <c r="B9" s="1473">
        <f t="shared" si="30"/>
        <v>419.31181600000002</v>
      </c>
      <c r="C9" s="1473">
        <f t="shared" si="31"/>
        <v>313.95436800000004</v>
      </c>
      <c r="D9" s="1473">
        <f t="shared" si="32"/>
        <v>313.95436800000004</v>
      </c>
      <c r="E9" s="1473">
        <f t="shared" si="33"/>
        <v>596.63028431999999</v>
      </c>
      <c r="F9" s="1473">
        <f t="shared" si="34"/>
        <v>274.74220703999998</v>
      </c>
      <c r="G9" s="2916"/>
      <c r="H9" s="1461">
        <v>2</v>
      </c>
      <c r="I9" s="1461">
        <v>3.4</v>
      </c>
      <c r="J9" s="1461">
        <v>2</v>
      </c>
      <c r="K9" s="1461">
        <v>3.82</v>
      </c>
      <c r="L9" s="1475">
        <v>1.68</v>
      </c>
      <c r="M9" s="1467"/>
      <c r="N9" s="1468">
        <f t="shared" si="18"/>
        <v>3.4000000000000002E-2</v>
      </c>
      <c r="O9" s="1469">
        <f t="shared" ref="O9" si="38">J9/100</f>
        <v>0.02</v>
      </c>
      <c r="P9" s="1469">
        <f t="shared" ref="P9" si="39">K9/100</f>
        <v>3.8199999999999998E-2</v>
      </c>
      <c r="Q9" s="1469">
        <f t="shared" ref="Q9" si="40">L9/100</f>
        <v>1.6799999999999999E-2</v>
      </c>
      <c r="R9" s="1470"/>
      <c r="S9" s="1471"/>
      <c r="T9" s="1472"/>
      <c r="U9" s="1472"/>
      <c r="V9" s="1472"/>
      <c r="W9" s="1449"/>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9"/>
      <c r="AD9" s="1784">
        <f>ROUND(AVERAGE(I9:I$22)/100,4)</f>
        <v>2.46E-2</v>
      </c>
      <c r="AE9" s="1784">
        <f>ROUND(AVERAGE(J9:J$22)/100,4)</f>
        <v>1.6E-2</v>
      </c>
      <c r="AF9" s="1784">
        <f t="shared" si="1"/>
        <v>1.6E-2</v>
      </c>
      <c r="AG9" s="1784">
        <f>ROUND(AVERAGE(K9:K$22)/100,4)</f>
        <v>2.75E-2</v>
      </c>
      <c r="AH9" s="1784">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7"/>
      <c r="H10" s="1460">
        <v>1</v>
      </c>
      <c r="I10" s="1460">
        <v>3.45</v>
      </c>
      <c r="J10" s="1460">
        <v>1.92</v>
      </c>
      <c r="K10" s="1460">
        <v>3.92</v>
      </c>
      <c r="L10" s="1474">
        <v>1.58</v>
      </c>
      <c r="M10" s="1467"/>
      <c r="N10" s="1468">
        <f t="shared" si="18"/>
        <v>3.4500000000000003E-2</v>
      </c>
      <c r="O10" s="1469">
        <f t="shared" ref="O10:Q25" si="41">J10/100</f>
        <v>1.9199999999999998E-2</v>
      </c>
      <c r="P10" s="1469">
        <f t="shared" si="41"/>
        <v>3.9199999999999999E-2</v>
      </c>
      <c r="Q10" s="1469">
        <f t="shared" si="41"/>
        <v>1.5800000000000002E-2</v>
      </c>
      <c r="R10" s="1470"/>
      <c r="S10" s="1468">
        <f>B10/B11-1</f>
        <v>3.4499999999999975E-2</v>
      </c>
      <c r="T10" s="1469">
        <f t="shared" ref="T10:V10" si="42">C10/C11-1</f>
        <v>1.9200000000000106E-2</v>
      </c>
      <c r="U10" s="1469">
        <f t="shared" si="42"/>
        <v>1.9200000000000106E-2</v>
      </c>
      <c r="V10" s="1469">
        <f t="shared" si="42"/>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7" t="s">
        <v>154</v>
      </c>
      <c r="B11" s="1465">
        <v>392</v>
      </c>
      <c r="C11" s="1465">
        <v>302</v>
      </c>
      <c r="D11" s="1465">
        <f>C11</f>
        <v>302</v>
      </c>
      <c r="E11" s="1465">
        <v>553</v>
      </c>
      <c r="F11" s="1466">
        <v>266</v>
      </c>
      <c r="G11" s="3341">
        <v>2016</v>
      </c>
      <c r="H11" s="1458">
        <v>4</v>
      </c>
      <c r="I11" s="1458">
        <v>4.5599999999999996</v>
      </c>
      <c r="J11" s="1458">
        <v>2.15</v>
      </c>
      <c r="K11" s="1458">
        <v>5.32</v>
      </c>
      <c r="L11" s="1459">
        <v>1.57</v>
      </c>
      <c r="N11" s="1468">
        <f t="shared" si="18"/>
        <v>4.5599999999999995E-2</v>
      </c>
      <c r="O11" s="1469">
        <f t="shared" si="41"/>
        <v>2.1499999999999998E-2</v>
      </c>
      <c r="P11" s="1469">
        <f t="shared" si="41"/>
        <v>5.3200000000000004E-2</v>
      </c>
      <c r="Q11" s="1469">
        <f t="shared" si="41"/>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3">B11/(1+N11)</f>
        <v>374.90436113236416</v>
      </c>
      <c r="C12" s="1473">
        <f t="shared" si="43"/>
        <v>295.64366128242779</v>
      </c>
      <c r="D12" s="1473">
        <f t="shared" ref="D12:D71" si="44">C12</f>
        <v>295.64366128242779</v>
      </c>
      <c r="E12" s="1473">
        <f t="shared" ref="E12:F14" si="45">E11/(1+P11)</f>
        <v>525.06646410938095</v>
      </c>
      <c r="F12" s="1473">
        <f t="shared" si="45"/>
        <v>261.88835286009646</v>
      </c>
      <c r="G12" s="3338"/>
      <c r="H12" s="1460">
        <v>3</v>
      </c>
      <c r="I12" s="1460">
        <v>4.12</v>
      </c>
      <c r="J12" s="1460">
        <v>2</v>
      </c>
      <c r="K12" s="1460">
        <v>4.79</v>
      </c>
      <c r="L12" s="1474">
        <v>1.97</v>
      </c>
      <c r="N12" s="1468">
        <f t="shared" ref="N12:Q46" si="46">I12/100</f>
        <v>4.1200000000000001E-2</v>
      </c>
      <c r="O12" s="1469">
        <f t="shared" si="41"/>
        <v>0.02</v>
      </c>
      <c r="P12" s="1469">
        <f t="shared" si="41"/>
        <v>4.7899999999999998E-2</v>
      </c>
      <c r="Q12" s="1469">
        <f t="shared" si="41"/>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3"/>
        <v>360.06949782209392</v>
      </c>
      <c r="C13" s="1473">
        <f t="shared" si="43"/>
        <v>289.84672674747821</v>
      </c>
      <c r="D13" s="1473">
        <f t="shared" si="44"/>
        <v>289.84672674747821</v>
      </c>
      <c r="E13" s="1473">
        <f t="shared" si="45"/>
        <v>501.06543001181495</v>
      </c>
      <c r="F13" s="1473">
        <f t="shared" si="45"/>
        <v>256.82882500744967</v>
      </c>
      <c r="G13" s="3338"/>
      <c r="H13" s="1461">
        <v>2</v>
      </c>
      <c r="I13" s="1461">
        <v>3.85</v>
      </c>
      <c r="J13" s="1461">
        <v>1.95</v>
      </c>
      <c r="K13" s="1461">
        <v>4.4800000000000004</v>
      </c>
      <c r="L13" s="1475">
        <v>1.41</v>
      </c>
      <c r="N13" s="1468">
        <f t="shared" si="46"/>
        <v>3.85E-2</v>
      </c>
      <c r="O13" s="1469">
        <f t="shared" si="41"/>
        <v>1.95E-2</v>
      </c>
      <c r="P13" s="1469">
        <f t="shared" si="41"/>
        <v>4.4800000000000006E-2</v>
      </c>
      <c r="Q13" s="1469">
        <f t="shared" si="41"/>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3"/>
        <v>346.720748986128</v>
      </c>
      <c r="C14" s="1473">
        <f t="shared" si="43"/>
        <v>284.30282172386285</v>
      </c>
      <c r="D14" s="1473">
        <f t="shared" si="44"/>
        <v>284.30282172386285</v>
      </c>
      <c r="E14" s="1473">
        <f t="shared" si="45"/>
        <v>479.58023546306947</v>
      </c>
      <c r="F14" s="1473">
        <f t="shared" si="45"/>
        <v>253.25788877571213</v>
      </c>
      <c r="G14" s="3339"/>
      <c r="H14" s="1460">
        <v>1</v>
      </c>
      <c r="I14" s="1460">
        <v>4.09</v>
      </c>
      <c r="J14" s="1460">
        <v>2.93</v>
      </c>
      <c r="K14" s="1460">
        <v>4.54</v>
      </c>
      <c r="L14" s="1474">
        <v>1.48</v>
      </c>
      <c r="N14" s="1468">
        <f t="shared" si="46"/>
        <v>4.0899999999999999E-2</v>
      </c>
      <c r="O14" s="1469">
        <f t="shared" si="41"/>
        <v>2.9300000000000003E-2</v>
      </c>
      <c r="P14" s="1469">
        <f t="shared" si="41"/>
        <v>4.5400000000000003E-2</v>
      </c>
      <c r="Q14" s="1469">
        <f t="shared" si="41"/>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4"/>
        <v>277</v>
      </c>
      <c r="E15" s="1465">
        <v>459</v>
      </c>
      <c r="F15" s="1466">
        <v>249</v>
      </c>
      <c r="G15" s="3337">
        <v>2015</v>
      </c>
      <c r="H15" s="1478">
        <v>4</v>
      </c>
      <c r="I15" s="1478">
        <v>1.63</v>
      </c>
      <c r="J15" s="1478">
        <v>1.1100000000000001</v>
      </c>
      <c r="K15" s="1478">
        <v>1.77</v>
      </c>
      <c r="L15" s="1479">
        <v>1.89</v>
      </c>
      <c r="N15" s="1480">
        <f t="shared" si="46"/>
        <v>1.6299999999999999E-2</v>
      </c>
      <c r="O15" s="1481">
        <f t="shared" si="41"/>
        <v>1.11E-2</v>
      </c>
      <c r="P15" s="1481">
        <f t="shared" si="41"/>
        <v>1.77E-2</v>
      </c>
      <c r="Q15" s="1481">
        <f t="shared" si="41"/>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47">B15/(1+N15)</f>
        <v>327.65915576109415</v>
      </c>
      <c r="C16" s="1473">
        <f t="shared" si="47"/>
        <v>273.95905449510434</v>
      </c>
      <c r="D16" s="1473">
        <f t="shared" si="44"/>
        <v>273.95905449510434</v>
      </c>
      <c r="E16" s="1473">
        <f t="shared" ref="E16:F18" si="48">E15/(1+P15)</f>
        <v>451.01699911565294</v>
      </c>
      <c r="F16" s="1473">
        <f t="shared" si="48"/>
        <v>244.38119540681129</v>
      </c>
      <c r="G16" s="3338"/>
      <c r="H16" s="1483">
        <v>3</v>
      </c>
      <c r="I16" s="1483">
        <v>1.65</v>
      </c>
      <c r="J16" s="1483">
        <v>0.92</v>
      </c>
      <c r="K16" s="1483">
        <v>1.88</v>
      </c>
      <c r="L16" s="1484">
        <v>1.26</v>
      </c>
      <c r="N16" s="1468">
        <f t="shared" si="46"/>
        <v>1.6500000000000001E-2</v>
      </c>
      <c r="O16" s="1485">
        <f t="shared" si="41"/>
        <v>9.1999999999999998E-3</v>
      </c>
      <c r="P16" s="1485">
        <f t="shared" si="41"/>
        <v>1.8799999999999997E-2</v>
      </c>
      <c r="Q16" s="1485">
        <f t="shared" si="41"/>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47"/>
        <v>322.34053690220776</v>
      </c>
      <c r="C17" s="1473">
        <f t="shared" si="47"/>
        <v>271.46160770422546</v>
      </c>
      <c r="D17" s="1473">
        <f t="shared" si="44"/>
        <v>271.46160770422546</v>
      </c>
      <c r="E17" s="1473">
        <f t="shared" si="48"/>
        <v>442.69434542172456</v>
      </c>
      <c r="F17" s="1473">
        <f t="shared" si="48"/>
        <v>241.34030753190925</v>
      </c>
      <c r="G17" s="3338"/>
      <c r="H17" s="1461">
        <v>2</v>
      </c>
      <c r="I17" s="1461">
        <v>0.77</v>
      </c>
      <c r="J17" s="1461">
        <v>0.69</v>
      </c>
      <c r="K17" s="1461">
        <v>0.8</v>
      </c>
      <c r="L17" s="1475">
        <v>0.88</v>
      </c>
      <c r="N17" s="1468">
        <f t="shared" si="46"/>
        <v>7.7000000000000002E-3</v>
      </c>
      <c r="O17" s="1485">
        <f t="shared" si="41"/>
        <v>6.8999999999999999E-3</v>
      </c>
      <c r="P17" s="1485">
        <f t="shared" si="41"/>
        <v>8.0000000000000002E-3</v>
      </c>
      <c r="Q17" s="1485">
        <f t="shared" si="41"/>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47"/>
        <v>319.87748030386797</v>
      </c>
      <c r="C18" s="1473">
        <f t="shared" si="47"/>
        <v>269.60135833173649</v>
      </c>
      <c r="D18" s="1473">
        <f t="shared" si="44"/>
        <v>269.60135833173649</v>
      </c>
      <c r="E18" s="1473">
        <f t="shared" si="48"/>
        <v>439.18089823583784</v>
      </c>
      <c r="F18" s="1473">
        <f t="shared" si="48"/>
        <v>239.23503918706311</v>
      </c>
      <c r="G18" s="3339"/>
      <c r="H18" s="1460">
        <v>1</v>
      </c>
      <c r="I18" s="1460">
        <v>0.51</v>
      </c>
      <c r="J18" s="1460">
        <v>0.54</v>
      </c>
      <c r="K18" s="1460">
        <v>0.48</v>
      </c>
      <c r="L18" s="1474">
        <v>0.93</v>
      </c>
      <c r="N18" s="1476">
        <f t="shared" si="46"/>
        <v>5.1000000000000004E-3</v>
      </c>
      <c r="O18" s="1477">
        <f t="shared" si="41"/>
        <v>5.4000000000000003E-3</v>
      </c>
      <c r="P18" s="1477">
        <f t="shared" si="41"/>
        <v>4.7999999999999996E-3</v>
      </c>
      <c r="Q18" s="1477">
        <f t="shared" si="41"/>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4"/>
        <v>268</v>
      </c>
      <c r="E19" s="1486">
        <v>437</v>
      </c>
      <c r="F19" s="1487">
        <v>237</v>
      </c>
      <c r="G19" s="3337">
        <v>2014</v>
      </c>
      <c r="H19" s="1478">
        <v>4</v>
      </c>
      <c r="I19" s="1478">
        <v>0.21</v>
      </c>
      <c r="J19" s="1478">
        <v>0.41</v>
      </c>
      <c r="K19" s="1478">
        <v>0.12</v>
      </c>
      <c r="L19" s="1479">
        <v>0.89</v>
      </c>
      <c r="N19" s="1468">
        <f t="shared" si="46"/>
        <v>2.0999999999999999E-3</v>
      </c>
      <c r="O19" s="1469">
        <f t="shared" si="41"/>
        <v>4.0999999999999995E-3</v>
      </c>
      <c r="P19" s="1469">
        <f t="shared" si="41"/>
        <v>1.1999999999999999E-3</v>
      </c>
      <c r="Q19" s="1469">
        <f t="shared" si="41"/>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49">B19/(1+N19)</f>
        <v>317.33359944117353</v>
      </c>
      <c r="C20" s="1473">
        <f t="shared" si="49"/>
        <v>266.90568668459315</v>
      </c>
      <c r="D20" s="1473">
        <f t="shared" si="44"/>
        <v>266.90568668459315</v>
      </c>
      <c r="E20" s="1473">
        <f t="shared" ref="E20:F22" si="50">E19/(1+P19)</f>
        <v>436.47622852576905</v>
      </c>
      <c r="F20" s="1473">
        <f t="shared" si="50"/>
        <v>234.90930716622066</v>
      </c>
      <c r="G20" s="3338"/>
      <c r="H20" s="1488">
        <v>3</v>
      </c>
      <c r="I20" s="1488">
        <v>0.83</v>
      </c>
      <c r="J20" s="1488">
        <v>1.47</v>
      </c>
      <c r="K20" s="1488">
        <v>0.65</v>
      </c>
      <c r="L20" s="1489">
        <v>0.72</v>
      </c>
      <c r="N20" s="1468">
        <f t="shared" si="46"/>
        <v>8.3000000000000001E-3</v>
      </c>
      <c r="O20" s="1469">
        <f t="shared" si="41"/>
        <v>1.47E-2</v>
      </c>
      <c r="P20" s="1469">
        <f t="shared" si="41"/>
        <v>6.5000000000000006E-3</v>
      </c>
      <c r="Q20" s="1469">
        <f t="shared" si="41"/>
        <v>7.1999999999999998E-3</v>
      </c>
      <c r="R20" s="1470"/>
      <c r="S20" s="1468"/>
      <c r="T20" s="1469"/>
      <c r="U20" s="1469"/>
      <c r="V20" s="1469"/>
      <c r="X20" s="1455">
        <f>ROUND(SUMPRODUCT(PRODUCT(1+N20:N$21)),4)</f>
        <v>1.0325</v>
      </c>
      <c r="Y20" s="1455">
        <f>ROUND(SUMPRODUCT(PRODUCT(1+O20:O$21)),4)</f>
        <v>1.0353000000000001</v>
      </c>
      <c r="Z20" s="1455">
        <f t="shared" ref="Z20:Z21" si="51">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49"/>
        <v>314.72141172386546</v>
      </c>
      <c r="C21" s="1473">
        <f t="shared" si="49"/>
        <v>263.03901319069001</v>
      </c>
      <c r="D21" s="1473">
        <f t="shared" si="44"/>
        <v>263.03901319069001</v>
      </c>
      <c r="E21" s="1473">
        <f t="shared" si="50"/>
        <v>433.65745506782821</v>
      </c>
      <c r="F21" s="1473">
        <f t="shared" si="50"/>
        <v>233.23005080045735</v>
      </c>
      <c r="G21" s="3338"/>
      <c r="H21" s="1478">
        <v>2</v>
      </c>
      <c r="I21" s="1478">
        <v>2.4</v>
      </c>
      <c r="J21" s="1478">
        <v>2.0299999999999998</v>
      </c>
      <c r="K21" s="1478">
        <v>2.59</v>
      </c>
      <c r="L21" s="1479">
        <v>1.52</v>
      </c>
      <c r="N21" s="1468">
        <f t="shared" si="46"/>
        <v>2.4E-2</v>
      </c>
      <c r="O21" s="1469">
        <f t="shared" si="41"/>
        <v>2.0299999999999999E-2</v>
      </c>
      <c r="P21" s="1469">
        <f t="shared" si="41"/>
        <v>2.5899999999999999E-2</v>
      </c>
      <c r="Q21" s="1469">
        <f t="shared" si="41"/>
        <v>1.52E-2</v>
      </c>
      <c r="R21" s="1470"/>
      <c r="S21" s="1468"/>
      <c r="T21" s="1469"/>
      <c r="U21" s="1469"/>
      <c r="V21" s="1469"/>
      <c r="X21" s="1455">
        <f>1+N21</f>
        <v>1.024</v>
      </c>
      <c r="Y21" s="1455">
        <f>1+O21</f>
        <v>1.0203</v>
      </c>
      <c r="Z21" s="1455">
        <f t="shared" si="51"/>
        <v>1.0203</v>
      </c>
      <c r="AA21" s="1455">
        <f>1+P21</f>
        <v>1.0259</v>
      </c>
      <c r="AB21" s="1455">
        <f>1+Q21</f>
        <v>1.0152000000000001</v>
      </c>
      <c r="AD21" s="1456">
        <f>ROUND(AVERAGE(I21:I$22)/100,4)</f>
        <v>2.69E-2</v>
      </c>
      <c r="AE21" s="1456">
        <f>ROUND(AVERAGE(J21:J$22)/100,4)</f>
        <v>2.1899999999999999E-2</v>
      </c>
      <c r="AF21" s="1456">
        <f t="shared" ref="AF21" si="52">AE21</f>
        <v>2.1899999999999999E-2</v>
      </c>
      <c r="AG21" s="1456">
        <f>ROUND(AVERAGE(K21:K$22)/100,4)</f>
        <v>2.9399999999999999E-2</v>
      </c>
      <c r="AH21" s="1456">
        <f>ROUND(AVERAGE(L21:L$22)/100,4)</f>
        <v>1.44E-2</v>
      </c>
    </row>
    <row r="22" spans="1:34" s="1494" customFormat="1" ht="13.5" thickBot="1">
      <c r="A22" s="1490" t="s">
        <v>144</v>
      </c>
      <c r="B22" s="1491">
        <f t="shared" si="49"/>
        <v>307.34512863658733</v>
      </c>
      <c r="C22" s="1491">
        <f t="shared" si="49"/>
        <v>257.80556031626975</v>
      </c>
      <c r="D22" s="1491">
        <f t="shared" si="44"/>
        <v>257.80556031626975</v>
      </c>
      <c r="E22" s="1491">
        <f t="shared" si="50"/>
        <v>422.70928459677179</v>
      </c>
      <c r="F22" s="1491">
        <f t="shared" si="50"/>
        <v>229.73803270336617</v>
      </c>
      <c r="G22" s="3339"/>
      <c r="H22" s="1492">
        <v>1</v>
      </c>
      <c r="I22" s="1492">
        <v>2.97</v>
      </c>
      <c r="J22" s="1492">
        <v>2.34</v>
      </c>
      <c r="K22" s="1492">
        <v>3.28</v>
      </c>
      <c r="L22" s="1493">
        <v>1.36</v>
      </c>
      <c r="N22" s="1495">
        <f t="shared" si="46"/>
        <v>2.9700000000000001E-2</v>
      </c>
      <c r="O22" s="1496">
        <f t="shared" si="41"/>
        <v>2.3399999999999997E-2</v>
      </c>
      <c r="P22" s="1496">
        <f t="shared" si="41"/>
        <v>3.2799999999999996E-2</v>
      </c>
      <c r="Q22" s="1496">
        <f t="shared" si="41"/>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2">
        <f>I22/100</f>
        <v>2.9700000000000001E-2</v>
      </c>
      <c r="AE22" s="1722">
        <f>J22/100</f>
        <v>2.3399999999999997E-2</v>
      </c>
      <c r="AF22" s="1722">
        <f>AE22</f>
        <v>2.3399999999999997E-2</v>
      </c>
      <c r="AG22" s="1722">
        <f>K22/100</f>
        <v>3.2799999999999996E-2</v>
      </c>
      <c r="AH22" s="1722">
        <f>L22/100</f>
        <v>1.3600000000000001E-2</v>
      </c>
    </row>
    <row r="23" spans="1:34" ht="13.5" thickBot="1">
      <c r="A23" s="1457" t="s">
        <v>1163</v>
      </c>
      <c r="B23" s="1465">
        <v>299</v>
      </c>
      <c r="C23" s="1465">
        <v>252</v>
      </c>
      <c r="D23" s="1465">
        <f t="shared" si="44"/>
        <v>252</v>
      </c>
      <c r="E23" s="1465">
        <v>409</v>
      </c>
      <c r="F23" s="1466">
        <v>227</v>
      </c>
      <c r="G23" s="3342">
        <v>2013</v>
      </c>
      <c r="H23" s="1502">
        <v>4</v>
      </c>
      <c r="I23" s="1502">
        <v>1.83</v>
      </c>
      <c r="J23" s="1502">
        <v>1.68</v>
      </c>
      <c r="K23" s="1502">
        <v>1.97</v>
      </c>
      <c r="L23" s="1503">
        <v>0.87</v>
      </c>
      <c r="N23" s="1480">
        <f t="shared" si="46"/>
        <v>1.83E-2</v>
      </c>
      <c r="O23" s="1481">
        <f t="shared" si="41"/>
        <v>1.6799999999999999E-2</v>
      </c>
      <c r="P23" s="1481">
        <f t="shared" si="41"/>
        <v>1.9699999999999999E-2</v>
      </c>
      <c r="Q23" s="1481">
        <f t="shared" si="41"/>
        <v>8.6999999999999994E-3</v>
      </c>
      <c r="R23" s="1470"/>
      <c r="S23" s="1471"/>
      <c r="T23" s="1472"/>
      <c r="U23" s="1472"/>
      <c r="V23" s="1472"/>
      <c r="X23" s="1472"/>
      <c r="Y23" s="1472"/>
      <c r="Z23" s="1472"/>
    </row>
    <row r="24" spans="1:34">
      <c r="A24" s="1457" t="s">
        <v>1164</v>
      </c>
      <c r="B24" s="1473">
        <f t="shared" ref="B24:C26" si="53">B23/(1+N23)</f>
        <v>293.62663262299913</v>
      </c>
      <c r="C24" s="1473">
        <f t="shared" si="53"/>
        <v>247.83634933123525</v>
      </c>
      <c r="D24" s="1473">
        <f t="shared" si="44"/>
        <v>247.83634933123525</v>
      </c>
      <c r="E24" s="1473">
        <f t="shared" ref="E24:F26" si="54">E23/(1+P23)</f>
        <v>401.09836226341076</v>
      </c>
      <c r="F24" s="1473">
        <f t="shared" si="54"/>
        <v>225.04213343908003</v>
      </c>
      <c r="G24" s="3343"/>
      <c r="H24" s="1483">
        <v>3</v>
      </c>
      <c r="I24" s="1483">
        <v>1.86</v>
      </c>
      <c r="J24" s="1483">
        <v>1.72</v>
      </c>
      <c r="K24" s="1483">
        <v>1.98</v>
      </c>
      <c r="L24" s="1484">
        <v>0.88</v>
      </c>
      <c r="N24" s="1468">
        <f t="shared" si="46"/>
        <v>1.8600000000000002E-2</v>
      </c>
      <c r="O24" s="1485">
        <f t="shared" si="41"/>
        <v>1.72E-2</v>
      </c>
      <c r="P24" s="1485">
        <f t="shared" si="41"/>
        <v>1.9799999999999998E-2</v>
      </c>
      <c r="Q24" s="1485">
        <f t="shared" si="41"/>
        <v>8.8000000000000005E-3</v>
      </c>
      <c r="R24" s="1470"/>
      <c r="S24" s="1468"/>
      <c r="T24" s="1469"/>
      <c r="U24" s="1469"/>
      <c r="V24" s="1469"/>
    </row>
    <row r="25" spans="1:34">
      <c r="A25" s="1457" t="s">
        <v>1165</v>
      </c>
      <c r="B25" s="1473">
        <f t="shared" si="53"/>
        <v>288.2649053828776</v>
      </c>
      <c r="C25" s="1473">
        <f t="shared" si="53"/>
        <v>243.64564425013293</v>
      </c>
      <c r="D25" s="1473">
        <f t="shared" si="44"/>
        <v>243.64564425013293</v>
      </c>
      <c r="E25" s="1473">
        <f t="shared" si="54"/>
        <v>393.31080825986544</v>
      </c>
      <c r="F25" s="1473">
        <f t="shared" si="54"/>
        <v>223.07903790551154</v>
      </c>
      <c r="G25" s="3343"/>
      <c r="H25" s="1461">
        <v>2</v>
      </c>
      <c r="I25" s="1461">
        <v>2.04</v>
      </c>
      <c r="J25" s="1461">
        <v>2.33</v>
      </c>
      <c r="K25" s="1461">
        <v>2.0699999999999998</v>
      </c>
      <c r="L25" s="1475">
        <v>0.69</v>
      </c>
      <c r="N25" s="1468">
        <f t="shared" si="46"/>
        <v>2.0400000000000001E-2</v>
      </c>
      <c r="O25" s="1485">
        <f t="shared" si="41"/>
        <v>2.3300000000000001E-2</v>
      </c>
      <c r="P25" s="1485">
        <f t="shared" si="41"/>
        <v>2.07E-2</v>
      </c>
      <c r="Q25" s="1485">
        <f t="shared" si="41"/>
        <v>6.8999999999999999E-3</v>
      </c>
      <c r="R25" s="1470"/>
      <c r="S25" s="1468"/>
      <c r="T25" s="1469"/>
      <c r="U25" s="1469"/>
      <c r="V25" s="1469"/>
      <c r="X25" s="1504"/>
      <c r="Y25" s="1505"/>
    </row>
    <row r="26" spans="1:34">
      <c r="A26" s="1457" t="s">
        <v>1166</v>
      </c>
      <c r="B26" s="1473">
        <f t="shared" si="53"/>
        <v>282.50186729015837</v>
      </c>
      <c r="C26" s="1473">
        <f t="shared" si="53"/>
        <v>238.09796174155468</v>
      </c>
      <c r="D26" s="1473">
        <f t="shared" si="44"/>
        <v>238.09796174155468</v>
      </c>
      <c r="E26" s="1473">
        <f t="shared" si="54"/>
        <v>385.33438646014054</v>
      </c>
      <c r="F26" s="1473">
        <f t="shared" si="54"/>
        <v>221.55034055567739</v>
      </c>
      <c r="G26" s="3344"/>
      <c r="H26" s="1460">
        <v>1</v>
      </c>
      <c r="I26" s="1460">
        <v>1.67</v>
      </c>
      <c r="J26" s="1460">
        <v>1.31</v>
      </c>
      <c r="K26" s="1460">
        <v>1.85</v>
      </c>
      <c r="L26" s="1474">
        <v>0.96</v>
      </c>
      <c r="N26" s="1476">
        <f t="shared" si="46"/>
        <v>1.67E-2</v>
      </c>
      <c r="O26" s="1477">
        <f t="shared" si="46"/>
        <v>1.3100000000000001E-2</v>
      </c>
      <c r="P26" s="1477">
        <f t="shared" si="46"/>
        <v>1.8500000000000003E-2</v>
      </c>
      <c r="Q26" s="1477">
        <f t="shared" si="46"/>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4"/>
        <v>234</v>
      </c>
      <c r="E27" s="1507">
        <v>379</v>
      </c>
      <c r="F27" s="1508">
        <v>220</v>
      </c>
      <c r="G27" s="3337">
        <v>2012</v>
      </c>
      <c r="H27" s="1478">
        <v>4</v>
      </c>
      <c r="I27" s="1478">
        <v>0.91</v>
      </c>
      <c r="J27" s="1478">
        <v>0.68</v>
      </c>
      <c r="K27" s="1478">
        <v>0.98</v>
      </c>
      <c r="L27" s="1479">
        <v>0.9</v>
      </c>
      <c r="N27" s="1468">
        <f t="shared" si="46"/>
        <v>9.1000000000000004E-3</v>
      </c>
      <c r="O27" s="1469">
        <f t="shared" si="46"/>
        <v>6.8000000000000005E-3</v>
      </c>
      <c r="P27" s="1469">
        <f t="shared" si="46"/>
        <v>9.7999999999999997E-3</v>
      </c>
      <c r="Q27" s="1469">
        <f t="shared" si="46"/>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4"/>
        <v>232.41954707985698</v>
      </c>
      <c r="E28" s="1473">
        <f t="shared" ref="E28:F30" si="55">E27/(1+P27)</f>
        <v>375.32184591008121</v>
      </c>
      <c r="F28" s="1473">
        <f t="shared" si="55"/>
        <v>218.03766105054513</v>
      </c>
      <c r="G28" s="3338"/>
      <c r="H28" s="1483">
        <v>3</v>
      </c>
      <c r="I28" s="1483">
        <v>0.09</v>
      </c>
      <c r="J28" s="1483">
        <v>0.28999999999999998</v>
      </c>
      <c r="K28" s="1483">
        <v>-0.01</v>
      </c>
      <c r="L28" s="1484">
        <v>0.57999999999999996</v>
      </c>
      <c r="N28" s="1468">
        <f t="shared" si="46"/>
        <v>8.9999999999999998E-4</v>
      </c>
      <c r="O28" s="1469">
        <f t="shared" si="46"/>
        <v>2.8999999999999998E-3</v>
      </c>
      <c r="P28" s="1469">
        <f t="shared" si="46"/>
        <v>-1E-4</v>
      </c>
      <c r="Q28" s="1469">
        <f t="shared" si="46"/>
        <v>5.7999999999999996E-3</v>
      </c>
      <c r="R28" s="1470"/>
      <c r="S28" s="1468"/>
      <c r="T28" s="1469"/>
      <c r="U28" s="1469"/>
      <c r="V28" s="1469"/>
    </row>
    <row r="29" spans="1:34">
      <c r="A29" s="1457" t="s">
        <v>1169</v>
      </c>
      <c r="B29" s="1473">
        <f>B28/(1+N28)</f>
        <v>275.24529281292263</v>
      </c>
      <c r="C29" s="1473">
        <f>C28/(1+O28)</f>
        <v>231.74747938962707</v>
      </c>
      <c r="D29" s="1473">
        <f t="shared" si="44"/>
        <v>231.74747938962707</v>
      </c>
      <c r="E29" s="1473">
        <f t="shared" si="55"/>
        <v>375.35938184826603</v>
      </c>
      <c r="F29" s="1473">
        <f t="shared" si="55"/>
        <v>216.78033510692495</v>
      </c>
      <c r="G29" s="3338"/>
      <c r="H29" s="1461">
        <v>2</v>
      </c>
      <c r="I29" s="1461">
        <v>0.02</v>
      </c>
      <c r="J29" s="1461">
        <v>0.12</v>
      </c>
      <c r="K29" s="1461">
        <v>-0.08</v>
      </c>
      <c r="L29" s="1475">
        <v>1.24</v>
      </c>
      <c r="N29" s="1468">
        <f t="shared" si="46"/>
        <v>2.0000000000000001E-4</v>
      </c>
      <c r="O29" s="1469">
        <f t="shared" si="46"/>
        <v>1.1999999999999999E-3</v>
      </c>
      <c r="P29" s="1469">
        <f t="shared" si="46"/>
        <v>-8.0000000000000004E-4</v>
      </c>
      <c r="Q29" s="1469">
        <f t="shared" si="46"/>
        <v>1.24E-2</v>
      </c>
      <c r="R29" s="1470"/>
      <c r="S29" s="1468"/>
      <c r="T29" s="1469"/>
      <c r="U29" s="1469"/>
      <c r="V29" s="1469"/>
    </row>
    <row r="30" spans="1:34" ht="13.5" thickBot="1">
      <c r="A30" s="1457" t="s">
        <v>1170</v>
      </c>
      <c r="B30" s="1473">
        <f>B29/(1+N29)</f>
        <v>275.19025476197027</v>
      </c>
      <c r="C30" s="1509">
        <v>232</v>
      </c>
      <c r="D30" s="1509">
        <f t="shared" si="44"/>
        <v>232</v>
      </c>
      <c r="E30" s="1473">
        <f t="shared" si="55"/>
        <v>375.65990977608692</v>
      </c>
      <c r="F30" s="1473">
        <f t="shared" si="55"/>
        <v>214.12518283971252</v>
      </c>
      <c r="G30" s="3339"/>
      <c r="H30" s="1460">
        <v>1</v>
      </c>
      <c r="I30" s="1460">
        <v>0.02</v>
      </c>
      <c r="J30" s="1460">
        <v>0.13</v>
      </c>
      <c r="K30" s="1460">
        <v>-0.04</v>
      </c>
      <c r="L30" s="1474">
        <v>0.46</v>
      </c>
      <c r="N30" s="1468">
        <f t="shared" si="46"/>
        <v>2.0000000000000001E-4</v>
      </c>
      <c r="O30" s="1469">
        <f t="shared" si="46"/>
        <v>1.2999999999999999E-3</v>
      </c>
      <c r="P30" s="1469">
        <f t="shared" si="46"/>
        <v>-4.0000000000000002E-4</v>
      </c>
      <c r="Q30" s="1469">
        <f t="shared" si="46"/>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4"/>
        <v>232</v>
      </c>
      <c r="E31" s="1465">
        <v>376</v>
      </c>
      <c r="F31" s="1466">
        <v>213</v>
      </c>
      <c r="G31" s="3337">
        <v>2011</v>
      </c>
      <c r="H31" s="1478">
        <v>4</v>
      </c>
      <c r="I31" s="1478">
        <v>-0.2</v>
      </c>
      <c r="J31" s="1478">
        <v>0.04</v>
      </c>
      <c r="K31" s="1478">
        <v>-0.34</v>
      </c>
      <c r="L31" s="1479">
        <v>0.46</v>
      </c>
      <c r="N31" s="1480">
        <f t="shared" si="46"/>
        <v>-2E-3</v>
      </c>
      <c r="O31" s="1481">
        <f t="shared" si="46"/>
        <v>4.0000000000000002E-4</v>
      </c>
      <c r="P31" s="1481">
        <f t="shared" si="46"/>
        <v>-3.4000000000000002E-3</v>
      </c>
      <c r="Q31" s="1481">
        <f t="shared" si="46"/>
        <v>4.5999999999999999E-3</v>
      </c>
      <c r="R31" s="1470"/>
      <c r="S31" s="1471"/>
      <c r="T31" s="1472"/>
      <c r="U31" s="1472"/>
      <c r="V31" s="1472"/>
      <c r="X31" s="1472"/>
      <c r="Y31" s="1472"/>
      <c r="Z31" s="1472"/>
    </row>
    <row r="32" spans="1:34">
      <c r="A32" s="1457" t="s">
        <v>1172</v>
      </c>
      <c r="B32" s="1473">
        <f t="shared" ref="B32:C34" si="56">B31/(1+N31)</f>
        <v>275.55110220440883</v>
      </c>
      <c r="C32" s="1473">
        <f t="shared" si="56"/>
        <v>231.90723710515795</v>
      </c>
      <c r="D32" s="1473">
        <f t="shared" si="44"/>
        <v>231.90723710515795</v>
      </c>
      <c r="E32" s="1473">
        <f t="shared" ref="E32:F34" si="57">E31/(1+P31)</f>
        <v>377.28276138872161</v>
      </c>
      <c r="F32" s="1473">
        <f t="shared" si="57"/>
        <v>212.02468644236512</v>
      </c>
      <c r="G32" s="3338">
        <v>2011</v>
      </c>
      <c r="H32" s="1483">
        <v>3</v>
      </c>
      <c r="I32" s="1483">
        <v>0.13</v>
      </c>
      <c r="J32" s="1483">
        <v>0.75</v>
      </c>
      <c r="K32" s="1483">
        <v>-0.08</v>
      </c>
      <c r="L32" s="1484">
        <v>0.53</v>
      </c>
      <c r="N32" s="1468">
        <f t="shared" si="46"/>
        <v>1.2999999999999999E-3</v>
      </c>
      <c r="O32" s="1485">
        <f t="shared" si="46"/>
        <v>7.4999999999999997E-3</v>
      </c>
      <c r="P32" s="1485">
        <f t="shared" si="46"/>
        <v>-8.0000000000000004E-4</v>
      </c>
      <c r="Q32" s="1485">
        <f t="shared" si="46"/>
        <v>5.3E-3</v>
      </c>
      <c r="R32" s="1470"/>
      <c r="S32" s="1468"/>
      <c r="T32" s="1469"/>
      <c r="U32" s="1469"/>
      <c r="V32" s="1469"/>
    </row>
    <row r="33" spans="1:26">
      <c r="A33" s="1457" t="s">
        <v>1173</v>
      </c>
      <c r="B33" s="1473">
        <f t="shared" si="56"/>
        <v>275.19335084830601</v>
      </c>
      <c r="C33" s="1473">
        <f t="shared" si="56"/>
        <v>230.18088050139744</v>
      </c>
      <c r="D33" s="1473">
        <f t="shared" si="44"/>
        <v>230.18088050139744</v>
      </c>
      <c r="E33" s="1473">
        <f t="shared" si="57"/>
        <v>377.58482925212331</v>
      </c>
      <c r="F33" s="1473">
        <f t="shared" si="57"/>
        <v>210.90687997847917</v>
      </c>
      <c r="G33" s="3338">
        <v>2011</v>
      </c>
      <c r="H33" s="1461">
        <v>2</v>
      </c>
      <c r="I33" s="1461">
        <v>-0.4</v>
      </c>
      <c r="J33" s="1461">
        <v>0.17</v>
      </c>
      <c r="K33" s="1461">
        <v>-0.57999999999999996</v>
      </c>
      <c r="L33" s="1475">
        <v>-0.2</v>
      </c>
      <c r="N33" s="1468">
        <f t="shared" si="46"/>
        <v>-4.0000000000000001E-3</v>
      </c>
      <c r="O33" s="1485">
        <f t="shared" si="46"/>
        <v>1.7000000000000001E-3</v>
      </c>
      <c r="P33" s="1485">
        <f t="shared" si="46"/>
        <v>-5.7999999999999996E-3</v>
      </c>
      <c r="Q33" s="1485">
        <f t="shared" si="46"/>
        <v>-2E-3</v>
      </c>
      <c r="R33" s="1470"/>
      <c r="S33" s="1468"/>
      <c r="T33" s="1469"/>
      <c r="U33" s="1469"/>
      <c r="V33" s="1469"/>
    </row>
    <row r="34" spans="1:26" ht="13.5" thickBot="1">
      <c r="A34" s="1457" t="s">
        <v>1174</v>
      </c>
      <c r="B34" s="1473">
        <f t="shared" si="56"/>
        <v>276.29854502841971</v>
      </c>
      <c r="C34" s="1473">
        <f t="shared" si="56"/>
        <v>229.79023709833027</v>
      </c>
      <c r="D34" s="1473">
        <f t="shared" si="44"/>
        <v>229.79023709833027</v>
      </c>
      <c r="E34" s="1473">
        <f t="shared" si="57"/>
        <v>379.78759731655936</v>
      </c>
      <c r="F34" s="1473">
        <f t="shared" si="57"/>
        <v>211.32953905659235</v>
      </c>
      <c r="G34" s="3339">
        <v>2011</v>
      </c>
      <c r="H34" s="1460">
        <v>1</v>
      </c>
      <c r="I34" s="1460">
        <v>2.65</v>
      </c>
      <c r="J34" s="1460">
        <v>3.76</v>
      </c>
      <c r="K34" s="1460">
        <v>1.89</v>
      </c>
      <c r="L34" s="1474">
        <v>7.95</v>
      </c>
      <c r="N34" s="1476">
        <f t="shared" si="46"/>
        <v>2.6499999999999999E-2</v>
      </c>
      <c r="O34" s="1477">
        <f t="shared" si="46"/>
        <v>3.7599999999999995E-2</v>
      </c>
      <c r="P34" s="1477">
        <f t="shared" si="46"/>
        <v>1.89E-2</v>
      </c>
      <c r="Q34" s="1477">
        <f t="shared" si="46"/>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4"/>
        <v>221</v>
      </c>
      <c r="E35" s="1465">
        <v>373</v>
      </c>
      <c r="F35" s="1466">
        <v>196</v>
      </c>
      <c r="G35" s="3337">
        <v>2010</v>
      </c>
      <c r="H35" s="1478">
        <v>4</v>
      </c>
      <c r="I35" s="1478">
        <v>5.72</v>
      </c>
      <c r="J35" s="1478">
        <v>6.57</v>
      </c>
      <c r="K35" s="1478">
        <v>5.72</v>
      </c>
      <c r="L35" s="1479">
        <v>2.72</v>
      </c>
      <c r="N35" s="1468">
        <f t="shared" si="46"/>
        <v>5.7200000000000001E-2</v>
      </c>
      <c r="O35" s="1469">
        <f t="shared" si="46"/>
        <v>6.5700000000000008E-2</v>
      </c>
      <c r="P35" s="1469">
        <f t="shared" si="46"/>
        <v>5.7200000000000001E-2</v>
      </c>
      <c r="Q35" s="1469">
        <f t="shared" si="46"/>
        <v>2.7200000000000002E-2</v>
      </c>
      <c r="R35" s="1470"/>
      <c r="S35" s="1471"/>
      <c r="T35" s="1472"/>
      <c r="U35" s="1472"/>
      <c r="V35" s="1472"/>
      <c r="X35" s="1472"/>
      <c r="Y35" s="1472"/>
      <c r="Z35" s="1472"/>
    </row>
    <row r="36" spans="1:26">
      <c r="A36" s="1457" t="s">
        <v>1176</v>
      </c>
      <c r="B36" s="1473">
        <f t="shared" ref="B36:C38" si="58">B35/(1+N35)</f>
        <v>254.44570563753314</v>
      </c>
      <c r="C36" s="1473">
        <f t="shared" si="58"/>
        <v>207.37543398705074</v>
      </c>
      <c r="D36" s="1473">
        <f t="shared" si="44"/>
        <v>207.37543398705074</v>
      </c>
      <c r="E36" s="1473">
        <f t="shared" ref="E36:F38" si="59">E35/(1+P35)</f>
        <v>352.81876655315932</v>
      </c>
      <c r="F36" s="1473">
        <f t="shared" si="59"/>
        <v>190.809968847352</v>
      </c>
      <c r="G36" s="3338">
        <v>2010</v>
      </c>
      <c r="H36" s="1483">
        <v>3</v>
      </c>
      <c r="I36" s="1483">
        <v>4.7300000000000004</v>
      </c>
      <c r="J36" s="1483">
        <v>3.9</v>
      </c>
      <c r="K36" s="1483">
        <v>5.03</v>
      </c>
      <c r="L36" s="1484">
        <v>4.21</v>
      </c>
      <c r="N36" s="1468">
        <f t="shared" si="46"/>
        <v>4.7300000000000002E-2</v>
      </c>
      <c r="O36" s="1469">
        <f t="shared" si="46"/>
        <v>3.9E-2</v>
      </c>
      <c r="P36" s="1469">
        <f t="shared" si="46"/>
        <v>5.0300000000000004E-2</v>
      </c>
      <c r="Q36" s="1469">
        <f t="shared" si="46"/>
        <v>4.2099999999999999E-2</v>
      </c>
      <c r="R36" s="1470"/>
      <c r="S36" s="1468"/>
      <c r="T36" s="1469"/>
      <c r="U36" s="1469"/>
      <c r="V36" s="1469"/>
    </row>
    <row r="37" spans="1:26">
      <c r="A37" s="1457" t="s">
        <v>1177</v>
      </c>
      <c r="B37" s="1473">
        <f t="shared" si="58"/>
        <v>242.95398227588385</v>
      </c>
      <c r="C37" s="1473">
        <f t="shared" si="58"/>
        <v>199.59137053614126</v>
      </c>
      <c r="D37" s="1473">
        <f t="shared" si="44"/>
        <v>199.59137053614126</v>
      </c>
      <c r="E37" s="1473">
        <f t="shared" si="59"/>
        <v>335.92189522342125</v>
      </c>
      <c r="F37" s="1473">
        <f t="shared" si="59"/>
        <v>183.10139991109489</v>
      </c>
      <c r="G37" s="3338">
        <v>2010</v>
      </c>
      <c r="H37" s="1461">
        <v>2</v>
      </c>
      <c r="I37" s="1461">
        <v>4.6900000000000004</v>
      </c>
      <c r="J37" s="1461">
        <v>3.55</v>
      </c>
      <c r="K37" s="1461">
        <v>5.07</v>
      </c>
      <c r="L37" s="1475">
        <v>4.2300000000000004</v>
      </c>
      <c r="N37" s="1468">
        <f t="shared" si="46"/>
        <v>4.6900000000000004E-2</v>
      </c>
      <c r="O37" s="1469">
        <f t="shared" si="46"/>
        <v>3.5499999999999997E-2</v>
      </c>
      <c r="P37" s="1469">
        <f t="shared" si="46"/>
        <v>5.0700000000000002E-2</v>
      </c>
      <c r="Q37" s="1469">
        <f t="shared" si="46"/>
        <v>4.2300000000000004E-2</v>
      </c>
      <c r="R37" s="1470"/>
      <c r="S37" s="1468"/>
      <c r="T37" s="1469"/>
      <c r="U37" s="1469"/>
      <c r="V37" s="1469"/>
    </row>
    <row r="38" spans="1:26" ht="13.5" thickBot="1">
      <c r="A38" s="1457" t="s">
        <v>1178</v>
      </c>
      <c r="B38" s="1473">
        <f t="shared" si="58"/>
        <v>232.06990378821649</v>
      </c>
      <c r="C38" s="1473">
        <f t="shared" si="58"/>
        <v>192.74878854286936</v>
      </c>
      <c r="D38" s="1473">
        <f t="shared" si="44"/>
        <v>192.74878854286936</v>
      </c>
      <c r="E38" s="1473">
        <f t="shared" si="59"/>
        <v>319.71247284992984</v>
      </c>
      <c r="F38" s="1473">
        <f t="shared" si="59"/>
        <v>175.67053622862409</v>
      </c>
      <c r="G38" s="3339">
        <v>2010</v>
      </c>
      <c r="H38" s="1460">
        <v>1</v>
      </c>
      <c r="I38" s="1460">
        <v>5.4</v>
      </c>
      <c r="J38" s="1460">
        <v>3.2</v>
      </c>
      <c r="K38" s="1460">
        <v>6.16</v>
      </c>
      <c r="L38" s="1474">
        <v>4.51</v>
      </c>
      <c r="N38" s="1468">
        <f t="shared" si="46"/>
        <v>5.4000000000000006E-2</v>
      </c>
      <c r="O38" s="1469">
        <f t="shared" si="46"/>
        <v>3.2000000000000001E-2</v>
      </c>
      <c r="P38" s="1469">
        <f t="shared" si="46"/>
        <v>6.1600000000000002E-2</v>
      </c>
      <c r="Q38" s="1469">
        <f t="shared" si="46"/>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4"/>
        <v>187</v>
      </c>
      <c r="E39" s="1465">
        <v>301</v>
      </c>
      <c r="F39" s="1466">
        <v>168</v>
      </c>
      <c r="G39" s="3337">
        <v>2009</v>
      </c>
      <c r="H39" s="1478">
        <v>4</v>
      </c>
      <c r="I39" s="1478">
        <v>2.2999999999999998</v>
      </c>
      <c r="J39" s="1478">
        <v>1.04</v>
      </c>
      <c r="K39" s="1478">
        <v>2.84</v>
      </c>
      <c r="L39" s="1479">
        <v>0.67</v>
      </c>
      <c r="N39" s="1480">
        <f t="shared" si="46"/>
        <v>2.3E-2</v>
      </c>
      <c r="O39" s="1481">
        <f t="shared" si="46"/>
        <v>1.04E-2</v>
      </c>
      <c r="P39" s="1481">
        <f t="shared" si="46"/>
        <v>2.8399999999999998E-2</v>
      </c>
      <c r="Q39" s="1481">
        <f t="shared" si="46"/>
        <v>6.7000000000000002E-3</v>
      </c>
      <c r="R39" s="1470"/>
      <c r="S39" s="1471"/>
      <c r="T39" s="1472"/>
      <c r="U39" s="1472"/>
      <c r="V39" s="1472"/>
      <c r="X39" s="1472"/>
      <c r="Y39" s="1472"/>
      <c r="Z39" s="1472"/>
    </row>
    <row r="40" spans="1:26">
      <c r="A40" s="1457" t="s">
        <v>1180</v>
      </c>
      <c r="B40" s="1473">
        <f t="shared" ref="B40:C42" si="60">B39/(1+N39)</f>
        <v>215.05376344086022</v>
      </c>
      <c r="C40" s="1473">
        <f t="shared" si="60"/>
        <v>185.0752177355503</v>
      </c>
      <c r="D40" s="1473">
        <f t="shared" si="44"/>
        <v>185.0752177355503</v>
      </c>
      <c r="E40" s="1473">
        <f t="shared" ref="E40:F42" si="61">E39/(1+P39)</f>
        <v>292.68767016725008</v>
      </c>
      <c r="F40" s="1473">
        <f t="shared" si="61"/>
        <v>166.88189132810174</v>
      </c>
      <c r="G40" s="3338">
        <v>2009</v>
      </c>
      <c r="H40" s="1483">
        <v>3</v>
      </c>
      <c r="I40" s="1483">
        <v>2.1</v>
      </c>
      <c r="J40" s="1483">
        <v>1.86</v>
      </c>
      <c r="K40" s="1483">
        <v>2.29</v>
      </c>
      <c r="L40" s="1484">
        <v>0.85</v>
      </c>
      <c r="N40" s="1468">
        <f t="shared" si="46"/>
        <v>2.1000000000000001E-2</v>
      </c>
      <c r="O40" s="1485">
        <f t="shared" si="46"/>
        <v>1.8600000000000002E-2</v>
      </c>
      <c r="P40" s="1485">
        <f t="shared" si="46"/>
        <v>2.29E-2</v>
      </c>
      <c r="Q40" s="1485">
        <f t="shared" si="46"/>
        <v>8.5000000000000006E-3</v>
      </c>
      <c r="R40" s="1470"/>
      <c r="S40" s="1468"/>
      <c r="T40" s="1469"/>
      <c r="U40" s="1469"/>
      <c r="V40" s="1469"/>
    </row>
    <row r="41" spans="1:26">
      <c r="A41" s="1457" t="s">
        <v>1181</v>
      </c>
      <c r="B41" s="1473">
        <f t="shared" si="60"/>
        <v>210.630522469011</v>
      </c>
      <c r="C41" s="1473">
        <f t="shared" si="60"/>
        <v>181.69567812247232</v>
      </c>
      <c r="D41" s="1473">
        <f t="shared" si="44"/>
        <v>181.69567812247232</v>
      </c>
      <c r="E41" s="1473">
        <f t="shared" si="61"/>
        <v>286.13517466736738</v>
      </c>
      <c r="F41" s="1473">
        <f t="shared" si="61"/>
        <v>165.47535084591149</v>
      </c>
      <c r="G41" s="3338">
        <v>2009</v>
      </c>
      <c r="H41" s="1461">
        <v>2</v>
      </c>
      <c r="I41" s="1461">
        <v>0.86</v>
      </c>
      <c r="J41" s="1461">
        <v>-1.1299999999999999</v>
      </c>
      <c r="K41" s="1461">
        <v>1.79</v>
      </c>
      <c r="L41" s="1475">
        <v>-2.0699999999999998</v>
      </c>
      <c r="N41" s="1468">
        <f t="shared" si="46"/>
        <v>8.6E-3</v>
      </c>
      <c r="O41" s="1485">
        <f t="shared" si="46"/>
        <v>-1.1299999999999999E-2</v>
      </c>
      <c r="P41" s="1485">
        <f t="shared" si="46"/>
        <v>1.7899999999999999E-2</v>
      </c>
      <c r="Q41" s="1485">
        <f t="shared" si="46"/>
        <v>-2.07E-2</v>
      </c>
      <c r="R41" s="1470"/>
      <c r="S41" s="1468"/>
      <c r="T41" s="1469"/>
      <c r="U41" s="1469"/>
      <c r="V41" s="1469"/>
    </row>
    <row r="42" spans="1:26">
      <c r="A42" s="1457" t="s">
        <v>1182</v>
      </c>
      <c r="B42" s="1473">
        <f t="shared" si="60"/>
        <v>208.83454537875372</v>
      </c>
      <c r="C42" s="1473">
        <f t="shared" si="60"/>
        <v>183.77230517090351</v>
      </c>
      <c r="D42" s="1473">
        <f t="shared" si="44"/>
        <v>183.77230517090351</v>
      </c>
      <c r="E42" s="1473">
        <f t="shared" si="61"/>
        <v>281.10342338870947</v>
      </c>
      <c r="F42" s="1473">
        <f t="shared" si="61"/>
        <v>168.97309388942256</v>
      </c>
      <c r="G42" s="3339">
        <v>2009</v>
      </c>
      <c r="H42" s="1460">
        <v>1</v>
      </c>
      <c r="I42" s="1460">
        <v>-2.64</v>
      </c>
      <c r="J42" s="1460">
        <v>-2.5299999999999998</v>
      </c>
      <c r="K42" s="1460">
        <v>-3.02</v>
      </c>
      <c r="L42" s="1474">
        <v>1.52</v>
      </c>
      <c r="N42" s="1476">
        <f t="shared" si="46"/>
        <v>-2.64E-2</v>
      </c>
      <c r="O42" s="1477">
        <f t="shared" si="46"/>
        <v>-2.53E-2</v>
      </c>
      <c r="P42" s="1477">
        <f t="shared" si="46"/>
        <v>-3.0200000000000001E-2</v>
      </c>
      <c r="Q42" s="1477">
        <f t="shared" si="46"/>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4"/>
        <v>188</v>
      </c>
      <c r="E43" s="1507">
        <v>289</v>
      </c>
      <c r="F43" s="1508">
        <v>166</v>
      </c>
      <c r="G43" s="3337">
        <v>2008</v>
      </c>
      <c r="H43" s="1478">
        <v>4</v>
      </c>
      <c r="I43" s="1478">
        <v>1.73</v>
      </c>
      <c r="J43" s="1478">
        <v>0.03</v>
      </c>
      <c r="K43" s="1478">
        <v>2.59</v>
      </c>
      <c r="L43" s="1479">
        <v>-1.66</v>
      </c>
      <c r="N43" s="1468">
        <f t="shared" si="46"/>
        <v>1.7299999999999999E-2</v>
      </c>
      <c r="O43" s="1469">
        <f t="shared" si="46"/>
        <v>2.9999999999999997E-4</v>
      </c>
      <c r="P43" s="1469">
        <f t="shared" si="46"/>
        <v>2.5899999999999999E-2</v>
      </c>
      <c r="Q43" s="1469">
        <f t="shared" si="46"/>
        <v>-1.66E-2</v>
      </c>
      <c r="R43" s="1470"/>
      <c r="S43" s="1471"/>
      <c r="T43" s="1472"/>
      <c r="U43" s="1472"/>
      <c r="V43" s="1472"/>
      <c r="X43" s="1472"/>
      <c r="Y43" s="1472"/>
      <c r="Z43" s="1472"/>
    </row>
    <row r="44" spans="1:26">
      <c r="A44" s="1457" t="s">
        <v>1184</v>
      </c>
      <c r="B44" s="1473">
        <f t="shared" ref="B44:C46" si="62">B43/(1+N43)</f>
        <v>210.36075887152265</v>
      </c>
      <c r="C44" s="1473">
        <f t="shared" si="62"/>
        <v>187.94361691492554</v>
      </c>
      <c r="D44" s="1473">
        <f t="shared" si="44"/>
        <v>187.94361691492554</v>
      </c>
      <c r="E44" s="1473">
        <f t="shared" ref="E44:F46" si="63">E43/(1+P43)</f>
        <v>281.70386977288234</v>
      </c>
      <c r="F44" s="1473">
        <f t="shared" si="63"/>
        <v>168.80211511083994</v>
      </c>
      <c r="G44" s="3338">
        <v>2008</v>
      </c>
      <c r="H44" s="1483">
        <v>3</v>
      </c>
      <c r="I44" s="1483">
        <v>1.96</v>
      </c>
      <c r="J44" s="1483">
        <v>2.36</v>
      </c>
      <c r="K44" s="1483">
        <v>1.82</v>
      </c>
      <c r="L44" s="1484">
        <v>2.2200000000000002</v>
      </c>
      <c r="N44" s="1468">
        <f t="shared" si="46"/>
        <v>1.9599999999999999E-2</v>
      </c>
      <c r="O44" s="1469">
        <f t="shared" si="46"/>
        <v>2.3599999999999999E-2</v>
      </c>
      <c r="P44" s="1469">
        <f t="shared" si="46"/>
        <v>1.8200000000000001E-2</v>
      </c>
      <c r="Q44" s="1469">
        <f t="shared" si="46"/>
        <v>2.2200000000000001E-2</v>
      </c>
      <c r="R44" s="1470"/>
      <c r="S44" s="1468"/>
      <c r="T44" s="1469"/>
      <c r="U44" s="1469"/>
      <c r="V44" s="1469"/>
    </row>
    <row r="45" spans="1:26">
      <c r="A45" s="1457" t="s">
        <v>1185</v>
      </c>
      <c r="B45" s="1473">
        <f t="shared" si="62"/>
        <v>206.31694671589116</v>
      </c>
      <c r="C45" s="1473">
        <f t="shared" si="62"/>
        <v>183.61041121036101</v>
      </c>
      <c r="D45" s="1473">
        <f t="shared" si="44"/>
        <v>183.61041121036101</v>
      </c>
      <c r="E45" s="1473">
        <f t="shared" si="63"/>
        <v>276.66850301795557</v>
      </c>
      <c r="F45" s="1473">
        <f t="shared" si="63"/>
        <v>165.1360938278614</v>
      </c>
      <c r="G45" s="3338">
        <v>2008</v>
      </c>
      <c r="H45" s="1461">
        <v>2</v>
      </c>
      <c r="I45" s="1461">
        <v>4.93</v>
      </c>
      <c r="J45" s="1461">
        <v>7.38</v>
      </c>
      <c r="K45" s="1461">
        <v>3.98</v>
      </c>
      <c r="L45" s="1475">
        <v>6.86</v>
      </c>
      <c r="N45" s="1468">
        <f t="shared" si="46"/>
        <v>4.9299999999999997E-2</v>
      </c>
      <c r="O45" s="1469">
        <f t="shared" si="46"/>
        <v>7.3800000000000004E-2</v>
      </c>
      <c r="P45" s="1469">
        <f t="shared" si="46"/>
        <v>3.9800000000000002E-2</v>
      </c>
      <c r="Q45" s="1469">
        <f t="shared" si="46"/>
        <v>6.8600000000000008E-2</v>
      </c>
      <c r="R45" s="1470"/>
      <c r="S45" s="1468"/>
      <c r="T45" s="1469"/>
      <c r="U45" s="1469"/>
      <c r="V45" s="1469"/>
    </row>
    <row r="46" spans="1:26" s="1513" customFormat="1" ht="13.5" thickBot="1">
      <c r="A46" s="1457" t="s">
        <v>1186</v>
      </c>
      <c r="B46" s="1510">
        <f t="shared" si="62"/>
        <v>196.62341248059772</v>
      </c>
      <c r="C46" s="1510">
        <f t="shared" si="62"/>
        <v>170.99125648199012</v>
      </c>
      <c r="D46" s="1510">
        <f t="shared" si="44"/>
        <v>170.99125648199012</v>
      </c>
      <c r="E46" s="1510">
        <f t="shared" si="63"/>
        <v>266.07857570490052</v>
      </c>
      <c r="F46" s="1510">
        <f t="shared" si="63"/>
        <v>154.53499328828505</v>
      </c>
      <c r="G46" s="3339">
        <v>2008</v>
      </c>
      <c r="H46" s="1511">
        <v>1</v>
      </c>
      <c r="I46" s="1511">
        <v>4.1399999999999997</v>
      </c>
      <c r="J46" s="1511">
        <v>3.45</v>
      </c>
      <c r="K46" s="1511">
        <v>4.95</v>
      </c>
      <c r="L46" s="1512">
        <v>4.82</v>
      </c>
      <c r="N46" s="1514">
        <f t="shared" si="46"/>
        <v>4.1399999999999999E-2</v>
      </c>
      <c r="O46" s="1515">
        <f t="shared" si="46"/>
        <v>3.4500000000000003E-2</v>
      </c>
      <c r="P46" s="1515">
        <f t="shared" si="46"/>
        <v>4.9500000000000002E-2</v>
      </c>
      <c r="Q46" s="1515">
        <f t="shared" si="46"/>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4"/>
        <v>165</v>
      </c>
      <c r="E47" s="1465">
        <v>254</v>
      </c>
      <c r="F47" s="1466">
        <v>148</v>
      </c>
      <c r="G47" s="3337">
        <v>2007</v>
      </c>
      <c r="H47" s="1518">
        <v>4</v>
      </c>
      <c r="I47" s="1518">
        <v>5.51</v>
      </c>
      <c r="J47" s="1518">
        <v>4.8899999999999997</v>
      </c>
      <c r="K47" s="1518">
        <v>6.43</v>
      </c>
      <c r="L47" s="1519">
        <v>5.36</v>
      </c>
      <c r="N47" s="1520">
        <f t="shared" ref="N47:O50" si="64">B47/B48-1</f>
        <v>4.1339718365245526E-2</v>
      </c>
      <c r="O47" s="1521">
        <f t="shared" si="64"/>
        <v>4.0324492593776018E-2</v>
      </c>
      <c r="P47" s="1521">
        <f t="shared" ref="P47:Q50" si="65">E47/E48-1</f>
        <v>6.1625555347990968E-2</v>
      </c>
      <c r="Q47" s="1521">
        <f t="shared" si="65"/>
        <v>4.6757569250590603E-2</v>
      </c>
      <c r="R47" s="1470"/>
      <c r="S47" s="1471"/>
      <c r="T47" s="1472"/>
      <c r="U47" s="1472"/>
      <c r="V47" s="1472"/>
      <c r="X47" s="1472"/>
      <c r="Y47" s="1472"/>
      <c r="Z47" s="1472"/>
    </row>
    <row r="48" spans="1:26">
      <c r="A48" s="1457" t="s">
        <v>1188</v>
      </c>
      <c r="B48" s="1473">
        <f t="shared" ref="B48:C50" si="66">B49+(B$47-B$51)*I48/SUM(I$47:I$50)</f>
        <v>180.5366651097618</v>
      </c>
      <c r="C48" s="1473">
        <f t="shared" si="66"/>
        <v>158.60435967302453</v>
      </c>
      <c r="D48" s="1473">
        <f t="shared" si="44"/>
        <v>158.60435967302453</v>
      </c>
      <c r="E48" s="1473">
        <f t="shared" ref="E48:F50" si="67">E49+(E$47-E$51)*K48/SUM(K$47:K$50)</f>
        <v>239.25573260785075</v>
      </c>
      <c r="F48" s="1473">
        <f t="shared" si="67"/>
        <v>141.38899430740037</v>
      </c>
      <c r="G48" s="3338">
        <v>2007</v>
      </c>
      <c r="H48" s="1483">
        <v>3</v>
      </c>
      <c r="I48" s="1483">
        <v>8.65</v>
      </c>
      <c r="J48" s="1483">
        <v>8.06</v>
      </c>
      <c r="K48" s="1483">
        <v>9.94</v>
      </c>
      <c r="L48" s="1484">
        <v>5.8</v>
      </c>
      <c r="N48" s="1520">
        <f t="shared" si="64"/>
        <v>6.940217571740015E-2</v>
      </c>
      <c r="O48" s="1521">
        <f t="shared" si="64"/>
        <v>7.1197482471153428E-2</v>
      </c>
      <c r="P48" s="1521">
        <f t="shared" si="65"/>
        <v>0.10529679922579582</v>
      </c>
      <c r="Q48" s="1521">
        <f t="shared" si="65"/>
        <v>5.3292245059512133E-2</v>
      </c>
      <c r="R48" s="1470"/>
      <c r="S48" s="1468"/>
      <c r="T48" s="1469"/>
      <c r="U48" s="1469"/>
      <c r="V48" s="1469"/>
      <c r="X48" s="1522"/>
      <c r="Y48" s="1522"/>
      <c r="Z48" s="1522"/>
    </row>
    <row r="49" spans="1:26">
      <c r="A49" s="1457" t="s">
        <v>1189</v>
      </c>
      <c r="B49" s="1473">
        <f t="shared" si="66"/>
        <v>168.82017748715555</v>
      </c>
      <c r="C49" s="1473">
        <f t="shared" si="66"/>
        <v>148.06267029972753</v>
      </c>
      <c r="D49" s="1473">
        <f t="shared" si="44"/>
        <v>148.06267029972753</v>
      </c>
      <c r="E49" s="1473">
        <f t="shared" si="67"/>
        <v>216.46288379323747</v>
      </c>
      <c r="F49" s="1473">
        <f t="shared" si="67"/>
        <v>134.23529411764704</v>
      </c>
      <c r="G49" s="3338">
        <v>2007</v>
      </c>
      <c r="H49" s="1461">
        <v>2</v>
      </c>
      <c r="I49" s="1461">
        <v>3.67</v>
      </c>
      <c r="J49" s="1461">
        <v>2.3199999999999998</v>
      </c>
      <c r="K49" s="1461">
        <v>5.0199999999999996</v>
      </c>
      <c r="L49" s="1475">
        <v>6.71</v>
      </c>
      <c r="N49" s="1520">
        <f t="shared" si="64"/>
        <v>3.0339138143848032E-2</v>
      </c>
      <c r="O49" s="1521">
        <f t="shared" si="64"/>
        <v>2.0922341588790472E-2</v>
      </c>
      <c r="P49" s="1521">
        <f t="shared" si="65"/>
        <v>5.6164796592717003E-2</v>
      </c>
      <c r="Q49" s="1521">
        <f t="shared" si="65"/>
        <v>6.5704536723887319E-2</v>
      </c>
      <c r="R49" s="1470"/>
      <c r="S49" s="1468"/>
      <c r="T49" s="1469"/>
      <c r="U49" s="1469"/>
      <c r="V49" s="1469"/>
      <c r="X49" s="1522"/>
      <c r="Y49" s="1522"/>
      <c r="Z49" s="1522"/>
    </row>
    <row r="50" spans="1:26">
      <c r="A50" s="1457" t="s">
        <v>1190</v>
      </c>
      <c r="B50" s="1473">
        <f t="shared" si="66"/>
        <v>163.84913591779542</v>
      </c>
      <c r="C50" s="1473">
        <f t="shared" si="66"/>
        <v>145.0283378746594</v>
      </c>
      <c r="D50" s="1473">
        <f t="shared" si="44"/>
        <v>145.0283378746594</v>
      </c>
      <c r="E50" s="1473">
        <f t="shared" si="67"/>
        <v>204.95180722891567</v>
      </c>
      <c r="F50" s="1473">
        <f t="shared" si="67"/>
        <v>125.95920303605313</v>
      </c>
      <c r="G50" s="3339">
        <v>2007</v>
      </c>
      <c r="H50" s="1460">
        <v>1</v>
      </c>
      <c r="I50" s="1460">
        <v>3.58</v>
      </c>
      <c r="J50" s="1460">
        <v>3.08</v>
      </c>
      <c r="K50" s="1460">
        <v>4.34</v>
      </c>
      <c r="L50" s="1474">
        <v>3.21</v>
      </c>
      <c r="N50" s="1523">
        <f t="shared" si="64"/>
        <v>3.0497710174814063E-2</v>
      </c>
      <c r="O50" s="1524">
        <f t="shared" si="64"/>
        <v>2.8569772160704998E-2</v>
      </c>
      <c r="P50" s="1524">
        <f t="shared" si="65"/>
        <v>5.1034908866234296E-2</v>
      </c>
      <c r="Q50" s="1524">
        <f t="shared" si="65"/>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4"/>
        <v>141</v>
      </c>
      <c r="E51" s="1486">
        <v>195</v>
      </c>
      <c r="F51" s="1487">
        <v>122</v>
      </c>
      <c r="G51" s="3337">
        <v>2006</v>
      </c>
      <c r="H51" s="1478">
        <v>4</v>
      </c>
      <c r="I51" s="1478">
        <v>3.79</v>
      </c>
      <c r="J51" s="1478">
        <v>2.21</v>
      </c>
      <c r="K51" s="1478">
        <v>5.65</v>
      </c>
      <c r="L51" s="1479">
        <v>5.41</v>
      </c>
      <c r="N51" s="1520">
        <f t="shared" ref="N51:O54" si="68">I51/SUM(I$51:I$54)*(B$51/B$55-1)</f>
        <v>7.245466462748526E-2</v>
      </c>
      <c r="O51" s="1521">
        <f t="shared" si="68"/>
        <v>2.3237230038062766E-2</v>
      </c>
      <c r="P51" s="1521">
        <f t="shared" ref="P51:Q54" si="69">K51/SUM(K$51:K$54)*(E$51/E$55-1)</f>
        <v>0.16146893866323722</v>
      </c>
      <c r="Q51" s="1521">
        <f t="shared" si="69"/>
        <v>5.0755230321793784E-2</v>
      </c>
      <c r="R51" s="1470"/>
      <c r="S51" s="1471"/>
      <c r="T51" s="1472"/>
      <c r="U51" s="1472"/>
      <c r="V51" s="1472"/>
      <c r="X51" s="1522"/>
      <c r="Y51" s="1522"/>
      <c r="Z51" s="1522"/>
    </row>
    <row r="52" spans="1:26">
      <c r="A52" s="1457" t="s">
        <v>1192</v>
      </c>
      <c r="B52" s="1473">
        <f t="shared" ref="B52:C54" si="70">B53+(B$51-B$55)*I52/SUM(I$51:I$54)</f>
        <v>149.00125628140702</v>
      </c>
      <c r="C52" s="1473">
        <f t="shared" si="70"/>
        <v>137.95592286501378</v>
      </c>
      <c r="D52" s="1473">
        <f t="shared" si="44"/>
        <v>137.95592286501378</v>
      </c>
      <c r="E52" s="1473">
        <f t="shared" ref="E52:F54" si="71">E53+(E$51-E$55)*K52/SUM(K$51:K$54)</f>
        <v>169.97231450719823</v>
      </c>
      <c r="F52" s="1473">
        <f t="shared" si="71"/>
        <v>116.21390374331551</v>
      </c>
      <c r="G52" s="3338">
        <v>2006</v>
      </c>
      <c r="H52" s="1483">
        <v>3</v>
      </c>
      <c r="I52" s="1483">
        <v>0.92</v>
      </c>
      <c r="J52" s="1483">
        <v>1.08</v>
      </c>
      <c r="K52" s="1483">
        <v>0.73</v>
      </c>
      <c r="L52" s="1484">
        <v>1.08</v>
      </c>
      <c r="N52" s="1520">
        <f t="shared" si="68"/>
        <v>1.7587939698492462E-2</v>
      </c>
      <c r="O52" s="1521">
        <f t="shared" si="68"/>
        <v>1.1355750425840628E-2</v>
      </c>
      <c r="P52" s="1521">
        <f t="shared" si="69"/>
        <v>2.0862358446754544E-2</v>
      </c>
      <c r="Q52" s="1521">
        <f t="shared" si="69"/>
        <v>1.0132282578103011E-2</v>
      </c>
      <c r="R52" s="1470"/>
      <c r="S52" s="1468"/>
      <c r="T52" s="1469"/>
      <c r="U52" s="1469"/>
      <c r="V52" s="1469"/>
      <c r="X52" s="1522"/>
      <c r="Y52" s="1522"/>
      <c r="Z52" s="1522"/>
    </row>
    <row r="53" spans="1:26">
      <c r="A53" s="1457" t="s">
        <v>1193</v>
      </c>
      <c r="B53" s="1473">
        <f t="shared" si="70"/>
        <v>146.57412060301507</v>
      </c>
      <c r="C53" s="1473">
        <f t="shared" si="70"/>
        <v>136.46831955922866</v>
      </c>
      <c r="D53" s="1473">
        <f t="shared" si="44"/>
        <v>136.46831955922866</v>
      </c>
      <c r="E53" s="1473">
        <f t="shared" si="71"/>
        <v>166.73864894795128</v>
      </c>
      <c r="F53" s="1473">
        <f t="shared" si="71"/>
        <v>115.05882352941177</v>
      </c>
      <c r="G53" s="3338">
        <v>2006</v>
      </c>
      <c r="H53" s="1461">
        <v>2</v>
      </c>
      <c r="I53" s="1461">
        <v>0.96</v>
      </c>
      <c r="J53" s="1461">
        <v>0.25</v>
      </c>
      <c r="K53" s="1461">
        <v>1.9</v>
      </c>
      <c r="L53" s="1475">
        <v>0.95</v>
      </c>
      <c r="N53" s="1520">
        <f t="shared" si="68"/>
        <v>1.8352632728861701E-2</v>
      </c>
      <c r="O53" s="1521">
        <f t="shared" si="68"/>
        <v>2.6286459319075526E-3</v>
      </c>
      <c r="P53" s="1521">
        <f t="shared" si="69"/>
        <v>5.4299289107991269E-2</v>
      </c>
      <c r="Q53" s="1521">
        <f t="shared" si="69"/>
        <v>8.9126559714794995E-3</v>
      </c>
      <c r="R53" s="1470"/>
      <c r="S53" s="1468"/>
      <c r="T53" s="1469"/>
      <c r="U53" s="1469"/>
      <c r="V53" s="1469"/>
      <c r="X53" s="1522"/>
      <c r="Y53" s="1522"/>
      <c r="Z53" s="1522"/>
    </row>
    <row r="54" spans="1:26">
      <c r="A54" s="1457" t="s">
        <v>1194</v>
      </c>
      <c r="B54" s="1473">
        <f t="shared" si="70"/>
        <v>144.04145728643215</v>
      </c>
      <c r="C54" s="1473">
        <f t="shared" si="70"/>
        <v>136.12396694214877</v>
      </c>
      <c r="D54" s="1473">
        <f t="shared" si="44"/>
        <v>136.12396694214877</v>
      </c>
      <c r="E54" s="1473">
        <f t="shared" si="71"/>
        <v>158.32225913621264</v>
      </c>
      <c r="F54" s="1473">
        <f t="shared" si="71"/>
        <v>114.04278074866311</v>
      </c>
      <c r="G54" s="3339">
        <v>2006</v>
      </c>
      <c r="H54" s="1460">
        <v>1</v>
      </c>
      <c r="I54" s="1460">
        <v>2.29</v>
      </c>
      <c r="J54" s="1460">
        <v>3.72</v>
      </c>
      <c r="K54" s="1460">
        <v>0.75</v>
      </c>
      <c r="L54" s="1474">
        <v>0.04</v>
      </c>
      <c r="N54" s="1523">
        <f t="shared" si="68"/>
        <v>4.3778675988638847E-2</v>
      </c>
      <c r="O54" s="1524">
        <f t="shared" si="68"/>
        <v>3.9114251466784385E-2</v>
      </c>
      <c r="P54" s="1524">
        <f t="shared" si="69"/>
        <v>2.1433929911049188E-2</v>
      </c>
      <c r="Q54" s="1524">
        <f t="shared" si="69"/>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4"/>
        <v>131</v>
      </c>
      <c r="E55" s="1486">
        <v>155</v>
      </c>
      <c r="F55" s="1487">
        <v>114</v>
      </c>
      <c r="G55" s="3337">
        <v>2005</v>
      </c>
      <c r="H55" s="1478">
        <v>4</v>
      </c>
      <c r="I55" s="1478">
        <v>3.29</v>
      </c>
      <c r="J55" s="1478">
        <v>1.44</v>
      </c>
      <c r="K55" s="1478">
        <v>0.66</v>
      </c>
      <c r="L55" s="1479">
        <v>7.78</v>
      </c>
      <c r="N55" s="1520">
        <f t="shared" ref="N55:O58" si="72">I55/SUM(I$55:I$58)*(B$55/B$59-1)</f>
        <v>9.9404603216919935E-2</v>
      </c>
      <c r="O55" s="1521">
        <f t="shared" si="72"/>
        <v>4.7636550760861554E-2</v>
      </c>
      <c r="P55" s="1521">
        <f t="shared" ref="P55:Q58" si="73">K55/SUM(K$55:K$58)*(E$55/E$59-1)</f>
        <v>8.3756345177664976E-2</v>
      </c>
      <c r="Q55" s="1521">
        <f t="shared" si="73"/>
        <v>5.2148766661559584E-2</v>
      </c>
      <c r="R55" s="1470"/>
      <c r="S55" s="1471"/>
      <c r="T55" s="1472"/>
      <c r="U55" s="1472"/>
      <c r="V55" s="1472"/>
      <c r="X55" s="1522"/>
      <c r="Y55" s="1522"/>
      <c r="Z55" s="1522"/>
    </row>
    <row r="56" spans="1:26">
      <c r="A56" s="1457" t="s">
        <v>1196</v>
      </c>
      <c r="B56" s="1473">
        <f t="shared" ref="B56:C58" si="74">B57+(B$55-B$59)*I56/SUM(I$55:I$58)</f>
        <v>125.9720430107527</v>
      </c>
      <c r="C56" s="1473">
        <f t="shared" si="74"/>
        <v>125.1883408071749</v>
      </c>
      <c r="D56" s="1473">
        <f t="shared" si="44"/>
        <v>125.1883408071749</v>
      </c>
      <c r="E56" s="1473">
        <f t="shared" ref="E56:F58" si="75">E57+(E$55-E$59)*K56/SUM(K$55:K$58)</f>
        <v>144.61421319796952</v>
      </c>
      <c r="F56" s="1473">
        <f t="shared" si="75"/>
        <v>108.42008196721311</v>
      </c>
      <c r="G56" s="3338">
        <v>2005</v>
      </c>
      <c r="H56" s="1483">
        <v>3</v>
      </c>
      <c r="I56" s="1483">
        <v>0.46</v>
      </c>
      <c r="J56" s="1483">
        <v>0.32</v>
      </c>
      <c r="K56" s="1483">
        <v>0.42</v>
      </c>
      <c r="L56" s="1484">
        <v>0.64</v>
      </c>
      <c r="N56" s="1520">
        <f t="shared" si="72"/>
        <v>1.3898515951301874E-2</v>
      </c>
      <c r="O56" s="1521">
        <f t="shared" si="72"/>
        <v>1.0585900169080346E-2</v>
      </c>
      <c r="P56" s="1521">
        <f t="shared" si="73"/>
        <v>5.3299492385786795E-2</v>
      </c>
      <c r="Q56" s="1521">
        <f t="shared" si="73"/>
        <v>4.2898728359123568E-3</v>
      </c>
      <c r="R56" s="1470"/>
      <c r="S56" s="1468"/>
      <c r="T56" s="1469"/>
      <c r="U56" s="1469"/>
      <c r="V56" s="1469"/>
      <c r="X56" s="1522"/>
      <c r="Y56" s="1522"/>
      <c r="Z56" s="1522"/>
    </row>
    <row r="57" spans="1:26">
      <c r="A57" s="1457" t="s">
        <v>1197</v>
      </c>
      <c r="B57" s="1473">
        <f t="shared" si="74"/>
        <v>124.29032258064517</v>
      </c>
      <c r="C57" s="1473">
        <f t="shared" si="74"/>
        <v>123.8968609865471</v>
      </c>
      <c r="D57" s="1473">
        <f t="shared" si="44"/>
        <v>123.8968609865471</v>
      </c>
      <c r="E57" s="1473">
        <f t="shared" si="75"/>
        <v>138.00507614213197</v>
      </c>
      <c r="F57" s="1473">
        <f t="shared" si="75"/>
        <v>107.96106557377048</v>
      </c>
      <c r="G57" s="3338">
        <v>2005</v>
      </c>
      <c r="H57" s="1461">
        <v>2</v>
      </c>
      <c r="I57" s="1461">
        <v>0.47</v>
      </c>
      <c r="J57" s="1461">
        <v>0.1</v>
      </c>
      <c r="K57" s="1461">
        <v>0.52</v>
      </c>
      <c r="L57" s="1475">
        <v>0.79</v>
      </c>
      <c r="N57" s="1520">
        <f t="shared" si="72"/>
        <v>1.420065760241713E-2</v>
      </c>
      <c r="O57" s="1521">
        <f t="shared" si="72"/>
        <v>3.3080938028376083E-3</v>
      </c>
      <c r="P57" s="1521">
        <f t="shared" si="73"/>
        <v>6.598984771573603E-2</v>
      </c>
      <c r="Q57" s="1521">
        <f t="shared" si="73"/>
        <v>5.2953117818293153E-3</v>
      </c>
      <c r="R57" s="1470"/>
      <c r="S57" s="1468"/>
      <c r="T57" s="1469"/>
      <c r="U57" s="1469"/>
      <c r="V57" s="1469"/>
      <c r="X57" s="1522"/>
      <c r="Y57" s="1522"/>
      <c r="Z57" s="1522"/>
    </row>
    <row r="58" spans="1:26">
      <c r="A58" s="1457" t="s">
        <v>1198</v>
      </c>
      <c r="B58" s="1473">
        <f t="shared" si="74"/>
        <v>122.57204301075269</v>
      </c>
      <c r="C58" s="1473">
        <f t="shared" si="74"/>
        <v>123.4932735426009</v>
      </c>
      <c r="D58" s="1473">
        <f t="shared" si="44"/>
        <v>123.4932735426009</v>
      </c>
      <c r="E58" s="1473">
        <f t="shared" si="75"/>
        <v>129.82233502538071</v>
      </c>
      <c r="F58" s="1473">
        <f t="shared" si="75"/>
        <v>107.39446721311475</v>
      </c>
      <c r="G58" s="3339">
        <v>2005</v>
      </c>
      <c r="H58" s="1460">
        <v>1</v>
      </c>
      <c r="I58" s="1460">
        <v>0.43</v>
      </c>
      <c r="J58" s="1460">
        <v>0.37</v>
      </c>
      <c r="K58" s="1460">
        <v>0.37</v>
      </c>
      <c r="L58" s="1474">
        <v>0.55000000000000004</v>
      </c>
      <c r="N58" s="1523">
        <f t="shared" si="72"/>
        <v>1.2992090997956099E-2</v>
      </c>
      <c r="O58" s="1524">
        <f t="shared" si="72"/>
        <v>1.2239947070499151E-2</v>
      </c>
      <c r="P58" s="1524">
        <f t="shared" si="73"/>
        <v>4.6954314720812178E-2</v>
      </c>
      <c r="Q58" s="1524">
        <f t="shared" si="73"/>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4"/>
        <v>122</v>
      </c>
      <c r="E59" s="1507">
        <v>124</v>
      </c>
      <c r="F59" s="1508">
        <v>107</v>
      </c>
      <c r="G59" s="3337">
        <v>2004</v>
      </c>
      <c r="H59" s="1478">
        <v>4</v>
      </c>
      <c r="I59" s="1478">
        <v>0.33</v>
      </c>
      <c r="J59" s="1478">
        <v>0.5</v>
      </c>
      <c r="K59" s="1478">
        <v>0.5</v>
      </c>
      <c r="L59" s="1479">
        <v>0</v>
      </c>
      <c r="N59" s="1520">
        <f t="shared" ref="N59:O62" si="76">I59/SUM(I$59:I$62)*(B$59/B$63-1)</f>
        <v>1.3391770148526898E-2</v>
      </c>
      <c r="O59" s="1521">
        <f t="shared" si="76"/>
        <v>1.063264221158958E-2</v>
      </c>
      <c r="P59" s="1521">
        <f t="shared" ref="P59:Q62" si="77">K59/SUM(K$59:K$62)*(E$59/E$63-1)</f>
        <v>2.2244466688911134E-2</v>
      </c>
      <c r="Q59" s="1521">
        <f t="shared" si="77"/>
        <v>0</v>
      </c>
      <c r="R59" s="1470"/>
      <c r="S59" s="1471"/>
      <c r="T59" s="1472"/>
      <c r="U59" s="1472"/>
      <c r="V59" s="1472"/>
      <c r="X59" s="1522"/>
      <c r="Y59" s="1522"/>
      <c r="Z59" s="1522"/>
    </row>
    <row r="60" spans="1:26">
      <c r="A60" s="1457" t="s">
        <v>1200</v>
      </c>
      <c r="B60" s="1473">
        <f t="shared" ref="B60:C62" si="78">B61+(B$59-B$63)*I60/SUM(I$59:I$62)</f>
        <v>119.51351351351352</v>
      </c>
      <c r="C60" s="1473">
        <f t="shared" si="78"/>
        <v>120.7878787878788</v>
      </c>
      <c r="D60" s="1473">
        <f t="shared" si="44"/>
        <v>120.7878787878788</v>
      </c>
      <c r="E60" s="1473">
        <f t="shared" ref="E60:F62" si="79">E61+(E$59-E$63)*K60/SUM(K$59:K$62)</f>
        <v>121.5975975975976</v>
      </c>
      <c r="F60" s="1473">
        <f t="shared" si="79"/>
        <v>107</v>
      </c>
      <c r="G60" s="3338">
        <v>2004</v>
      </c>
      <c r="H60" s="1483">
        <v>3</v>
      </c>
      <c r="I60" s="1483">
        <v>0.56000000000000005</v>
      </c>
      <c r="J60" s="1483">
        <v>0.8</v>
      </c>
      <c r="K60" s="1483">
        <v>0.83</v>
      </c>
      <c r="L60" s="1484">
        <v>0.06</v>
      </c>
      <c r="N60" s="1520">
        <f t="shared" si="76"/>
        <v>2.2725428130833527E-2</v>
      </c>
      <c r="O60" s="1521">
        <f t="shared" si="76"/>
        <v>1.7012227538543329E-2</v>
      </c>
      <c r="P60" s="1521">
        <f t="shared" si="77"/>
        <v>3.6925814703592477E-2</v>
      </c>
      <c r="Q60" s="1521">
        <f t="shared" si="77"/>
        <v>2.8846153846153744E-2</v>
      </c>
      <c r="R60" s="1470"/>
      <c r="S60" s="1468"/>
      <c r="T60" s="1469"/>
      <c r="U60" s="1469"/>
      <c r="V60" s="1469"/>
      <c r="X60" s="1522"/>
      <c r="Y60" s="1522"/>
      <c r="Z60" s="1522"/>
    </row>
    <row r="61" spans="1:26">
      <c r="A61" s="1457" t="s">
        <v>1201</v>
      </c>
      <c r="B61" s="1473">
        <f t="shared" si="78"/>
        <v>116.99099099099099</v>
      </c>
      <c r="C61" s="1473">
        <f t="shared" si="78"/>
        <v>118.84848484848486</v>
      </c>
      <c r="D61" s="1473">
        <f t="shared" si="44"/>
        <v>118.84848484848486</v>
      </c>
      <c r="E61" s="1473">
        <f t="shared" si="79"/>
        <v>117.60960960960961</v>
      </c>
      <c r="F61" s="1473">
        <f t="shared" si="79"/>
        <v>104</v>
      </c>
      <c r="G61" s="3338">
        <v>2004</v>
      </c>
      <c r="H61" s="1461">
        <v>2</v>
      </c>
      <c r="I61" s="1461">
        <v>1</v>
      </c>
      <c r="J61" s="1461">
        <v>1.5</v>
      </c>
      <c r="K61" s="1461">
        <v>1.5</v>
      </c>
      <c r="L61" s="1475">
        <v>0</v>
      </c>
      <c r="N61" s="1520">
        <f t="shared" si="76"/>
        <v>4.0581121662202721E-2</v>
      </c>
      <c r="O61" s="1521">
        <f t="shared" si="76"/>
        <v>3.1897926634768738E-2</v>
      </c>
      <c r="P61" s="1521">
        <f t="shared" si="77"/>
        <v>6.6733400066733395E-2</v>
      </c>
      <c r="Q61" s="1521">
        <f t="shared" si="77"/>
        <v>0</v>
      </c>
      <c r="R61" s="1470"/>
      <c r="S61" s="1468"/>
      <c r="T61" s="1469"/>
      <c r="U61" s="1469"/>
      <c r="V61" s="1469"/>
      <c r="X61" s="1522"/>
      <c r="Y61" s="1522"/>
      <c r="Z61" s="1522"/>
    </row>
    <row r="62" spans="1:26" s="1513" customFormat="1" ht="13.5" thickBot="1">
      <c r="A62" s="1457" t="s">
        <v>1202</v>
      </c>
      <c r="B62" s="1510">
        <f t="shared" si="78"/>
        <v>112.48648648648648</v>
      </c>
      <c r="C62" s="1510">
        <f t="shared" si="78"/>
        <v>115.21212121212122</v>
      </c>
      <c r="D62" s="1510">
        <f t="shared" si="44"/>
        <v>115.21212121212122</v>
      </c>
      <c r="E62" s="1510">
        <f t="shared" si="79"/>
        <v>110.4024024024024</v>
      </c>
      <c r="F62" s="1510">
        <f t="shared" si="79"/>
        <v>104</v>
      </c>
      <c r="G62" s="3339">
        <v>2004</v>
      </c>
      <c r="H62" s="1511">
        <v>1</v>
      </c>
      <c r="I62" s="1511">
        <v>0.33</v>
      </c>
      <c r="J62" s="1511">
        <v>0.5</v>
      </c>
      <c r="K62" s="1511">
        <v>0.5</v>
      </c>
      <c r="L62" s="1512">
        <v>0</v>
      </c>
      <c r="N62" s="1525">
        <f t="shared" si="76"/>
        <v>1.3391770148526898E-2</v>
      </c>
      <c r="O62" s="1526">
        <f t="shared" si="76"/>
        <v>1.063264221158958E-2</v>
      </c>
      <c r="P62" s="1526">
        <f t="shared" si="77"/>
        <v>2.2244466688911134E-2</v>
      </c>
      <c r="Q62" s="1526">
        <f t="shared" si="77"/>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4"/>
        <v>114</v>
      </c>
      <c r="E63" s="1528">
        <v>108</v>
      </c>
      <c r="F63" s="1529">
        <v>104</v>
      </c>
      <c r="G63" s="3337">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0">B65+(B$63-B$67)/4</f>
        <v>109.75</v>
      </c>
      <c r="C64" s="1532">
        <f t="shared" si="80"/>
        <v>112.25</v>
      </c>
      <c r="D64" s="1532">
        <f t="shared" si="44"/>
        <v>112.25</v>
      </c>
      <c r="E64" s="1532">
        <f t="shared" ref="E64:F66" si="81">E65+(E$63-E$67)/4</f>
        <v>107.25</v>
      </c>
      <c r="F64" s="1532">
        <f t="shared" si="81"/>
        <v>103.5</v>
      </c>
      <c r="G64" s="3338">
        <v>2003</v>
      </c>
      <c r="H64" s="1483">
        <v>3</v>
      </c>
      <c r="I64" s="1530"/>
      <c r="J64" s="1530"/>
      <c r="K64" s="1530"/>
      <c r="L64" s="1530"/>
      <c r="X64" s="1522"/>
      <c r="Y64" s="1522"/>
      <c r="Z64" s="1522"/>
    </row>
    <row r="65" spans="1:26">
      <c r="A65" s="1457" t="s">
        <v>1205</v>
      </c>
      <c r="B65" s="1532">
        <f t="shared" si="80"/>
        <v>108.5</v>
      </c>
      <c r="C65" s="1532">
        <f t="shared" si="80"/>
        <v>110.5</v>
      </c>
      <c r="D65" s="1532">
        <f t="shared" si="44"/>
        <v>110.5</v>
      </c>
      <c r="E65" s="1532">
        <f t="shared" si="81"/>
        <v>106.5</v>
      </c>
      <c r="F65" s="1532">
        <f t="shared" si="81"/>
        <v>103</v>
      </c>
      <c r="G65" s="3338">
        <v>2003</v>
      </c>
      <c r="H65" s="1461">
        <v>2</v>
      </c>
      <c r="I65" s="1530"/>
      <c r="J65" s="1530"/>
      <c r="K65" s="1530"/>
      <c r="L65" s="1530"/>
      <c r="X65" s="1522"/>
      <c r="Y65" s="1522"/>
      <c r="Z65" s="1522"/>
    </row>
    <row r="66" spans="1:26" ht="13.5" thickBot="1">
      <c r="A66" s="1457" t="s">
        <v>1206</v>
      </c>
      <c r="B66" s="1532">
        <f t="shared" si="80"/>
        <v>107.25</v>
      </c>
      <c r="C66" s="1532">
        <f t="shared" si="80"/>
        <v>108.75</v>
      </c>
      <c r="D66" s="1532">
        <f t="shared" si="44"/>
        <v>108.75</v>
      </c>
      <c r="E66" s="1532">
        <f t="shared" si="81"/>
        <v>105.75</v>
      </c>
      <c r="F66" s="1532">
        <f t="shared" si="81"/>
        <v>102.5</v>
      </c>
      <c r="G66" s="3339">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4"/>
        <v>107</v>
      </c>
      <c r="E67" s="1534">
        <v>105</v>
      </c>
      <c r="F67" s="1535">
        <v>102</v>
      </c>
      <c r="G67" s="3337">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2">B69+(B$67-B$71)/4</f>
        <v>105</v>
      </c>
      <c r="C68" s="1532">
        <f t="shared" si="82"/>
        <v>106</v>
      </c>
      <c r="D68" s="1532">
        <f t="shared" si="44"/>
        <v>106</v>
      </c>
      <c r="E68" s="1532">
        <f t="shared" ref="E68:F70" si="83">E69+(E$67-E$71)/4</f>
        <v>104.5</v>
      </c>
      <c r="F68" s="1532">
        <f t="shared" si="83"/>
        <v>101.5</v>
      </c>
      <c r="G68" s="3338">
        <v>2002</v>
      </c>
      <c r="H68" s="1483">
        <v>3</v>
      </c>
      <c r="I68" s="1530"/>
      <c r="J68" s="1530"/>
      <c r="K68" s="1530"/>
      <c r="L68" s="1530"/>
      <c r="X68" s="1522"/>
      <c r="Y68" s="1522"/>
      <c r="Z68" s="1522"/>
    </row>
    <row r="69" spans="1:26">
      <c r="A69" s="1457" t="s">
        <v>1209</v>
      </c>
      <c r="B69" s="1532">
        <f t="shared" si="82"/>
        <v>104</v>
      </c>
      <c r="C69" s="1532">
        <f t="shared" si="82"/>
        <v>105</v>
      </c>
      <c r="D69" s="1532">
        <f t="shared" si="44"/>
        <v>105</v>
      </c>
      <c r="E69" s="1532">
        <f t="shared" si="83"/>
        <v>104</v>
      </c>
      <c r="F69" s="1532">
        <f t="shared" si="83"/>
        <v>101</v>
      </c>
      <c r="G69" s="3338">
        <v>2002</v>
      </c>
      <c r="H69" s="1461">
        <v>2</v>
      </c>
      <c r="I69" s="1530"/>
      <c r="J69" s="1530"/>
      <c r="K69" s="1530"/>
      <c r="L69" s="1530"/>
      <c r="X69" s="1522"/>
      <c r="Y69" s="1522"/>
      <c r="Z69" s="1522"/>
    </row>
    <row r="70" spans="1:26" s="1494" customFormat="1" ht="13.5" thickBot="1">
      <c r="A70" s="1490" t="s">
        <v>1210</v>
      </c>
      <c r="B70" s="1536">
        <f t="shared" si="82"/>
        <v>103</v>
      </c>
      <c r="C70" s="1536">
        <f t="shared" si="82"/>
        <v>104</v>
      </c>
      <c r="D70" s="1536">
        <f t="shared" si="44"/>
        <v>104</v>
      </c>
      <c r="E70" s="1536">
        <f t="shared" si="83"/>
        <v>103.5</v>
      </c>
      <c r="F70" s="1536">
        <f t="shared" si="83"/>
        <v>100.5</v>
      </c>
      <c r="G70" s="3339">
        <v>2002</v>
      </c>
      <c r="H70" s="1537">
        <v>1</v>
      </c>
      <c r="I70" s="1538"/>
      <c r="J70" s="1538"/>
      <c r="K70" s="1538"/>
      <c r="L70" s="1538"/>
      <c r="N70" s="1539"/>
      <c r="S70" s="1539"/>
      <c r="X70" s="1540"/>
      <c r="Y70" s="1540"/>
      <c r="Z70" s="1540"/>
    </row>
    <row r="71" spans="1:26" ht="13.5" thickBot="1">
      <c r="B71" s="1541">
        <v>102</v>
      </c>
      <c r="C71" s="1542">
        <v>103</v>
      </c>
      <c r="D71" s="1542">
        <f t="shared" si="44"/>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5"/>
      <c r="B4" s="3023" t="s">
        <v>1630</v>
      </c>
      <c r="C4" s="3023"/>
      <c r="D4" s="3023"/>
      <c r="E4" s="1955"/>
    </row>
    <row r="5" spans="1:5" ht="16.5" thickTop="1">
      <c r="A5" s="1953"/>
      <c r="B5" s="3021" t="s">
        <v>1622</v>
      </c>
      <c r="C5" s="1956" t="s">
        <v>1623</v>
      </c>
      <c r="D5" s="1040">
        <f ca="1">结果表!H101</f>
        <v>692</v>
      </c>
      <c r="E5" s="1953"/>
    </row>
    <row r="6" spans="1:5" ht="15.75">
      <c r="A6" s="1953"/>
      <c r="B6" s="3021"/>
      <c r="C6" s="1956" t="s">
        <v>1624</v>
      </c>
      <c r="D6" s="1040" t="str">
        <f ca="1">NUMBERSTRING(INT(D5*10000),2)&amp;"元整"</f>
        <v>陆佰玖拾贰万元整</v>
      </c>
      <c r="E6" s="1953"/>
    </row>
    <row r="7" spans="1:5" ht="15.75">
      <c r="A7" s="1953"/>
      <c r="B7" s="3026"/>
      <c r="C7" s="1957" t="s">
        <v>1625</v>
      </c>
      <c r="D7" s="1041">
        <f ca="1">结果表!H102</f>
        <v>51909</v>
      </c>
      <c r="E7" s="1953"/>
    </row>
    <row r="8" spans="1:5" ht="15.75">
      <c r="A8" s="1953"/>
      <c r="B8" s="3027" t="str">
        <f>结果表!E103</f>
        <v>2.估价师知悉的法定优先受偿款</v>
      </c>
      <c r="C8" s="1958" t="s">
        <v>1626</v>
      </c>
      <c r="D8" s="1041">
        <f>结果表!H103</f>
        <v>0</v>
      </c>
      <c r="E8" s="1953"/>
    </row>
    <row r="9" spans="1:5" ht="15.75">
      <c r="A9" s="1953"/>
      <c r="B9" s="3029"/>
      <c r="C9" s="1956" t="s">
        <v>1624</v>
      </c>
      <c r="D9" s="1040" t="str">
        <f>NUMBERSTRING(INT(D8*10000),2)&amp;"元整"</f>
        <v>零元整</v>
      </c>
      <c r="E9" s="1953"/>
    </row>
    <row r="10" spans="1:5" ht="15">
      <c r="A10" s="1953"/>
      <c r="B10" s="1959" t="s">
        <v>1629</v>
      </c>
      <c r="C10" s="1960" t="s">
        <v>1627</v>
      </c>
      <c r="D10" s="1042">
        <f>结果表!H104</f>
        <v>0</v>
      </c>
      <c r="E10" s="1953"/>
    </row>
    <row r="11" spans="1:5" ht="15">
      <c r="A11" s="1953"/>
      <c r="B11" s="1959" t="s">
        <v>1631</v>
      </c>
      <c r="C11" s="1960" t="s">
        <v>1632</v>
      </c>
      <c r="D11" s="1042">
        <f>结果表!H105</f>
        <v>0</v>
      </c>
      <c r="E11" s="1953"/>
    </row>
    <row r="12" spans="1:5" ht="15">
      <c r="A12" s="1953"/>
      <c r="B12" s="1959" t="s">
        <v>1633</v>
      </c>
      <c r="C12" s="1960" t="s">
        <v>1632</v>
      </c>
      <c r="D12" s="1042">
        <f>结果表!H106</f>
        <v>0</v>
      </c>
      <c r="E12" s="1953"/>
    </row>
    <row r="13" spans="1:5" ht="15.75">
      <c r="A13" s="1953"/>
      <c r="B13" s="3020" t="str">
        <f>结果表!E107</f>
        <v>3.房地产抵押价值</v>
      </c>
      <c r="C13" s="1961" t="s">
        <v>1623</v>
      </c>
      <c r="D13" s="1043">
        <f ca="1">结果表!H107</f>
        <v>692</v>
      </c>
      <c r="E13" s="1953"/>
    </row>
    <row r="14" spans="1:5" ht="15.75">
      <c r="A14" s="1953"/>
      <c r="B14" s="3021"/>
      <c r="C14" s="1956" t="s">
        <v>1624</v>
      </c>
      <c r="D14" s="1040" t="str">
        <f ca="1">NUMBERSTRING(INT(D13*10000),2)&amp;"元整"</f>
        <v>陆佰玖拾贰万元整</v>
      </c>
      <c r="E14" s="1953"/>
    </row>
    <row r="15" spans="1:5" ht="15">
      <c r="A15" s="1953"/>
      <c r="B15" s="3026"/>
      <c r="C15" s="1957" t="s">
        <v>1634</v>
      </c>
      <c r="D15" s="1052">
        <f ca="1">结果表!H108</f>
        <v>51909</v>
      </c>
      <c r="E15" s="1953"/>
    </row>
    <row r="16" spans="1:5" ht="15">
      <c r="A16" s="1953"/>
      <c r="B16" s="3027" t="str">
        <f>结果表!E109</f>
        <v>——</v>
      </c>
      <c r="C16" s="1961" t="s">
        <v>1635</v>
      </c>
      <c r="D16" s="1962" t="str">
        <f>结果表!H109</f>
        <v>——</v>
      </c>
      <c r="E16" s="1953"/>
    </row>
    <row r="17" spans="1:5" ht="15.75">
      <c r="A17" s="1953"/>
      <c r="B17" s="3028"/>
      <c r="C17" s="1956" t="s">
        <v>1636</v>
      </c>
      <c r="D17" s="1040" t="e">
        <f>NUMBERSTRING(INT(D16*10000),2)&amp;"元整"</f>
        <v>#VALUE!</v>
      </c>
      <c r="E17" s="1953"/>
    </row>
    <row r="18" spans="1:5" ht="15">
      <c r="A18" s="1953"/>
      <c r="B18" s="3029"/>
      <c r="C18" s="1957" t="s">
        <v>1625</v>
      </c>
      <c r="D18" s="1052" t="str">
        <f>结果表!H110</f>
        <v>——</v>
      </c>
      <c r="E18" s="1953"/>
    </row>
    <row r="19" spans="1:5" ht="15.75">
      <c r="A19" s="1953"/>
      <c r="B19" s="3020" t="str">
        <f>结果表!E111</f>
        <v>——</v>
      </c>
      <c r="C19" s="1961" t="s">
        <v>1623</v>
      </c>
      <c r="D19" s="1041" t="str">
        <f>结果表!H111</f>
        <v>——</v>
      </c>
      <c r="E19" s="1953"/>
    </row>
    <row r="20" spans="1:5" ht="15.75">
      <c r="A20" s="1953"/>
      <c r="B20" s="3021"/>
      <c r="C20" s="1956" t="s">
        <v>1636</v>
      </c>
      <c r="D20" s="1040" t="e">
        <f>NUMBERSTRING(INT(D19*10000),2)&amp;"元整"</f>
        <v>#VALUE!</v>
      </c>
      <c r="E20" s="1953"/>
    </row>
    <row r="21" spans="1:5" ht="15.75" thickBot="1">
      <c r="A21" s="1953"/>
      <c r="B21" s="3022"/>
      <c r="C21" s="1963" t="s">
        <v>1634</v>
      </c>
      <c r="D21" s="1053"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97" activePane="bottomLeft" state="frozen"/>
      <selection activeCell="C50" sqref="C50"/>
      <selection pane="bottomLeft" activeCell="R22" sqref="R22"/>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6.375" style="27" customWidth="1"/>
    <col min="12" max="12" width="9" style="27"/>
    <col min="13" max="13" width="5" style="27" customWidth="1"/>
    <col min="14" max="14" width="9" style="27"/>
    <col min="15" max="15" width="5" style="27" customWidth="1"/>
    <col min="16" max="16" width="9" style="27"/>
    <col min="17" max="17" width="8.25" style="27" customWidth="1"/>
    <col min="18" max="18" width="9" style="699"/>
    <col min="19" max="19" width="9" style="138"/>
    <col min="20" max="45" width="9" style="792"/>
    <col min="46" max="16384" width="9" style="138"/>
  </cols>
  <sheetData>
    <row r="1" spans="1:45" ht="14.25" customHeight="1" thickBot="1">
      <c r="A1" s="154"/>
      <c r="B1" s="1204" t="s">
        <v>3006</v>
      </c>
      <c r="C1" s="3346" t="s">
        <v>3007</v>
      </c>
      <c r="D1" s="3347"/>
      <c r="E1" s="3347"/>
      <c r="F1" s="3347"/>
      <c r="G1" s="3347"/>
      <c r="H1" s="3347"/>
      <c r="I1" s="3347"/>
      <c r="J1" s="3347"/>
      <c r="K1" s="3347"/>
      <c r="L1" s="3347"/>
      <c r="M1" s="3347"/>
      <c r="N1" s="3347"/>
      <c r="O1" s="3347"/>
      <c r="P1" s="3347"/>
      <c r="Q1" s="3347"/>
      <c r="R1" s="3347"/>
      <c r="S1" s="3348"/>
      <c r="T1" s="1204" t="s">
        <v>3008</v>
      </c>
    </row>
    <row r="2" spans="1:45" s="704" customFormat="1" ht="38.25">
      <c r="A2" s="1205"/>
      <c r="B2" s="700" t="s">
        <v>3009</v>
      </c>
      <c r="C2" s="701" t="str">
        <f t="shared" ref="C2:L2" si="0">C3&amp;"(含)"&amp;"-"&amp;D3</f>
        <v>0(含)-100</v>
      </c>
      <c r="D2" s="702" t="str">
        <f t="shared" si="0"/>
        <v>100(含)-300</v>
      </c>
      <c r="E2" s="702" t="str">
        <f t="shared" si="0"/>
        <v>300(含)-500</v>
      </c>
      <c r="F2" s="702" t="str">
        <f t="shared" si="0"/>
        <v>500(含)-1000</v>
      </c>
      <c r="G2" s="702" t="str">
        <f t="shared" si="0"/>
        <v>1000(含)-1500</v>
      </c>
      <c r="H2" s="702" t="str">
        <f t="shared" si="0"/>
        <v>1500(含)-2000</v>
      </c>
      <c r="I2" s="702" t="str">
        <f t="shared" si="0"/>
        <v>2000(含)-2500</v>
      </c>
      <c r="J2" s="702" t="str">
        <f t="shared" si="0"/>
        <v>2500(含)-3000</v>
      </c>
      <c r="K2" s="702" t="str">
        <f t="shared" si="0"/>
        <v>3000(含)-3500</v>
      </c>
      <c r="L2" s="702" t="str">
        <f t="shared" si="0"/>
        <v>3500(含)-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7"/>
      <c r="B3" s="705"/>
      <c r="C3" s="706">
        <v>0</v>
      </c>
      <c r="D3" s="707">
        <v>100</v>
      </c>
      <c r="E3" s="707">
        <v>300</v>
      </c>
      <c r="F3" s="1700">
        <v>500</v>
      </c>
      <c r="G3" s="1700">
        <v>1000</v>
      </c>
      <c r="H3" s="1700">
        <v>1500</v>
      </c>
      <c r="I3" s="1700">
        <v>2000</v>
      </c>
      <c r="J3" s="1700">
        <v>2500</v>
      </c>
      <c r="K3" s="1700">
        <v>3000</v>
      </c>
      <c r="L3" s="1700">
        <v>3500</v>
      </c>
      <c r="M3" s="1701"/>
      <c r="N3" s="1701"/>
      <c r="O3" s="1700"/>
      <c r="P3" s="1700"/>
      <c r="Q3" s="1700"/>
      <c r="R3" s="1700"/>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v>100</v>
      </c>
      <c r="D4" s="1211">
        <v>96</v>
      </c>
      <c r="E4" s="1210">
        <v>92</v>
      </c>
      <c r="F4" s="1211">
        <v>88</v>
      </c>
      <c r="G4" s="1210">
        <v>84</v>
      </c>
      <c r="H4" s="1211">
        <v>80</v>
      </c>
      <c r="I4" s="1210">
        <v>76</v>
      </c>
      <c r="J4" s="1211">
        <v>72</v>
      </c>
      <c r="K4" s="1210">
        <v>68</v>
      </c>
      <c r="L4" s="1211">
        <v>64</v>
      </c>
      <c r="M4" s="1704"/>
      <c r="N4" s="1704"/>
      <c r="O4" s="1703"/>
      <c r="P4" s="1703"/>
      <c r="Q4" s="1703"/>
      <c r="R4" s="1703"/>
      <c r="S4" s="1705"/>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idden="1">
      <c r="A5" s="1215"/>
      <c r="B5" s="1764" t="s">
        <v>3010</v>
      </c>
      <c r="C5" s="1216"/>
      <c r="D5" s="1217"/>
      <c r="E5" s="1217"/>
      <c r="F5" s="1706"/>
      <c r="G5" s="1706"/>
      <c r="H5" s="1706"/>
      <c r="I5" s="1706"/>
      <c r="J5" s="1706"/>
      <c r="K5" s="1706"/>
      <c r="L5" s="1707"/>
      <c r="M5" s="1708"/>
      <c r="N5" s="1708"/>
      <c r="O5" s="1706"/>
      <c r="P5" s="1706"/>
      <c r="Q5" s="1706"/>
      <c r="R5" s="1706"/>
      <c r="S5" s="1709"/>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hidden="1" thickBot="1">
      <c r="A6" s="1215"/>
      <c r="B6" s="1116"/>
      <c r="C6" s="1122">
        <v>100</v>
      </c>
      <c r="D6" s="1119">
        <f>C6-$T5</f>
        <v>100</v>
      </c>
      <c r="E6" s="1119">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idden="1">
      <c r="A7" s="1215"/>
      <c r="B7" s="1765" t="s">
        <v>3011</v>
      </c>
      <c r="C7" s="1121"/>
      <c r="D7" s="1115"/>
      <c r="E7" s="1115"/>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hidden="1" thickBot="1">
      <c r="A8" s="1215"/>
      <c r="B8" s="1116"/>
      <c r="C8" s="1122">
        <v>100</v>
      </c>
      <c r="D8" s="1119">
        <f>C8-$T7</f>
        <v>100</v>
      </c>
      <c r="E8" s="1119">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1765" t="s">
        <v>3012</v>
      </c>
      <c r="C9" s="1121"/>
      <c r="D9" s="1115"/>
      <c r="E9" s="1115"/>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5"/>
      <c r="B10" s="1209"/>
      <c r="C10" s="1220">
        <v>100</v>
      </c>
      <c r="D10" s="1221">
        <f>C10-$T9</f>
        <v>100</v>
      </c>
      <c r="E10" s="1221">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5"/>
      <c r="B11" s="1764" t="s">
        <v>3013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5"/>
      <c r="B13" s="1764" t="s">
        <v>3014</v>
      </c>
      <c r="C13" s="1216"/>
      <c r="D13" s="1217"/>
      <c r="E13" s="1217"/>
      <c r="F13" s="1217"/>
      <c r="G13" s="1217"/>
      <c r="H13" s="1217"/>
      <c r="I13" s="1217"/>
      <c r="J13" s="1217"/>
      <c r="K13" s="1217"/>
      <c r="L13" s="1217"/>
      <c r="M13" s="1218"/>
      <c r="N13" s="1222"/>
      <c r="O13" s="1223"/>
      <c r="P13" s="2987"/>
      <c r="Q13" s="2988"/>
      <c r="R13" s="2989" t="s">
        <v>3215</v>
      </c>
      <c r="S13" s="2990">
        <v>200000</v>
      </c>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2991" t="s">
        <v>3218</v>
      </c>
      <c r="Q14" s="2992">
        <f>ROUND(S14/M16*100,0)</f>
        <v>59695</v>
      </c>
      <c r="R14" s="2991" t="s">
        <v>3216</v>
      </c>
      <c r="S14" s="2993">
        <f>ROUND(S13*10000/B22,0)</f>
        <v>36414</v>
      </c>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2981" t="s">
        <v>3214</v>
      </c>
      <c r="C15" s="2972">
        <v>1</v>
      </c>
      <c r="D15" s="2973">
        <v>2</v>
      </c>
      <c r="E15" s="2973">
        <v>3</v>
      </c>
      <c r="F15" s="2973">
        <v>4</v>
      </c>
      <c r="G15" s="2973">
        <v>5</v>
      </c>
      <c r="H15" s="2973">
        <v>6</v>
      </c>
      <c r="I15" s="2973">
        <v>7</v>
      </c>
      <c r="J15" s="2973">
        <v>-1</v>
      </c>
      <c r="K15" s="2974" t="s">
        <v>3160</v>
      </c>
      <c r="L15" s="2974" t="s">
        <v>3162</v>
      </c>
      <c r="M15" s="2984" t="s">
        <v>3217</v>
      </c>
      <c r="N15" s="2975"/>
      <c r="O15" s="2976"/>
      <c r="P15" s="2977"/>
      <c r="Q15" s="2978"/>
      <c r="R15" s="2982"/>
      <c r="S15" s="2979"/>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2970">
        <v>100</v>
      </c>
      <c r="D16" s="2971">
        <v>80</v>
      </c>
      <c r="E16" s="2971">
        <v>70</v>
      </c>
      <c r="F16" s="2971">
        <v>60</v>
      </c>
      <c r="G16" s="2971">
        <v>50</v>
      </c>
      <c r="H16" s="2971">
        <v>40</v>
      </c>
      <c r="I16" s="2971">
        <v>40</v>
      </c>
      <c r="J16" s="2971">
        <v>50</v>
      </c>
      <c r="K16" s="2971">
        <f>ROUND((C16+D16+E16+F16+G16+H16)/6,0)</f>
        <v>67</v>
      </c>
      <c r="L16" s="2971">
        <f>ROUND((C16+D16+E16+F16+G16+H16+I16)/7,0)</f>
        <v>63</v>
      </c>
      <c r="M16" s="1212">
        <f>ROUND((C16+D16+E16+F16+G16+H16+I16+J16)/8,0)</f>
        <v>61</v>
      </c>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1" t="s">
        <v>3015</v>
      </c>
      <c r="B17" s="2912" t="s">
        <v>3016</v>
      </c>
      <c r="C17" s="1230">
        <v>1</v>
      </c>
      <c r="D17" s="1231">
        <v>2</v>
      </c>
      <c r="E17" s="1231">
        <v>3</v>
      </c>
      <c r="F17" s="1231">
        <v>4</v>
      </c>
      <c r="G17" s="1231">
        <v>5</v>
      </c>
      <c r="H17" s="1231">
        <v>6</v>
      </c>
      <c r="I17" s="1231">
        <v>7</v>
      </c>
      <c r="J17" s="1231">
        <v>-1</v>
      </c>
      <c r="K17" s="2950" t="s">
        <v>3160</v>
      </c>
      <c r="L17" s="2950" t="s">
        <v>3162</v>
      </c>
      <c r="M17" s="2985" t="s">
        <v>3219</v>
      </c>
      <c r="N17" s="1232"/>
      <c r="O17" s="1233"/>
      <c r="P17" s="1234"/>
      <c r="Q17" s="1235"/>
      <c r="R17" s="298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v>100</v>
      </c>
      <c r="D18" s="1240">
        <v>70</v>
      </c>
      <c r="E18" s="1240">
        <v>60</v>
      </c>
      <c r="F18" s="1240">
        <v>50</v>
      </c>
      <c r="G18" s="1240">
        <v>50</v>
      </c>
      <c r="H18" s="1240">
        <v>50</v>
      </c>
      <c r="I18" s="1240">
        <v>50</v>
      </c>
      <c r="J18" s="1240">
        <v>50</v>
      </c>
      <c r="K18" s="1240">
        <f>ROUND((C18+D18+E18+F18+G18+H18)/6,0)</f>
        <v>63</v>
      </c>
      <c r="L18" s="1240">
        <f>ROUND((C18+D18+E18+F18+G18+H18+I18)/7,0)</f>
        <v>61</v>
      </c>
      <c r="M18" s="1241">
        <f>ROUND((C18+D18+E18+F18+G18+H18+I18+J18)/8,0)</f>
        <v>60</v>
      </c>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7"/>
      <c r="B19" s="167"/>
      <c r="C19" s="167"/>
      <c r="D19" s="2913" t="s">
        <v>3017</v>
      </c>
      <c r="E19" s="1787"/>
      <c r="F19" s="1787"/>
      <c r="G19" s="1787"/>
      <c r="H19" s="1276"/>
      <c r="I19" s="167"/>
      <c r="J19" s="167"/>
      <c r="K19" s="167"/>
      <c r="L19" s="167"/>
      <c r="M19" s="167"/>
      <c r="N19" s="167"/>
      <c r="O19" s="167"/>
      <c r="P19" s="167"/>
      <c r="Q19" s="167"/>
      <c r="R19" s="785"/>
      <c r="S19" s="137"/>
    </row>
    <row r="20" spans="1:45" ht="16.5" thickBot="1">
      <c r="A20" s="712" t="s">
        <v>3018</v>
      </c>
      <c r="B20" s="337">
        <f ca="1">IF(D20="——",S22,S22-F20)</f>
        <v>148961</v>
      </c>
      <c r="C20" s="167"/>
      <c r="D20" s="2914" t="s">
        <v>70</v>
      </c>
      <c r="E20" s="1788"/>
      <c r="F20" s="1204" t="e">
        <f ca="1">SUMIF(INDIRECT("'"&amp;H20&amp;"'"&amp;"!A:A"),"承租人权益价值",INDIRECT("'"&amp;H20&amp;"'"&amp;"!c:c"))</f>
        <v>#REF!</v>
      </c>
      <c r="G20" s="1204" t="s">
        <v>3019</v>
      </c>
      <c r="H20" s="2915"/>
      <c r="I20" s="167"/>
      <c r="J20" s="167"/>
      <c r="K20" s="167"/>
      <c r="L20" s="167"/>
      <c r="M20" s="167"/>
      <c r="N20" s="167"/>
      <c r="O20" s="167"/>
      <c r="P20" s="167"/>
      <c r="Q20" s="167"/>
      <c r="R20" s="785"/>
      <c r="S20" s="137"/>
    </row>
    <row r="21" spans="1:45" ht="15.75">
      <c r="A21" s="712" t="s">
        <v>3020</v>
      </c>
      <c r="B21" s="337">
        <f ca="1">R22</f>
        <v>27121</v>
      </c>
      <c r="C21" s="167"/>
      <c r="D21" s="167"/>
      <c r="E21" s="167"/>
      <c r="F21" s="167"/>
      <c r="G21" s="167"/>
      <c r="H21" s="167"/>
      <c r="I21" s="167"/>
      <c r="J21" s="167"/>
      <c r="K21" s="167"/>
      <c r="L21" s="167"/>
      <c r="M21" s="167"/>
      <c r="N21" s="167"/>
      <c r="O21" s="167"/>
      <c r="P21" s="2997" t="s">
        <v>3497</v>
      </c>
      <c r="Q21" s="2994">
        <f ca="1">SUM(S24:S41)</f>
        <v>29496</v>
      </c>
      <c r="R21" s="2995" t="s">
        <v>3498</v>
      </c>
      <c r="S21" s="2996">
        <f ca="1">ROUND(Q21/抵押物清单!G4*10000,0)</f>
        <v>47590</v>
      </c>
    </row>
    <row r="22" spans="1:45">
      <c r="A22" s="360" t="s">
        <v>3021</v>
      </c>
      <c r="B22" s="24">
        <f>SUM(B24:B10000)</f>
        <v>54924.660000000011</v>
      </c>
      <c r="C22" s="3125" t="s">
        <v>33</v>
      </c>
      <c r="D22" s="3126"/>
      <c r="E22" s="3126"/>
      <c r="F22" s="3126"/>
      <c r="G22" s="3126"/>
      <c r="H22" s="3126"/>
      <c r="I22" s="3126"/>
      <c r="J22" s="3126"/>
      <c r="K22" s="3126"/>
      <c r="L22" s="3126"/>
      <c r="M22" s="3126"/>
      <c r="N22" s="3126"/>
      <c r="O22" s="3126"/>
      <c r="P22" s="3126"/>
      <c r="Q22" s="3345"/>
      <c r="R22" s="713">
        <f ca="1">ROUND(S22*10000/B22,0)</f>
        <v>27121</v>
      </c>
      <c r="S22" s="24">
        <f ca="1">SUM(S24:S10000)</f>
        <v>148961</v>
      </c>
      <c r="T22" s="792">
        <f ca="1">S22+[1]典型户型修正!$S$22</f>
        <v>182083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备选</v>
      </c>
      <c r="O23" s="11" t="s">
        <v>3024</v>
      </c>
      <c r="P23" s="11" t="str">
        <f>B17</f>
        <v>楼层</v>
      </c>
      <c r="Q23" s="11" t="s">
        <v>3024</v>
      </c>
      <c r="R23" s="714" t="s">
        <v>3025</v>
      </c>
      <c r="S23" s="11" t="s">
        <v>3026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'比较法-商业'!D1</f>
        <v>106</v>
      </c>
      <c r="B24" s="715">
        <f>'数据-汇总表'!E3</f>
        <v>133.31</v>
      </c>
      <c r="C24" s="716">
        <v>1</v>
      </c>
      <c r="D24" s="717"/>
      <c r="E24" s="716">
        <v>1</v>
      </c>
      <c r="F24" s="717"/>
      <c r="G24" s="716">
        <v>1</v>
      </c>
      <c r="H24" s="717"/>
      <c r="I24" s="716">
        <v>1</v>
      </c>
      <c r="J24" s="717"/>
      <c r="K24" s="716">
        <v>1</v>
      </c>
      <c r="L24" s="717"/>
      <c r="M24" s="716">
        <v>1</v>
      </c>
      <c r="N24" s="717"/>
      <c r="O24" s="716">
        <v>1</v>
      </c>
      <c r="P24" s="717">
        <v>1</v>
      </c>
      <c r="Q24" s="716">
        <v>1</v>
      </c>
      <c r="R24" s="718">
        <f ca="1">结果表!G20</f>
        <v>51915</v>
      </c>
      <c r="S24" s="716">
        <f t="shared" ref="S24:S54" ca="1" si="11">ROUND(R24*B24/10000,0)</f>
        <v>692</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48" t="s">
        <v>3185</v>
      </c>
      <c r="B25" s="59">
        <f>抵押物清单!D4</f>
        <v>1013.21</v>
      </c>
      <c r="C25" s="24">
        <f>IF(B25="",1,(LOOKUP(B25,$3:$3,$4:$4)-LOOKUP($B$24,$3:$3,$4:$4)+100)/100)</f>
        <v>0.88</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1</v>
      </c>
      <c r="R25" s="713">
        <f ca="1">IF(B25="",0,ROUND($R$24*C25*E25*G25*I25*K25*M25*O25*Q25,0))</f>
        <v>45685</v>
      </c>
      <c r="S25" s="360">
        <f t="shared" ca="1" si="11"/>
        <v>4629</v>
      </c>
    </row>
    <row r="26" spans="1:45">
      <c r="A26" s="2948" t="s">
        <v>3235</v>
      </c>
      <c r="B26" s="59">
        <f>抵押物清单!D5</f>
        <v>417.28</v>
      </c>
      <c r="C26" s="24">
        <f t="shared" ref="C26:C89" si="12">IF(B26="",1,(LOOKUP(B26,$3:$3,$4:$4)-LOOKUP($B$24,$3:$3,$4:$4)+100)/100)</f>
        <v>0.96</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1</v>
      </c>
      <c r="Q26" s="24">
        <f t="shared" ref="Q26:Q89" si="19">(SUMIF($17:$17,P26,$18:$18)-SUMIF($17:$17,$P$24,$18:$18)+100)/100</f>
        <v>1</v>
      </c>
      <c r="R26" s="713">
        <f t="shared" ref="R26:R89" ca="1" si="20">IF(B26="",0,ROUND($R$24*C26*E26*G26*I26*K26*M26*O26*Q26,0))</f>
        <v>49838</v>
      </c>
      <c r="S26" s="360">
        <f t="shared" ca="1" si="11"/>
        <v>2080</v>
      </c>
    </row>
    <row r="27" spans="1:45">
      <c r="A27" s="2948" t="str">
        <f>抵押物清单!B7</f>
        <v>107</v>
      </c>
      <c r="B27" s="59">
        <f>抵押物清单!D7</f>
        <v>730.65</v>
      </c>
      <c r="C27" s="24">
        <f t="shared" si="12"/>
        <v>0.92</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v>1</v>
      </c>
      <c r="Q27" s="24">
        <f t="shared" si="19"/>
        <v>1</v>
      </c>
      <c r="R27" s="713">
        <f t="shared" ca="1" si="20"/>
        <v>47762</v>
      </c>
      <c r="S27" s="360">
        <f t="shared" ca="1" si="11"/>
        <v>3490</v>
      </c>
    </row>
    <row r="28" spans="1:45">
      <c r="A28" s="2948" t="str">
        <f>抵押物清单!B8</f>
        <v>108</v>
      </c>
      <c r="B28" s="59">
        <f>抵押物清单!D8</f>
        <v>247.69</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v>1</v>
      </c>
      <c r="Q28" s="24">
        <f t="shared" si="19"/>
        <v>1</v>
      </c>
      <c r="R28" s="713">
        <f t="shared" ca="1" si="20"/>
        <v>51915</v>
      </c>
      <c r="S28" s="360">
        <f t="shared" ca="1" si="11"/>
        <v>1286</v>
      </c>
    </row>
    <row r="29" spans="1:45">
      <c r="A29" s="2948" t="str">
        <f>抵押物清单!B9</f>
        <v>109</v>
      </c>
      <c r="B29" s="59">
        <f>抵押物清单!D9</f>
        <v>34.97</v>
      </c>
      <c r="C29" s="24">
        <f t="shared" si="12"/>
        <v>1.04</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v>1</v>
      </c>
      <c r="Q29" s="24">
        <f t="shared" si="19"/>
        <v>1</v>
      </c>
      <c r="R29" s="713">
        <f t="shared" ca="1" si="20"/>
        <v>53992</v>
      </c>
      <c r="S29" s="360">
        <f t="shared" ca="1" si="11"/>
        <v>189</v>
      </c>
    </row>
    <row r="30" spans="1:45">
      <c r="A30" s="2948" t="str">
        <f>抵押物清单!B10</f>
        <v>110</v>
      </c>
      <c r="B30" s="59">
        <f>抵押物清单!D10</f>
        <v>135.72999999999999</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v>1</v>
      </c>
      <c r="Q30" s="24">
        <f t="shared" si="19"/>
        <v>1</v>
      </c>
      <c r="R30" s="713">
        <f t="shared" ca="1" si="20"/>
        <v>51915</v>
      </c>
      <c r="S30" s="360">
        <f t="shared" ca="1" si="11"/>
        <v>705</v>
      </c>
    </row>
    <row r="31" spans="1:45">
      <c r="A31" s="2948" t="str">
        <f>抵押物清单!B11</f>
        <v>111</v>
      </c>
      <c r="B31" s="59">
        <f>抵押物清单!D11</f>
        <v>719.82</v>
      </c>
      <c r="C31" s="24">
        <f t="shared" si="12"/>
        <v>0.92</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v>1</v>
      </c>
      <c r="Q31" s="24">
        <f t="shared" si="19"/>
        <v>1</v>
      </c>
      <c r="R31" s="713">
        <f t="shared" ca="1" si="20"/>
        <v>47762</v>
      </c>
      <c r="S31" s="360">
        <f t="shared" ca="1" si="11"/>
        <v>3438</v>
      </c>
    </row>
    <row r="32" spans="1:45">
      <c r="A32" s="2948" t="str">
        <f>抵押物清单!B12</f>
        <v>112</v>
      </c>
      <c r="B32" s="59">
        <f>抵押物清单!D12</f>
        <v>34.82</v>
      </c>
      <c r="C32" s="24">
        <f t="shared" si="12"/>
        <v>1.04</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v>1</v>
      </c>
      <c r="Q32" s="24">
        <f t="shared" si="19"/>
        <v>1</v>
      </c>
      <c r="R32" s="713">
        <f t="shared" ca="1" si="20"/>
        <v>53992</v>
      </c>
      <c r="S32" s="360">
        <f t="shared" ca="1" si="11"/>
        <v>188</v>
      </c>
    </row>
    <row r="33" spans="1:19">
      <c r="A33" s="2948" t="str">
        <f>抵押物清单!B13</f>
        <v>113</v>
      </c>
      <c r="B33" s="59">
        <f>抵押物清单!D13</f>
        <v>134.38999999999999</v>
      </c>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v>1</v>
      </c>
      <c r="Q33" s="24">
        <f t="shared" si="19"/>
        <v>1</v>
      </c>
      <c r="R33" s="713">
        <f t="shared" ca="1" si="20"/>
        <v>51915</v>
      </c>
      <c r="S33" s="360">
        <f t="shared" ca="1" si="11"/>
        <v>698</v>
      </c>
    </row>
    <row r="34" spans="1:19">
      <c r="A34" s="2948" t="str">
        <f>抵押物清单!B14</f>
        <v>114</v>
      </c>
      <c r="B34" s="59">
        <f>抵押物清单!D14</f>
        <v>1573.94</v>
      </c>
      <c r="C34" s="24">
        <f t="shared" si="12"/>
        <v>0.84</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v>1</v>
      </c>
      <c r="Q34" s="24">
        <f t="shared" si="19"/>
        <v>1</v>
      </c>
      <c r="R34" s="713">
        <f t="shared" ca="1" si="20"/>
        <v>43609</v>
      </c>
      <c r="S34" s="360">
        <f t="shared" ca="1" si="11"/>
        <v>6864</v>
      </c>
    </row>
    <row r="35" spans="1:19">
      <c r="A35" s="2948" t="str">
        <f>抵押物清单!B15</f>
        <v>115</v>
      </c>
      <c r="B35" s="59">
        <f>抵押物清单!D15</f>
        <v>197</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v>1</v>
      </c>
      <c r="Q35" s="24">
        <f t="shared" si="19"/>
        <v>1</v>
      </c>
      <c r="R35" s="713">
        <f t="shared" ca="1" si="20"/>
        <v>51915</v>
      </c>
      <c r="S35" s="360">
        <f t="shared" ca="1" si="11"/>
        <v>1023</v>
      </c>
    </row>
    <row r="36" spans="1:19">
      <c r="A36" s="2948" t="str">
        <f>抵押物清单!B16</f>
        <v>117</v>
      </c>
      <c r="B36" s="59">
        <f>抵押物清单!D16</f>
        <v>70.22</v>
      </c>
      <c r="C36" s="24">
        <f t="shared" si="12"/>
        <v>1.04</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v>1</v>
      </c>
      <c r="Q36" s="24">
        <f t="shared" si="19"/>
        <v>1</v>
      </c>
      <c r="R36" s="713">
        <f t="shared" ca="1" si="20"/>
        <v>53992</v>
      </c>
      <c r="S36" s="360">
        <f t="shared" ca="1" si="11"/>
        <v>379</v>
      </c>
    </row>
    <row r="37" spans="1:19">
      <c r="A37" s="2948" t="str">
        <f>抵押物清单!B17</f>
        <v>118</v>
      </c>
      <c r="B37" s="59">
        <f>抵押物清单!D17</f>
        <v>179.38</v>
      </c>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v>1</v>
      </c>
      <c r="Q37" s="24">
        <f t="shared" si="19"/>
        <v>1</v>
      </c>
      <c r="R37" s="713">
        <f t="shared" ca="1" si="20"/>
        <v>51915</v>
      </c>
      <c r="S37" s="360">
        <f t="shared" ca="1" si="11"/>
        <v>931</v>
      </c>
    </row>
    <row r="38" spans="1:19">
      <c r="A38" s="2948" t="str">
        <f>抵押物清单!B18</f>
        <v>119</v>
      </c>
      <c r="B38" s="59">
        <f>抵押物清单!D18</f>
        <v>23.07</v>
      </c>
      <c r="C38" s="24">
        <f t="shared" si="12"/>
        <v>1.04</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v>1</v>
      </c>
      <c r="Q38" s="24">
        <f t="shared" si="19"/>
        <v>1</v>
      </c>
      <c r="R38" s="713">
        <f t="shared" ca="1" si="20"/>
        <v>53992</v>
      </c>
      <c r="S38" s="360">
        <f t="shared" ca="1" si="11"/>
        <v>125</v>
      </c>
    </row>
    <row r="39" spans="1:19">
      <c r="A39" s="2948" t="str">
        <f>抵押物清单!B19</f>
        <v>120</v>
      </c>
      <c r="B39" s="59">
        <f>抵押物清单!D19</f>
        <v>489.41</v>
      </c>
      <c r="C39" s="24">
        <f t="shared" si="12"/>
        <v>0.96</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v>1</v>
      </c>
      <c r="Q39" s="24">
        <f t="shared" si="19"/>
        <v>1</v>
      </c>
      <c r="R39" s="713">
        <f t="shared" ca="1" si="20"/>
        <v>49838</v>
      </c>
      <c r="S39" s="360">
        <f t="shared" ca="1" si="11"/>
        <v>2439</v>
      </c>
    </row>
    <row r="40" spans="1:19">
      <c r="A40" s="2948" t="str">
        <f>抵押物清单!B20</f>
        <v>121</v>
      </c>
      <c r="B40" s="59">
        <f>抵押物清单!D20</f>
        <v>45.46</v>
      </c>
      <c r="C40" s="24">
        <f t="shared" si="12"/>
        <v>1.04</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v>1</v>
      </c>
      <c r="Q40" s="24">
        <f t="shared" si="19"/>
        <v>1</v>
      </c>
      <c r="R40" s="713">
        <f t="shared" ca="1" si="20"/>
        <v>53992</v>
      </c>
      <c r="S40" s="360">
        <f t="shared" ca="1" si="11"/>
        <v>245</v>
      </c>
    </row>
    <row r="41" spans="1:19">
      <c r="A41" s="2948" t="str">
        <f>抵押物清单!B21</f>
        <v>122</v>
      </c>
      <c r="B41" s="59">
        <f>抵押物清单!D21</f>
        <v>17.649999999999999</v>
      </c>
      <c r="C41" s="24">
        <f t="shared" si="12"/>
        <v>1.04</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v>1</v>
      </c>
      <c r="Q41" s="24">
        <f t="shared" si="19"/>
        <v>1</v>
      </c>
      <c r="R41" s="713">
        <f t="shared" ca="1" si="20"/>
        <v>53992</v>
      </c>
      <c r="S41" s="360">
        <f t="shared" ca="1" si="11"/>
        <v>95</v>
      </c>
    </row>
    <row r="42" spans="1:19">
      <c r="A42" s="2948" t="str">
        <f>抵押物清单!B22</f>
        <v>203</v>
      </c>
      <c r="B42" s="59">
        <f>抵押物清单!D22</f>
        <v>1059.18</v>
      </c>
      <c r="C42" s="24">
        <f t="shared" si="12"/>
        <v>0.88</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v>2</v>
      </c>
      <c r="Q42" s="24">
        <f t="shared" si="19"/>
        <v>0.7</v>
      </c>
      <c r="R42" s="713">
        <f t="shared" ca="1" si="20"/>
        <v>31980</v>
      </c>
      <c r="S42" s="360">
        <f t="shared" ca="1" si="11"/>
        <v>3387</v>
      </c>
    </row>
    <row r="43" spans="1:19">
      <c r="A43" s="2948" t="str">
        <f>抵押物清单!B23</f>
        <v>204</v>
      </c>
      <c r="B43" s="59">
        <f>抵押物清单!D23</f>
        <v>697.35</v>
      </c>
      <c r="C43" s="24">
        <f t="shared" si="12"/>
        <v>0.92</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v>2</v>
      </c>
      <c r="Q43" s="24">
        <f t="shared" si="19"/>
        <v>0.7</v>
      </c>
      <c r="R43" s="713">
        <f t="shared" ca="1" si="20"/>
        <v>33433</v>
      </c>
      <c r="S43" s="360">
        <f t="shared" ca="1" si="11"/>
        <v>2331</v>
      </c>
    </row>
    <row r="44" spans="1:19">
      <c r="A44" s="2948" t="str">
        <f>抵押物清单!B24</f>
        <v>205</v>
      </c>
      <c r="B44" s="59">
        <f>抵押物清单!D24</f>
        <v>797.61</v>
      </c>
      <c r="C44" s="24">
        <f t="shared" si="12"/>
        <v>0.92</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v>2</v>
      </c>
      <c r="Q44" s="24">
        <f t="shared" si="19"/>
        <v>0.7</v>
      </c>
      <c r="R44" s="713">
        <f t="shared" ca="1" si="20"/>
        <v>33433</v>
      </c>
      <c r="S44" s="360">
        <f t="shared" ca="1" si="11"/>
        <v>2667</v>
      </c>
    </row>
    <row r="45" spans="1:19">
      <c r="A45" s="2948" t="str">
        <f>抵押物清单!B25</f>
        <v>206</v>
      </c>
      <c r="B45" s="59">
        <f>抵押物清单!D25</f>
        <v>346.84</v>
      </c>
      <c r="C45" s="24">
        <f t="shared" si="12"/>
        <v>0.96</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v>2</v>
      </c>
      <c r="Q45" s="24">
        <f t="shared" si="19"/>
        <v>0.7</v>
      </c>
      <c r="R45" s="713">
        <f t="shared" ca="1" si="20"/>
        <v>34887</v>
      </c>
      <c r="S45" s="360">
        <f t="shared" ca="1" si="11"/>
        <v>1210</v>
      </c>
    </row>
    <row r="46" spans="1:19">
      <c r="A46" s="2948" t="str">
        <f>抵押物清单!B26</f>
        <v>207</v>
      </c>
      <c r="B46" s="59">
        <f>抵押物清单!D26</f>
        <v>99.13</v>
      </c>
      <c r="C46" s="24">
        <f t="shared" si="12"/>
        <v>1.04</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v>2</v>
      </c>
      <c r="Q46" s="24">
        <f t="shared" si="19"/>
        <v>0.7</v>
      </c>
      <c r="R46" s="713">
        <f t="shared" ca="1" si="20"/>
        <v>37794</v>
      </c>
      <c r="S46" s="360">
        <f t="shared" ca="1" si="11"/>
        <v>375</v>
      </c>
    </row>
    <row r="47" spans="1:19">
      <c r="A47" s="2948" t="str">
        <f>抵押物清单!B27</f>
        <v>208</v>
      </c>
      <c r="B47" s="59">
        <f>抵押物清单!D27</f>
        <v>89.73</v>
      </c>
      <c r="C47" s="24">
        <f t="shared" si="12"/>
        <v>1.04</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v>2</v>
      </c>
      <c r="Q47" s="24">
        <f t="shared" si="19"/>
        <v>0.7</v>
      </c>
      <c r="R47" s="713">
        <f t="shared" ca="1" si="20"/>
        <v>37794</v>
      </c>
      <c r="S47" s="360">
        <f t="shared" ca="1" si="11"/>
        <v>339</v>
      </c>
    </row>
    <row r="48" spans="1:19">
      <c r="A48" s="2948" t="str">
        <f>抵押物清单!B28</f>
        <v>209</v>
      </c>
      <c r="B48" s="59">
        <f>抵押物清单!D28</f>
        <v>1198.42</v>
      </c>
      <c r="C48" s="24">
        <f t="shared" si="12"/>
        <v>0.88</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v>2</v>
      </c>
      <c r="Q48" s="24">
        <f t="shared" si="19"/>
        <v>0.7</v>
      </c>
      <c r="R48" s="713">
        <f t="shared" ca="1" si="20"/>
        <v>31980</v>
      </c>
      <c r="S48" s="360">
        <f t="shared" ca="1" si="11"/>
        <v>3833</v>
      </c>
    </row>
    <row r="49" spans="1:19">
      <c r="A49" s="2948" t="str">
        <f>抵押物清单!B29</f>
        <v>210</v>
      </c>
      <c r="B49" s="59">
        <f>抵押物清单!D29</f>
        <v>219.29</v>
      </c>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v>2</v>
      </c>
      <c r="Q49" s="24">
        <f t="shared" si="19"/>
        <v>0.7</v>
      </c>
      <c r="R49" s="713">
        <f t="shared" ca="1" si="20"/>
        <v>36341</v>
      </c>
      <c r="S49" s="360">
        <f t="shared" ca="1" si="11"/>
        <v>797</v>
      </c>
    </row>
    <row r="50" spans="1:19">
      <c r="A50" s="2948" t="str">
        <f>抵押物清单!B30</f>
        <v>211</v>
      </c>
      <c r="B50" s="59">
        <f>抵押物清单!D30</f>
        <v>697.27</v>
      </c>
      <c r="C50" s="24">
        <f t="shared" si="12"/>
        <v>0.92</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v>2</v>
      </c>
      <c r="Q50" s="24">
        <f t="shared" si="19"/>
        <v>0.7</v>
      </c>
      <c r="R50" s="713">
        <f t="shared" ca="1" si="20"/>
        <v>33433</v>
      </c>
      <c r="S50" s="360">
        <f t="shared" ca="1" si="11"/>
        <v>2331</v>
      </c>
    </row>
    <row r="51" spans="1:19">
      <c r="A51" s="2948" t="str">
        <f>抵押物清单!B31</f>
        <v>212</v>
      </c>
      <c r="B51" s="59">
        <f>抵押物清单!D31</f>
        <v>234.61</v>
      </c>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v>2</v>
      </c>
      <c r="Q51" s="24">
        <f t="shared" si="19"/>
        <v>0.7</v>
      </c>
      <c r="R51" s="713">
        <f t="shared" ca="1" si="20"/>
        <v>36341</v>
      </c>
      <c r="S51" s="360">
        <f t="shared" ca="1" si="11"/>
        <v>853</v>
      </c>
    </row>
    <row r="52" spans="1:19">
      <c r="A52" s="2948" t="str">
        <f>抵押物清单!B32</f>
        <v>213</v>
      </c>
      <c r="B52" s="59">
        <f>抵押物清单!D32</f>
        <v>2656.5</v>
      </c>
      <c r="C52" s="24">
        <f t="shared" si="12"/>
        <v>0.76</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v>2</v>
      </c>
      <c r="Q52" s="24">
        <f t="shared" si="19"/>
        <v>0.7</v>
      </c>
      <c r="R52" s="713">
        <f t="shared" ca="1" si="20"/>
        <v>27619</v>
      </c>
      <c r="S52" s="360">
        <f t="shared" ca="1" si="11"/>
        <v>7337</v>
      </c>
    </row>
    <row r="53" spans="1:19">
      <c r="A53" s="2948" t="str">
        <f>抵押物清单!B33</f>
        <v>215</v>
      </c>
      <c r="B53" s="59">
        <f>抵押物清单!D33</f>
        <v>79.34</v>
      </c>
      <c r="C53" s="24">
        <f t="shared" si="12"/>
        <v>1.04</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v>2</v>
      </c>
      <c r="Q53" s="24">
        <f t="shared" si="19"/>
        <v>0.7</v>
      </c>
      <c r="R53" s="713">
        <f t="shared" ca="1" si="20"/>
        <v>37794</v>
      </c>
      <c r="S53" s="360">
        <f t="shared" ca="1" si="11"/>
        <v>300</v>
      </c>
    </row>
    <row r="54" spans="1:19">
      <c r="A54" s="2948" t="str">
        <f>抵押物清单!B34</f>
        <v>216</v>
      </c>
      <c r="B54" s="59">
        <f>抵押物清单!D34</f>
        <v>159.34</v>
      </c>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v>2</v>
      </c>
      <c r="Q54" s="24">
        <f t="shared" si="19"/>
        <v>0.7</v>
      </c>
      <c r="R54" s="713">
        <f t="shared" ca="1" si="20"/>
        <v>36341</v>
      </c>
      <c r="S54" s="360">
        <f t="shared" ca="1" si="11"/>
        <v>579</v>
      </c>
    </row>
    <row r="55" spans="1:19">
      <c r="A55" s="2948" t="str">
        <f>抵押物清单!B35</f>
        <v>217</v>
      </c>
      <c r="B55" s="59">
        <f>抵押物清单!D35</f>
        <v>25.73</v>
      </c>
      <c r="C55" s="24">
        <f t="shared" si="12"/>
        <v>1.04</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v>2</v>
      </c>
      <c r="Q55" s="24">
        <f t="shared" si="19"/>
        <v>0.7</v>
      </c>
      <c r="R55" s="713">
        <f t="shared" ca="1" si="20"/>
        <v>37794</v>
      </c>
      <c r="S55" s="360">
        <f t="shared" ref="S55:S77" ca="1" si="21">ROUND(R55*B55/10000,0)</f>
        <v>97</v>
      </c>
    </row>
    <row r="56" spans="1:19">
      <c r="A56" s="2948" t="str">
        <f>抵押物清单!B36</f>
        <v>218</v>
      </c>
      <c r="B56" s="59">
        <f>抵押物清单!D36</f>
        <v>598.48</v>
      </c>
      <c r="C56" s="24">
        <f t="shared" si="12"/>
        <v>0.92</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v>2</v>
      </c>
      <c r="Q56" s="24">
        <f t="shared" si="19"/>
        <v>0.7</v>
      </c>
      <c r="R56" s="713">
        <f t="shared" ca="1" si="20"/>
        <v>33433</v>
      </c>
      <c r="S56" s="360">
        <f t="shared" ca="1" si="21"/>
        <v>2001</v>
      </c>
    </row>
    <row r="57" spans="1:19">
      <c r="A57" s="2948" t="str">
        <f>抵押物清单!B37</f>
        <v>219</v>
      </c>
      <c r="B57" s="59">
        <f>抵押物清单!D37</f>
        <v>53.14</v>
      </c>
      <c r="C57" s="24">
        <f t="shared" si="12"/>
        <v>1.04</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v>2</v>
      </c>
      <c r="Q57" s="24">
        <f t="shared" si="19"/>
        <v>0.7</v>
      </c>
      <c r="R57" s="713">
        <f t="shared" ca="1" si="20"/>
        <v>37794</v>
      </c>
      <c r="S57" s="360">
        <f t="shared" ca="1" si="21"/>
        <v>201</v>
      </c>
    </row>
    <row r="58" spans="1:19">
      <c r="A58" s="2948" t="str">
        <f>抵押物清单!B38</f>
        <v>220</v>
      </c>
      <c r="B58" s="59">
        <f>抵押物清单!D38</f>
        <v>34.92</v>
      </c>
      <c r="C58" s="24">
        <f t="shared" si="12"/>
        <v>1.04</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v>2</v>
      </c>
      <c r="Q58" s="24">
        <f t="shared" si="19"/>
        <v>0.7</v>
      </c>
      <c r="R58" s="713">
        <f t="shared" ca="1" si="20"/>
        <v>37794</v>
      </c>
      <c r="S58" s="360">
        <f t="shared" ca="1" si="21"/>
        <v>132</v>
      </c>
    </row>
    <row r="59" spans="1:19">
      <c r="A59" s="2948" t="str">
        <f>抵押物清单!B39</f>
        <v>303</v>
      </c>
      <c r="B59" s="59">
        <f>抵押物清单!D39</f>
        <v>1608.52</v>
      </c>
      <c r="C59" s="24">
        <f t="shared" si="12"/>
        <v>0.84</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v>3</v>
      </c>
      <c r="Q59" s="24">
        <f t="shared" si="19"/>
        <v>0.6</v>
      </c>
      <c r="R59" s="713">
        <f t="shared" ca="1" si="20"/>
        <v>26165</v>
      </c>
      <c r="S59" s="360">
        <f t="shared" ca="1" si="21"/>
        <v>4209</v>
      </c>
    </row>
    <row r="60" spans="1:19">
      <c r="A60" s="2948" t="str">
        <f>抵押物清单!B40</f>
        <v>304</v>
      </c>
      <c r="B60" s="59">
        <f>抵押物清单!D40</f>
        <v>315.8</v>
      </c>
      <c r="C60" s="24">
        <f t="shared" si="12"/>
        <v>0.96</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v>3</v>
      </c>
      <c r="Q60" s="24">
        <f t="shared" si="19"/>
        <v>0.6</v>
      </c>
      <c r="R60" s="713">
        <f t="shared" ca="1" si="20"/>
        <v>29903</v>
      </c>
      <c r="S60" s="360">
        <f t="shared" ca="1" si="21"/>
        <v>944</v>
      </c>
    </row>
    <row r="61" spans="1:19">
      <c r="A61" s="2948" t="str">
        <f>抵押物清单!B41</f>
        <v>305</v>
      </c>
      <c r="B61" s="59">
        <f>抵押物清单!D41</f>
        <v>778.67</v>
      </c>
      <c r="C61" s="24">
        <f t="shared" si="12"/>
        <v>0.92</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v>3</v>
      </c>
      <c r="Q61" s="24">
        <f t="shared" si="19"/>
        <v>0.6</v>
      </c>
      <c r="R61" s="713">
        <f t="shared" ca="1" si="20"/>
        <v>28657</v>
      </c>
      <c r="S61" s="360">
        <f t="shared" ca="1" si="21"/>
        <v>2231</v>
      </c>
    </row>
    <row r="62" spans="1:19">
      <c r="A62" s="2948" t="str">
        <f>抵押物清单!B42</f>
        <v>306</v>
      </c>
      <c r="B62" s="59">
        <f>抵押物清单!D42</f>
        <v>82.3</v>
      </c>
      <c r="C62" s="24">
        <f t="shared" si="12"/>
        <v>1.04</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v>3</v>
      </c>
      <c r="Q62" s="24">
        <f t="shared" si="19"/>
        <v>0.6</v>
      </c>
      <c r="R62" s="713">
        <f t="shared" ca="1" si="20"/>
        <v>32395</v>
      </c>
      <c r="S62" s="360">
        <f t="shared" ca="1" si="21"/>
        <v>267</v>
      </c>
    </row>
    <row r="63" spans="1:19">
      <c r="A63" s="2948" t="str">
        <f>抵押物清单!B43</f>
        <v>307</v>
      </c>
      <c r="B63" s="59">
        <f>抵押物清单!D43</f>
        <v>91.81</v>
      </c>
      <c r="C63" s="24">
        <f t="shared" si="12"/>
        <v>1.04</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v>3</v>
      </c>
      <c r="Q63" s="24">
        <f t="shared" si="19"/>
        <v>0.6</v>
      </c>
      <c r="R63" s="713">
        <f t="shared" ca="1" si="20"/>
        <v>32395</v>
      </c>
      <c r="S63" s="360">
        <f t="shared" ca="1" si="21"/>
        <v>297</v>
      </c>
    </row>
    <row r="64" spans="1:19">
      <c r="A64" s="2948" t="str">
        <f>抵押物清单!B44</f>
        <v>308</v>
      </c>
      <c r="B64" s="59">
        <f>抵押物清单!D44</f>
        <v>2658.15</v>
      </c>
      <c r="C64" s="24">
        <f t="shared" si="12"/>
        <v>0.76</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v>3</v>
      </c>
      <c r="Q64" s="24">
        <f t="shared" si="19"/>
        <v>0.6</v>
      </c>
      <c r="R64" s="713">
        <f t="shared" ca="1" si="20"/>
        <v>23673</v>
      </c>
      <c r="S64" s="360">
        <f t="shared" ca="1" si="21"/>
        <v>6293</v>
      </c>
    </row>
    <row r="65" spans="1:19">
      <c r="A65" s="2948" t="str">
        <f>抵押物清单!B45</f>
        <v>309</v>
      </c>
      <c r="B65" s="59">
        <f>抵押物清单!D45</f>
        <v>2449.62</v>
      </c>
      <c r="C65" s="24">
        <f t="shared" si="12"/>
        <v>0.8</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v>3</v>
      </c>
      <c r="Q65" s="24">
        <f t="shared" si="19"/>
        <v>0.6</v>
      </c>
      <c r="R65" s="713">
        <f t="shared" ca="1" si="20"/>
        <v>24919</v>
      </c>
      <c r="S65" s="360">
        <f t="shared" ca="1" si="21"/>
        <v>6104</v>
      </c>
    </row>
    <row r="66" spans="1:19">
      <c r="A66" s="2948" t="str">
        <f>抵押物清单!B46</f>
        <v>311</v>
      </c>
      <c r="B66" s="59">
        <f>抵押物清单!D46</f>
        <v>76.19</v>
      </c>
      <c r="C66" s="24">
        <f t="shared" si="12"/>
        <v>1.04</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v>3</v>
      </c>
      <c r="Q66" s="24">
        <f t="shared" si="19"/>
        <v>0.6</v>
      </c>
      <c r="R66" s="713">
        <f t="shared" ca="1" si="20"/>
        <v>32395</v>
      </c>
      <c r="S66" s="360">
        <f t="shared" ca="1" si="21"/>
        <v>247</v>
      </c>
    </row>
    <row r="67" spans="1:19">
      <c r="A67" s="2948" t="str">
        <f>抵押物清单!B47</f>
        <v>312</v>
      </c>
      <c r="B67" s="59">
        <f>抵押物清单!D47</f>
        <v>170.96</v>
      </c>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v>3</v>
      </c>
      <c r="Q67" s="24">
        <f t="shared" si="19"/>
        <v>0.6</v>
      </c>
      <c r="R67" s="713">
        <f t="shared" ca="1" si="20"/>
        <v>31149</v>
      </c>
      <c r="S67" s="360">
        <f t="shared" ca="1" si="21"/>
        <v>533</v>
      </c>
    </row>
    <row r="68" spans="1:19">
      <c r="A68" s="2948" t="str">
        <f>抵押物清单!B48</f>
        <v>313</v>
      </c>
      <c r="B68" s="59">
        <f>抵押物清单!D48</f>
        <v>23.54</v>
      </c>
      <c r="C68" s="24">
        <f t="shared" si="12"/>
        <v>1.04</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v>3</v>
      </c>
      <c r="Q68" s="24">
        <f t="shared" si="19"/>
        <v>0.6</v>
      </c>
      <c r="R68" s="713">
        <f t="shared" ca="1" si="20"/>
        <v>32395</v>
      </c>
      <c r="S68" s="360">
        <f t="shared" ca="1" si="21"/>
        <v>76</v>
      </c>
    </row>
    <row r="69" spans="1:19">
      <c r="A69" s="2948" t="str">
        <f>抵押物清单!B49</f>
        <v>314</v>
      </c>
      <c r="B69" s="59">
        <f>抵押物清单!D49</f>
        <v>1154.83</v>
      </c>
      <c r="C69" s="24">
        <f t="shared" si="12"/>
        <v>0.88</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v>3</v>
      </c>
      <c r="Q69" s="24">
        <f t="shared" si="19"/>
        <v>0.6</v>
      </c>
      <c r="R69" s="713">
        <f t="shared" ca="1" si="20"/>
        <v>27411</v>
      </c>
      <c r="S69" s="360">
        <f t="shared" ca="1" si="21"/>
        <v>3166</v>
      </c>
    </row>
    <row r="70" spans="1:19">
      <c r="A70" s="2948" t="str">
        <f>抵押物清单!B50</f>
        <v>315</v>
      </c>
      <c r="B70" s="59">
        <f>抵押物清单!D50</f>
        <v>33.93</v>
      </c>
      <c r="C70" s="24">
        <f t="shared" si="12"/>
        <v>1.04</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v>3</v>
      </c>
      <c r="Q70" s="24">
        <f t="shared" si="19"/>
        <v>0.6</v>
      </c>
      <c r="R70" s="713">
        <f t="shared" ca="1" si="20"/>
        <v>32395</v>
      </c>
      <c r="S70" s="360">
        <f t="shared" ca="1" si="21"/>
        <v>110</v>
      </c>
    </row>
    <row r="71" spans="1:19">
      <c r="A71" s="2948" t="str">
        <f>抵押物清单!B51</f>
        <v>403</v>
      </c>
      <c r="B71" s="59">
        <f>抵押物清单!D51</f>
        <v>1602.55</v>
      </c>
      <c r="C71" s="24">
        <f t="shared" si="12"/>
        <v>0.84</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v>4</v>
      </c>
      <c r="Q71" s="24">
        <f t="shared" si="19"/>
        <v>0.5</v>
      </c>
      <c r="R71" s="713">
        <f t="shared" ca="1" si="20"/>
        <v>21804</v>
      </c>
      <c r="S71" s="360">
        <f t="shared" ca="1" si="21"/>
        <v>3494</v>
      </c>
    </row>
    <row r="72" spans="1:19">
      <c r="A72" s="2948" t="str">
        <f>抵押物清单!B52</f>
        <v>404</v>
      </c>
      <c r="B72" s="59">
        <f>抵押物清单!D52</f>
        <v>771.97</v>
      </c>
      <c r="C72" s="24">
        <f t="shared" si="12"/>
        <v>0.92</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v>4</v>
      </c>
      <c r="Q72" s="24">
        <f t="shared" si="19"/>
        <v>0.5</v>
      </c>
      <c r="R72" s="713">
        <f t="shared" ca="1" si="20"/>
        <v>23881</v>
      </c>
      <c r="S72" s="360">
        <f t="shared" ca="1" si="21"/>
        <v>1844</v>
      </c>
    </row>
    <row r="73" spans="1:19">
      <c r="A73" s="2948" t="str">
        <f>抵押物清单!B53</f>
        <v>405</v>
      </c>
      <c r="B73" s="59">
        <f>抵押物清单!D53</f>
        <v>316.49</v>
      </c>
      <c r="C73" s="24">
        <f t="shared" si="12"/>
        <v>0.96</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v>4</v>
      </c>
      <c r="Q73" s="24">
        <f t="shared" si="19"/>
        <v>0.5</v>
      </c>
      <c r="R73" s="713">
        <f t="shared" ca="1" si="20"/>
        <v>24919</v>
      </c>
      <c r="S73" s="360">
        <f t="shared" ca="1" si="21"/>
        <v>789</v>
      </c>
    </row>
    <row r="74" spans="1:19">
      <c r="A74" s="2948" t="str">
        <f>抵押物清单!B54</f>
        <v>406</v>
      </c>
      <c r="B74" s="59">
        <f>抵押物清单!D54</f>
        <v>112.02</v>
      </c>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v>4</v>
      </c>
      <c r="Q74" s="24">
        <f t="shared" si="19"/>
        <v>0.5</v>
      </c>
      <c r="R74" s="713">
        <f t="shared" ca="1" si="20"/>
        <v>25958</v>
      </c>
      <c r="S74" s="360">
        <f t="shared" ca="1" si="21"/>
        <v>291</v>
      </c>
    </row>
    <row r="75" spans="1:19">
      <c r="A75" s="2948" t="str">
        <f>抵押物清单!B55</f>
        <v>407</v>
      </c>
      <c r="B75" s="59">
        <f>抵押物清单!D55</f>
        <v>82.32</v>
      </c>
      <c r="C75" s="24">
        <f t="shared" si="12"/>
        <v>1.04</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v>4</v>
      </c>
      <c r="Q75" s="24">
        <f t="shared" si="19"/>
        <v>0.5</v>
      </c>
      <c r="R75" s="713">
        <f t="shared" ca="1" si="20"/>
        <v>26996</v>
      </c>
      <c r="S75" s="360">
        <f t="shared" ca="1" si="21"/>
        <v>222</v>
      </c>
    </row>
    <row r="76" spans="1:19">
      <c r="A76" s="2948" t="str">
        <f>抵押物清单!B56</f>
        <v>408</v>
      </c>
      <c r="B76" s="59">
        <f>抵押物清单!D56</f>
        <v>2614.14</v>
      </c>
      <c r="C76" s="24">
        <f t="shared" si="12"/>
        <v>0.76</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v>4</v>
      </c>
      <c r="Q76" s="24">
        <f t="shared" si="19"/>
        <v>0.5</v>
      </c>
      <c r="R76" s="713">
        <f t="shared" ca="1" si="20"/>
        <v>19728</v>
      </c>
      <c r="S76" s="360">
        <f t="shared" ca="1" si="21"/>
        <v>5157</v>
      </c>
    </row>
    <row r="77" spans="1:19">
      <c r="A77" s="2948" t="str">
        <f>抵押物清单!B57</f>
        <v>409</v>
      </c>
      <c r="B77" s="59">
        <f>抵押物清单!D57</f>
        <v>2452.11</v>
      </c>
      <c r="C77" s="24">
        <f t="shared" si="12"/>
        <v>0.8</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v>4</v>
      </c>
      <c r="Q77" s="24">
        <f t="shared" si="19"/>
        <v>0.5</v>
      </c>
      <c r="R77" s="713">
        <f t="shared" ca="1" si="20"/>
        <v>20766</v>
      </c>
      <c r="S77" s="360">
        <f t="shared" ca="1" si="21"/>
        <v>5092</v>
      </c>
    </row>
    <row r="78" spans="1:19">
      <c r="A78" s="2948" t="str">
        <f>抵押物清单!B58</f>
        <v>410</v>
      </c>
      <c r="B78" s="59">
        <f>抵押物清单!D58</f>
        <v>163.57</v>
      </c>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v>4</v>
      </c>
      <c r="Q78" s="24">
        <f t="shared" si="19"/>
        <v>0.5</v>
      </c>
      <c r="R78" s="713">
        <f t="shared" ca="1" si="20"/>
        <v>25958</v>
      </c>
      <c r="S78" s="360">
        <f t="shared" ref="S78:S122" ca="1" si="22">ROUND(R78*B78/10000,0)</f>
        <v>425</v>
      </c>
    </row>
    <row r="79" spans="1:19">
      <c r="A79" s="2948" t="str">
        <f>抵押物清单!B59</f>
        <v>411</v>
      </c>
      <c r="B79" s="59">
        <f>抵押物清单!D59</f>
        <v>23.6</v>
      </c>
      <c r="C79" s="24">
        <f t="shared" si="12"/>
        <v>1.04</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v>4</v>
      </c>
      <c r="Q79" s="24">
        <f t="shared" si="19"/>
        <v>0.5</v>
      </c>
      <c r="R79" s="713">
        <f t="shared" ca="1" si="20"/>
        <v>26996</v>
      </c>
      <c r="S79" s="360">
        <f t="shared" ca="1" si="22"/>
        <v>64</v>
      </c>
    </row>
    <row r="80" spans="1:19">
      <c r="A80" s="2948" t="str">
        <f>抵押物清单!B60</f>
        <v>412</v>
      </c>
      <c r="B80" s="59">
        <f>抵押物清单!D60</f>
        <v>220.25</v>
      </c>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v>4</v>
      </c>
      <c r="Q80" s="24">
        <f t="shared" si="19"/>
        <v>0.5</v>
      </c>
      <c r="R80" s="713">
        <f t="shared" ca="1" si="20"/>
        <v>25958</v>
      </c>
      <c r="S80" s="360">
        <f t="shared" ca="1" si="22"/>
        <v>572</v>
      </c>
    </row>
    <row r="81" spans="1:19">
      <c r="A81" s="2948" t="str">
        <f>抵押物清单!B61</f>
        <v>413</v>
      </c>
      <c r="B81" s="59">
        <f>抵押物清单!D61</f>
        <v>972.57</v>
      </c>
      <c r="C81" s="24">
        <f t="shared" si="12"/>
        <v>0.92</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v>4</v>
      </c>
      <c r="Q81" s="24">
        <f t="shared" si="19"/>
        <v>0.5</v>
      </c>
      <c r="R81" s="713">
        <f t="shared" ca="1" si="20"/>
        <v>23881</v>
      </c>
      <c r="S81" s="360">
        <f t="shared" ca="1" si="22"/>
        <v>2323</v>
      </c>
    </row>
    <row r="82" spans="1:19">
      <c r="A82" s="2948" t="str">
        <f>抵押物清单!B62</f>
        <v>414</v>
      </c>
      <c r="B82" s="59">
        <f>抵押物清单!D62</f>
        <v>34.01</v>
      </c>
      <c r="C82" s="24">
        <f t="shared" si="12"/>
        <v>1.04</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v>4</v>
      </c>
      <c r="Q82" s="24">
        <f t="shared" si="19"/>
        <v>0.5</v>
      </c>
      <c r="R82" s="713">
        <f t="shared" ca="1" si="20"/>
        <v>26996</v>
      </c>
      <c r="S82" s="360">
        <f t="shared" ca="1" si="22"/>
        <v>92</v>
      </c>
    </row>
    <row r="83" spans="1:19">
      <c r="A83" s="2948" t="str">
        <f>抵押物清单!B63</f>
        <v>503</v>
      </c>
      <c r="B83" s="59">
        <f>抵押物清单!D63</f>
        <v>1577.52</v>
      </c>
      <c r="C83" s="24">
        <f t="shared" si="12"/>
        <v>0.84</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v>5</v>
      </c>
      <c r="Q83" s="24">
        <f t="shared" si="19"/>
        <v>0.5</v>
      </c>
      <c r="R83" s="713">
        <f t="shared" ca="1" si="20"/>
        <v>21804</v>
      </c>
      <c r="S83" s="360">
        <f t="shared" ca="1" si="22"/>
        <v>3440</v>
      </c>
    </row>
    <row r="84" spans="1:19">
      <c r="A84" s="2948" t="str">
        <f>抵押物清单!B64</f>
        <v>504</v>
      </c>
      <c r="B84" s="59">
        <f>抵押物清单!D64</f>
        <v>310.77999999999997</v>
      </c>
      <c r="C84" s="24">
        <f t="shared" si="12"/>
        <v>0.96</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v>5</v>
      </c>
      <c r="Q84" s="24">
        <f t="shared" si="19"/>
        <v>0.5</v>
      </c>
      <c r="R84" s="713">
        <f t="shared" ca="1" si="20"/>
        <v>24919</v>
      </c>
      <c r="S84" s="360">
        <f t="shared" ca="1" si="22"/>
        <v>774</v>
      </c>
    </row>
    <row r="85" spans="1:19">
      <c r="A85" s="2948" t="str">
        <f>抵押物清单!B65</f>
        <v>505</v>
      </c>
      <c r="B85" s="59">
        <f>抵押物清单!D65</f>
        <v>766.1</v>
      </c>
      <c r="C85" s="24">
        <f t="shared" si="12"/>
        <v>0.92</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v>5</v>
      </c>
      <c r="Q85" s="24">
        <f t="shared" si="19"/>
        <v>0.5</v>
      </c>
      <c r="R85" s="713">
        <f t="shared" ca="1" si="20"/>
        <v>23881</v>
      </c>
      <c r="S85" s="360">
        <f t="shared" ca="1" si="22"/>
        <v>1830</v>
      </c>
    </row>
    <row r="86" spans="1:19">
      <c r="A86" s="2948" t="str">
        <f>抵押物清单!B66</f>
        <v>506</v>
      </c>
      <c r="B86" s="59">
        <f>抵押物清单!D66</f>
        <v>80.569999999999993</v>
      </c>
      <c r="C86" s="24">
        <f t="shared" si="12"/>
        <v>1.04</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v>5</v>
      </c>
      <c r="Q86" s="24">
        <f t="shared" si="19"/>
        <v>0.5</v>
      </c>
      <c r="R86" s="713">
        <f t="shared" ca="1" si="20"/>
        <v>26996</v>
      </c>
      <c r="S86" s="360">
        <f t="shared" ca="1" si="22"/>
        <v>218</v>
      </c>
    </row>
    <row r="87" spans="1:19">
      <c r="A87" s="2948" t="str">
        <f>抵押物清单!B67</f>
        <v>507</v>
      </c>
      <c r="B87" s="59">
        <f>抵押物清单!D67</f>
        <v>110.19</v>
      </c>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v>5</v>
      </c>
      <c r="Q87" s="24">
        <f t="shared" si="19"/>
        <v>0.5</v>
      </c>
      <c r="R87" s="713">
        <f t="shared" ca="1" si="20"/>
        <v>25958</v>
      </c>
      <c r="S87" s="360">
        <f t="shared" ca="1" si="22"/>
        <v>286</v>
      </c>
    </row>
    <row r="88" spans="1:19">
      <c r="A88" s="2948" t="str">
        <f>抵押物清单!B68</f>
        <v>508</v>
      </c>
      <c r="B88" s="59">
        <f>抵押物清单!D68</f>
        <v>2565</v>
      </c>
      <c r="C88" s="24">
        <f t="shared" si="12"/>
        <v>0.76</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v>5</v>
      </c>
      <c r="Q88" s="24">
        <f t="shared" si="19"/>
        <v>0.5</v>
      </c>
      <c r="R88" s="713">
        <f t="shared" ca="1" si="20"/>
        <v>19728</v>
      </c>
      <c r="S88" s="360">
        <f t="shared" ca="1" si="22"/>
        <v>5060</v>
      </c>
    </row>
    <row r="89" spans="1:19">
      <c r="A89" s="2948" t="str">
        <f>抵押物清单!B69</f>
        <v>509</v>
      </c>
      <c r="B89" s="59">
        <f>抵押物清单!D69</f>
        <v>2506.42</v>
      </c>
      <c r="C89" s="24">
        <f t="shared" si="12"/>
        <v>0.76</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v>5</v>
      </c>
      <c r="Q89" s="24">
        <f t="shared" si="19"/>
        <v>0.5</v>
      </c>
      <c r="R89" s="713">
        <f t="shared" ca="1" si="20"/>
        <v>19728</v>
      </c>
      <c r="S89" s="360">
        <f t="shared" ca="1" si="22"/>
        <v>4945</v>
      </c>
    </row>
    <row r="90" spans="1:19">
      <c r="A90" s="2948" t="str">
        <f>抵押物清单!B70</f>
        <v>510</v>
      </c>
      <c r="B90" s="59">
        <f>抵押物清单!D70</f>
        <v>3298.6</v>
      </c>
      <c r="C90" s="24">
        <f t="shared" ref="C90:C153" si="23">IF(B90="",1,(LOOKUP(B90,$3:$3,$4:$4)-LOOKUP($B$24,$3:$3,$4:$4)+100)/100)</f>
        <v>0.72</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3161</v>
      </c>
      <c r="Q90" s="2969">
        <f t="shared" ref="Q90:Q153" si="30">(SUMIF($17:$17,P90,$18:$18)-SUMIF($17:$17,$P$24,$18:$18)+100)/100</f>
        <v>0.63</v>
      </c>
      <c r="R90" s="713">
        <f t="shared" ref="R90:R153" ca="1" si="31">IF(B90="",0,ROUND($R$24*C90*E90*G90*I90*K90*M90*O90*Q90,0))</f>
        <v>23549</v>
      </c>
      <c r="S90" s="360">
        <f t="shared" ca="1" si="22"/>
        <v>7768</v>
      </c>
    </row>
    <row r="91" spans="1:19">
      <c r="A91" s="2948" t="str">
        <f>抵押物清单!B71</f>
        <v>511</v>
      </c>
      <c r="B91" s="59">
        <f>抵押物清单!D71</f>
        <v>23.19</v>
      </c>
      <c r="C91" s="24">
        <f t="shared" si="23"/>
        <v>1.04</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v>5</v>
      </c>
      <c r="Q91" s="24">
        <f t="shared" si="30"/>
        <v>0.5</v>
      </c>
      <c r="R91" s="713">
        <f t="shared" ca="1" si="31"/>
        <v>26996</v>
      </c>
      <c r="S91" s="360">
        <f t="shared" ca="1" si="22"/>
        <v>63</v>
      </c>
    </row>
    <row r="92" spans="1:19">
      <c r="A92" s="2948" t="str">
        <f>抵押物清单!B72</f>
        <v>603</v>
      </c>
      <c r="B92" s="59">
        <f>抵押物清单!D72</f>
        <v>1048.55</v>
      </c>
      <c r="C92" s="24">
        <f t="shared" si="23"/>
        <v>0.88</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v>6</v>
      </c>
      <c r="Q92" s="24">
        <f t="shared" si="30"/>
        <v>0.5</v>
      </c>
      <c r="R92" s="713">
        <f t="shared" ca="1" si="31"/>
        <v>22843</v>
      </c>
      <c r="S92" s="360">
        <f t="shared" ca="1" si="22"/>
        <v>2395</v>
      </c>
    </row>
    <row r="93" spans="1:19">
      <c r="A93" s="2948" t="str">
        <f>抵押物清单!B73</f>
        <v>604</v>
      </c>
      <c r="B93" s="59">
        <f>抵押物清单!D73</f>
        <v>315.52</v>
      </c>
      <c r="C93" s="24">
        <f t="shared" si="23"/>
        <v>0.96</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v>6</v>
      </c>
      <c r="Q93" s="24">
        <f t="shared" si="30"/>
        <v>0.5</v>
      </c>
      <c r="R93" s="713">
        <f t="shared" ca="1" si="31"/>
        <v>24919</v>
      </c>
      <c r="S93" s="360">
        <f t="shared" ca="1" si="22"/>
        <v>786</v>
      </c>
    </row>
    <row r="94" spans="1:19">
      <c r="A94" s="2948" t="str">
        <f>抵押物清单!B74</f>
        <v>606</v>
      </c>
      <c r="B94" s="59">
        <f>抵押物清单!D74</f>
        <v>83.26</v>
      </c>
      <c r="C94" s="24">
        <f t="shared" si="23"/>
        <v>1.04</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v>6</v>
      </c>
      <c r="Q94" s="24">
        <f t="shared" si="30"/>
        <v>0.5</v>
      </c>
      <c r="R94" s="713">
        <f t="shared" ca="1" si="31"/>
        <v>26996</v>
      </c>
      <c r="S94" s="360">
        <f t="shared" ca="1" si="22"/>
        <v>225</v>
      </c>
    </row>
    <row r="95" spans="1:19">
      <c r="A95" s="2948" t="str">
        <f>抵押物清单!B75</f>
        <v>607</v>
      </c>
      <c r="B95" s="59">
        <f>抵押物清单!D75</f>
        <v>113.87</v>
      </c>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v>6</v>
      </c>
      <c r="Q95" s="24">
        <f t="shared" si="30"/>
        <v>0.5</v>
      </c>
      <c r="R95" s="713">
        <f t="shared" ca="1" si="31"/>
        <v>25958</v>
      </c>
      <c r="S95" s="360">
        <f t="shared" ca="1" si="22"/>
        <v>296</v>
      </c>
    </row>
    <row r="96" spans="1:19">
      <c r="A96" s="2948" t="str">
        <f>抵押物清单!B76</f>
        <v>608</v>
      </c>
      <c r="B96" s="59">
        <f>抵押物清单!D76</f>
        <v>2456.85</v>
      </c>
      <c r="C96" s="24">
        <f t="shared" si="23"/>
        <v>0.8</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v>6</v>
      </c>
      <c r="Q96" s="24">
        <f t="shared" si="30"/>
        <v>0.5</v>
      </c>
      <c r="R96" s="713">
        <f t="shared" ca="1" si="31"/>
        <v>20766</v>
      </c>
      <c r="S96" s="360">
        <f t="shared" ca="1" si="22"/>
        <v>5102</v>
      </c>
    </row>
    <row r="97" spans="1:19">
      <c r="A97" s="2948" t="str">
        <f>抵押物清单!B77</f>
        <v>609</v>
      </c>
      <c r="B97" s="59">
        <f>抵押物清单!D77</f>
        <v>2652</v>
      </c>
      <c r="C97" s="24">
        <f t="shared" si="23"/>
        <v>0.76</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v>6</v>
      </c>
      <c r="Q97" s="24">
        <f t="shared" si="30"/>
        <v>0.5</v>
      </c>
      <c r="R97" s="713">
        <f t="shared" ca="1" si="31"/>
        <v>19728</v>
      </c>
      <c r="S97" s="360">
        <f t="shared" ca="1" si="22"/>
        <v>5232</v>
      </c>
    </row>
    <row r="98" spans="1:19">
      <c r="A98" s="2948" t="str">
        <f>抵押物清单!B78</f>
        <v>610</v>
      </c>
      <c r="B98" s="59">
        <f>抵押物清单!D78</f>
        <v>23.87</v>
      </c>
      <c r="C98" s="24">
        <f t="shared" si="23"/>
        <v>1.04</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v>6</v>
      </c>
      <c r="Q98" s="24">
        <f t="shared" si="30"/>
        <v>0.5</v>
      </c>
      <c r="R98" s="713">
        <f t="shared" ca="1" si="31"/>
        <v>26996</v>
      </c>
      <c r="S98" s="360">
        <f t="shared" ca="1" si="22"/>
        <v>64</v>
      </c>
    </row>
    <row r="99" spans="1:19">
      <c r="A99" s="2948" t="str">
        <f>抵押物清单!B79</f>
        <v>612</v>
      </c>
      <c r="B99" s="59">
        <f>抵押物清单!D79</f>
        <v>71.33</v>
      </c>
      <c r="C99" s="24">
        <f t="shared" si="23"/>
        <v>1.04</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v>6</v>
      </c>
      <c r="Q99" s="24">
        <f t="shared" si="30"/>
        <v>0.5</v>
      </c>
      <c r="R99" s="713">
        <f t="shared" ca="1" si="31"/>
        <v>26996</v>
      </c>
      <c r="S99" s="360">
        <f t="shared" ca="1" si="22"/>
        <v>193</v>
      </c>
    </row>
    <row r="100" spans="1:19">
      <c r="A100" s="2948" t="str">
        <f>抵押物清单!B80</f>
        <v>701</v>
      </c>
      <c r="B100" s="59">
        <f>抵押物清单!D80</f>
        <v>648.4</v>
      </c>
      <c r="C100" s="24">
        <f t="shared" si="23"/>
        <v>0.92</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v>7</v>
      </c>
      <c r="Q100" s="24">
        <f t="shared" si="30"/>
        <v>0.5</v>
      </c>
      <c r="R100" s="713">
        <f t="shared" ca="1" si="31"/>
        <v>23881</v>
      </c>
      <c r="S100" s="360">
        <f t="shared" ca="1" si="22"/>
        <v>1548</v>
      </c>
    </row>
    <row r="101" spans="1:19">
      <c r="A101" s="2948" t="str">
        <f>抵押物清单!B81</f>
        <v>702</v>
      </c>
      <c r="B101" s="59">
        <f>抵押物清单!D81</f>
        <v>1118.23</v>
      </c>
      <c r="C101" s="24">
        <f t="shared" si="23"/>
        <v>0.88</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3163</v>
      </c>
      <c r="Q101" s="2969">
        <f t="shared" si="30"/>
        <v>0.61</v>
      </c>
      <c r="R101" s="713">
        <f t="shared" ca="1" si="31"/>
        <v>27868</v>
      </c>
      <c r="S101" s="360">
        <f t="shared" ca="1" si="22"/>
        <v>3116</v>
      </c>
    </row>
    <row r="102" spans="1:19">
      <c r="A102" s="2948">
        <f>抵押物清单!B3</f>
        <v>-101</v>
      </c>
      <c r="B102" s="2949">
        <f>抵押物清单!D3</f>
        <v>1099.6099999999999</v>
      </c>
      <c r="C102" s="24">
        <f t="shared" si="23"/>
        <v>0.88</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v>-1</v>
      </c>
      <c r="Q102" s="2969">
        <f t="shared" si="30"/>
        <v>0.5</v>
      </c>
      <c r="R102" s="713">
        <f t="shared" ca="1" si="31"/>
        <v>22843</v>
      </c>
      <c r="S102" s="360">
        <f t="shared" ca="1" si="22"/>
        <v>2512</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28472</v>
      </c>
      <c r="C2" s="2" t="s">
        <v>133</v>
      </c>
      <c r="D2" s="242"/>
      <c r="E2" s="242"/>
      <c r="F2" s="242"/>
      <c r="G2" s="242"/>
    </row>
    <row r="3" spans="1:7" s="243" customFormat="1" ht="18" customHeight="1" thickBot="1">
      <c r="A3" s="246" t="s">
        <v>85</v>
      </c>
      <c r="B3" s="247">
        <f ca="1">ROUND(B2*10000/'数据-汇总表'!E3,0)</f>
        <v>2135774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105</v>
      </c>
      <c r="F9" s="264"/>
      <c r="G9" s="269"/>
    </row>
    <row r="10" spans="1:7" s="257" customFormat="1" ht="13.5" customHeight="1">
      <c r="A10" s="950" t="s">
        <v>801</v>
      </c>
      <c r="B10" s="267" t="s">
        <v>94</v>
      </c>
      <c r="C10" s="268">
        <f>ROUND(D10*E10/10000,0)</f>
        <v>1</v>
      </c>
      <c r="D10" s="1032">
        <f>'数据-汇总表'!E6</f>
        <v>133.31</v>
      </c>
      <c r="E10" s="268">
        <f>'数据-取费表'!B28</f>
        <v>105</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3</v>
      </c>
      <c r="D19" s="1036">
        <f>'数据-汇总表'!E3</f>
        <v>133.31</v>
      </c>
      <c r="E19" s="254">
        <f>'数据-取费表'!B31</f>
        <v>200</v>
      </c>
      <c r="F19" s="274"/>
      <c r="G19" s="1" t="s">
        <v>1074</v>
      </c>
    </row>
    <row r="20" spans="1:7" s="257" customFormat="1" ht="13.5" customHeight="1">
      <c r="A20" s="948" t="s">
        <v>1057</v>
      </c>
      <c r="B20" s="253" t="s">
        <v>104</v>
      </c>
      <c r="C20" s="275">
        <f>ROUND((C5+C19)*F20,0)</f>
        <v>412</v>
      </c>
      <c r="D20" s="275"/>
      <c r="E20" s="275"/>
      <c r="F20" s="276">
        <f>'数据-取费表'!B37</f>
        <v>0.02</v>
      </c>
      <c r="G20" s="1285" t="s">
        <v>1068</v>
      </c>
    </row>
    <row r="21" spans="1:7" s="257" customFormat="1" ht="13.5" customHeight="1">
      <c r="A21" s="948" t="s">
        <v>1059</v>
      </c>
      <c r="B21" s="253" t="s">
        <v>105</v>
      </c>
      <c r="C21" s="278">
        <f>F21</f>
        <v>0.02</v>
      </c>
      <c r="D21" s="279" t="s">
        <v>126</v>
      </c>
      <c r="E21" s="275"/>
      <c r="F21" s="276">
        <f>'数据-取费表'!B38</f>
        <v>0.02</v>
      </c>
      <c r="G21" s="277" t="s">
        <v>106</v>
      </c>
    </row>
    <row r="22" spans="1:7" s="257" customFormat="1" ht="13.5" customHeight="1">
      <c r="A22" s="948" t="s">
        <v>786</v>
      </c>
      <c r="B22" s="253" t="s">
        <v>107</v>
      </c>
      <c r="C22" s="1350">
        <f ca="1">ROUND(SUM(C23:C25),0)</f>
        <v>2024</v>
      </c>
      <c r="D22" s="278">
        <f ca="1">C26</f>
        <v>1E-3</v>
      </c>
      <c r="E22" s="279" t="s">
        <v>126</v>
      </c>
      <c r="F22" s="280">
        <f ca="1">'数据-取费表'!B40</f>
        <v>4.7500000000000001E-2</v>
      </c>
      <c r="G22" s="1285" t="str">
        <f>IF('数据-取费表'!B22&lt;=1,"单利计息","复利计息")</f>
        <v>复利计息</v>
      </c>
    </row>
    <row r="23" spans="1:7" s="257" customFormat="1" ht="13.5" customHeight="1">
      <c r="A23" s="951" t="s">
        <v>794</v>
      </c>
      <c r="B23" s="258" t="s">
        <v>1061</v>
      </c>
      <c r="C23" s="1351">
        <f ca="1">ROUND(IF('数据-取费表'!B22&lt;=1,C5*F22*'数据-取费表'!B23,C5*(POWER((1+F22),'数据-取费表'!B23)-1)),0)</f>
        <v>2004</v>
      </c>
      <c r="D23" s="281"/>
      <c r="E23" s="281"/>
      <c r="F23" s="282"/>
      <c r="G23" s="283" t="s">
        <v>108</v>
      </c>
    </row>
    <row r="24" spans="1:7" s="257" customFormat="1" ht="13.5" customHeight="1">
      <c r="A24" s="951" t="s">
        <v>792</v>
      </c>
      <c r="B24" s="258" t="s">
        <v>1056</v>
      </c>
      <c r="C24" s="1351">
        <f ca="1">ROUND(IF('数据-取费表'!B22&lt;=1,C19*F22*('数据-取费表'!B19/2+'数据-取费表'!B21),C19*(POWER((1+F22),('数据-取费表'!B19/2+'数据-取费表'!B21))-1)),0)</f>
        <v>0</v>
      </c>
      <c r="D24" s="281"/>
      <c r="E24" s="281"/>
      <c r="F24" s="282"/>
      <c r="G24" s="283" t="s">
        <v>109</v>
      </c>
    </row>
    <row r="25" spans="1:7" s="257" customFormat="1" ht="24">
      <c r="A25" s="951" t="s">
        <v>793</v>
      </c>
      <c r="B25" s="258" t="s">
        <v>1058</v>
      </c>
      <c r="C25" s="1351">
        <f ca="1">ROUND(IF('数据-取费表'!B22&lt;=1,C20*F22*'数据-取费表'!B23/2,C20*(POWER((1+F22),'数据-取费表'!B23/2)-1)),0)</f>
        <v>20</v>
      </c>
      <c r="D25" s="281"/>
      <c r="E25" s="284"/>
      <c r="F25" s="282"/>
      <c r="G25" s="285" t="s">
        <v>110</v>
      </c>
    </row>
    <row r="26" spans="1:7" s="257" customFormat="1">
      <c r="A26" s="951" t="s">
        <v>795</v>
      </c>
      <c r="B26" s="258" t="s">
        <v>1060</v>
      </c>
      <c r="C26" s="281">
        <f ca="1">ROUND(IF('数据-取费表'!B22&lt;=1,F21*F22*'数据-取费表'!B23/2,F21*(POWER((1+F22),'数据-取费表'!B23/2)-1)),4)</f>
        <v>1E-3</v>
      </c>
      <c r="D26" s="281"/>
      <c r="E26" s="284"/>
      <c r="F26" s="282"/>
      <c r="G26" s="286"/>
    </row>
    <row r="27" spans="1:7" s="257" customFormat="1" ht="24.75">
      <c r="A27" s="948" t="s">
        <v>787</v>
      </c>
      <c r="B27" s="287" t="s">
        <v>112</v>
      </c>
      <c r="C27" s="288">
        <f>C28</f>
        <v>3154</v>
      </c>
      <c r="D27" s="278">
        <f>C29</f>
        <v>3.0000000000000001E-3</v>
      </c>
      <c r="E27" s="279" t="s">
        <v>126</v>
      </c>
      <c r="F27" s="289">
        <f>'数据-取费表'!Q16</f>
        <v>0.15</v>
      </c>
      <c r="G27" s="290" t="s">
        <v>1069</v>
      </c>
    </row>
    <row r="28" spans="1:7" s="257" customFormat="1" ht="13.5" customHeight="1">
      <c r="A28" s="951" t="s">
        <v>794</v>
      </c>
      <c r="B28" s="291" t="s">
        <v>1062</v>
      </c>
      <c r="C28" s="292">
        <f>ROUND((C5+C19+C20)*F27*'数据-取费表'!B21/'数据-取费表'!B20,0)</f>
        <v>3154</v>
      </c>
      <c r="D28" s="278"/>
      <c r="E28" s="279"/>
      <c r="F28" s="289"/>
      <c r="G28" s="290"/>
    </row>
    <row r="29" spans="1:7" s="257" customFormat="1" ht="13.5" customHeight="1">
      <c r="A29" s="951" t="s">
        <v>792</v>
      </c>
      <c r="B29" s="291" t="s">
        <v>1063</v>
      </c>
      <c r="C29" s="281">
        <f>ROUND(C21*F27*'数据-取费表'!B21/'数据-取费表'!B20,4)</f>
        <v>3.0000000000000001E-3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28399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60</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53</v>
      </c>
      <c r="D34" s="260"/>
      <c r="E34" s="263"/>
      <c r="F34" s="300">
        <f>IF('数据-取费表'!B24=0,1,'数据-取费表'!N16)</f>
        <v>1</v>
      </c>
      <c r="G34" s="262" t="s">
        <v>116</v>
      </c>
    </row>
    <row r="35" spans="1:7" ht="13.5" customHeight="1">
      <c r="A35" s="951" t="s">
        <v>796</v>
      </c>
      <c r="B35" s="258" t="s">
        <v>60</v>
      </c>
      <c r="C35" s="263">
        <f>ROUND(C34*F35,0)</f>
        <v>3</v>
      </c>
      <c r="D35" s="263"/>
      <c r="E35" s="263"/>
      <c r="F35" s="302">
        <f>'数据-取费表'!B33</f>
        <v>0.05</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3</v>
      </c>
      <c r="D37" s="260">
        <f>'数据-汇总表'!E3</f>
        <v>133.31</v>
      </c>
      <c r="E37" s="292">
        <f>'数据-取费表'!B35</f>
        <v>200</v>
      </c>
      <c r="F37" s="302"/>
      <c r="G37" s="304" t="s">
        <v>119</v>
      </c>
    </row>
    <row r="38" spans="1:7" ht="13.5" customHeight="1">
      <c r="A38" s="951" t="s">
        <v>799</v>
      </c>
      <c r="B38" s="258" t="s">
        <v>63</v>
      </c>
      <c r="C38" s="263">
        <f>ROUND(C34*F38,0)</f>
        <v>1</v>
      </c>
      <c r="D38" s="263"/>
      <c r="E38" s="263"/>
      <c r="F38" s="302">
        <f>'数据-取费表'!B36</f>
        <v>1.4999999999999999E-2</v>
      </c>
      <c r="G38" s="262" t="s">
        <v>117</v>
      </c>
    </row>
    <row r="39" spans="1:7" s="257" customFormat="1" ht="13.5" customHeight="1">
      <c r="A39" s="948" t="s">
        <v>783</v>
      </c>
      <c r="B39" s="253" t="s">
        <v>104</v>
      </c>
      <c r="C39" s="275">
        <f>ROUND(C33*F20,0)</f>
        <v>1</v>
      </c>
      <c r="D39" s="275"/>
      <c r="E39" s="275"/>
      <c r="F39" s="276"/>
      <c r="G39" s="1285" t="s">
        <v>1071</v>
      </c>
    </row>
    <row r="40" spans="1:7" s="257" customFormat="1" ht="13.5" customHeight="1">
      <c r="A40" s="948" t="s">
        <v>784</v>
      </c>
      <c r="B40" s="253" t="s">
        <v>105</v>
      </c>
      <c r="C40" s="305">
        <f>F21</f>
        <v>0.02</v>
      </c>
      <c r="D40" s="279" t="s">
        <v>129</v>
      </c>
      <c r="E40" s="275"/>
      <c r="F40" s="276"/>
      <c r="G40" s="277" t="s">
        <v>120</v>
      </c>
    </row>
    <row r="41" spans="1:7" s="257" customFormat="1" ht="13.5" customHeight="1">
      <c r="A41" s="948" t="s">
        <v>785</v>
      </c>
      <c r="B41" s="253" t="s">
        <v>107</v>
      </c>
      <c r="C41" s="275">
        <f ca="1">ROUND(SUM(C42:C43),0)</f>
        <v>3</v>
      </c>
      <c r="D41" s="278">
        <f ca="1">C44</f>
        <v>1E-3</v>
      </c>
      <c r="E41" s="279" t="s">
        <v>129</v>
      </c>
      <c r="F41" s="280"/>
      <c r="G41" s="1285" t="str">
        <f>IF('数据-取费表'!B22&lt;=1,"单利计息","复利计息")</f>
        <v>复利计息</v>
      </c>
    </row>
    <row r="42" spans="1:7" ht="13.5" customHeight="1">
      <c r="A42" s="951" t="s">
        <v>794</v>
      </c>
      <c r="B42" s="258" t="s">
        <v>1061</v>
      </c>
      <c r="C42" s="281">
        <f ca="1">ROUND(IF('数据-取费表'!B22&lt;=1,C33*F22*'数据-取费表'!B21/2,C33*(POWER((1+F22),'数据-取费表'!B21/2)-1)),0)</f>
        <v>3</v>
      </c>
      <c r="D42" s="281"/>
      <c r="E42" s="281"/>
      <c r="F42" s="282"/>
      <c r="G42" s="3210" t="s">
        <v>121</v>
      </c>
    </row>
    <row r="43" spans="1:7" ht="13.5" customHeight="1">
      <c r="A43" s="951" t="s">
        <v>792</v>
      </c>
      <c r="B43" s="258" t="s">
        <v>1064</v>
      </c>
      <c r="C43" s="281">
        <f ca="1">ROUND(IF('数据-取费表'!B22&lt;=1,C39*F22*'数据-取费表'!B21/2,C39*(POWER((1+F22),'数据-取费表'!B21/2)-1)),0)</f>
        <v>0</v>
      </c>
      <c r="D43" s="281"/>
      <c r="E43" s="281"/>
      <c r="F43" s="282"/>
      <c r="G43" s="3211"/>
    </row>
    <row r="44" spans="1:7" ht="13.5" customHeight="1">
      <c r="A44" s="951" t="s">
        <v>793</v>
      </c>
      <c r="B44" s="258" t="s">
        <v>1066</v>
      </c>
      <c r="C44" s="281">
        <f ca="1">ROUND(IF('数据-取费表'!B22&lt;=1,C40*F22*'数据-取费表'!B21/2,C40*(POWER((1+F22),'数据-取费表'!B21/2)-1)),4)</f>
        <v>1E-3</v>
      </c>
      <c r="D44" s="281"/>
      <c r="E44" s="281"/>
      <c r="F44" s="282"/>
      <c r="G44" s="3212"/>
    </row>
    <row r="45" spans="1:7" s="257" customFormat="1" ht="13.5" customHeight="1">
      <c r="A45" s="948" t="s">
        <v>786</v>
      </c>
      <c r="B45" s="287" t="s">
        <v>112</v>
      </c>
      <c r="C45" s="288">
        <f>C46</f>
        <v>9</v>
      </c>
      <c r="D45" s="278">
        <f>C47</f>
        <v>3.0000000000000001E-3</v>
      </c>
      <c r="E45" s="279" t="s">
        <v>129</v>
      </c>
      <c r="F45" s="289"/>
      <c r="G45" s="290" t="s">
        <v>1072</v>
      </c>
    </row>
    <row r="46" spans="1:7" s="257" customFormat="1" ht="13.5" customHeight="1">
      <c r="A46" s="951" t="s">
        <v>794</v>
      </c>
      <c r="B46" s="291" t="s">
        <v>1065</v>
      </c>
      <c r="C46" s="292">
        <f>ROUND((C33+C39)*F27,0)</f>
        <v>9</v>
      </c>
      <c r="D46" s="306"/>
      <c r="E46" s="279"/>
      <c r="F46" s="289"/>
      <c r="G46" s="290"/>
    </row>
    <row r="47" spans="1:7" s="257" customFormat="1" ht="13.5" customHeight="1">
      <c r="A47" s="951" t="s">
        <v>792</v>
      </c>
      <c r="B47" s="291" t="s">
        <v>1067</v>
      </c>
      <c r="C47" s="281">
        <f>ROUND(C40*F27,4)</f>
        <v>3.0000000000000001E-3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79</v>
      </c>
      <c r="D49" s="275"/>
      <c r="E49" s="275"/>
      <c r="F49" s="307"/>
      <c r="G49" s="277" t="s">
        <v>1073</v>
      </c>
    </row>
    <row r="50" spans="1:7" s="301" customFormat="1" ht="24">
      <c r="A50" s="948" t="s">
        <v>789</v>
      </c>
      <c r="B50" s="253" t="s">
        <v>124</v>
      </c>
      <c r="C50" s="275"/>
      <c r="D50" s="275"/>
      <c r="E50" s="275"/>
      <c r="F50" s="307">
        <f>IF('数据-取费表'!B24=0,'数据-取费表'!N16,1)</f>
        <v>0.93</v>
      </c>
      <c r="G50" s="290" t="s">
        <v>125</v>
      </c>
    </row>
    <row r="51" spans="1:7" ht="16.5" customHeight="1">
      <c r="A51" s="948" t="s">
        <v>790</v>
      </c>
      <c r="B51" s="253" t="s">
        <v>132</v>
      </c>
      <c r="C51" s="275">
        <f ca="1">ROUND(C49*F50,0)</f>
        <v>73</v>
      </c>
      <c r="D51" s="275"/>
      <c r="E51" s="275"/>
      <c r="F51" s="307"/>
      <c r="G51" s="277" t="s">
        <v>64</v>
      </c>
    </row>
    <row r="52" spans="1:7" s="251" customFormat="1" ht="16.5" thickBot="1">
      <c r="A52" s="308" t="s">
        <v>65</v>
      </c>
      <c r="B52" s="309"/>
      <c r="C52" s="310">
        <f ca="1">C31+C51</f>
        <v>28472</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9" t="s">
        <v>156</v>
      </c>
      <c r="B1" s="3349"/>
      <c r="C1" s="3349"/>
      <c r="D1" s="3349"/>
      <c r="E1" s="3349"/>
      <c r="F1" s="334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0" t="s">
        <v>169</v>
      </c>
      <c r="B2" s="3350"/>
      <c r="C2" s="3350"/>
      <c r="D2" s="3350"/>
      <c r="E2" s="3350"/>
      <c r="F2" s="335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5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9" t="s">
        <v>871</v>
      </c>
      <c r="B1" s="334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43346</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topLeftCell="B1" workbookViewId="0">
      <selection activeCell="I6" sqref="I6:J81"/>
    </sheetView>
  </sheetViews>
  <sheetFormatPr defaultRowHeight="13.5"/>
  <cols>
    <col min="1" max="1" width="9" style="3014"/>
    <col min="2" max="2" width="35.375" style="3014" customWidth="1"/>
    <col min="3" max="3" width="29.125" style="3014" hidden="1" customWidth="1"/>
    <col min="4" max="4" width="31.375" style="3014" customWidth="1"/>
    <col min="5" max="5" width="30.125" style="3014" customWidth="1"/>
    <col min="6" max="6" width="17.75" style="3014" customWidth="1"/>
    <col min="7" max="16384" width="9" style="3014"/>
  </cols>
  <sheetData>
    <row r="1" spans="1:10" ht="13.5" customHeight="1">
      <c r="A1" s="3014" t="s">
        <v>3236</v>
      </c>
      <c r="B1" s="3015" t="s">
        <v>3237</v>
      </c>
      <c r="C1" s="3015" t="s">
        <v>3238</v>
      </c>
      <c r="D1" s="3015" t="s">
        <v>3239</v>
      </c>
      <c r="E1" s="3015" t="s">
        <v>3240</v>
      </c>
      <c r="F1" s="3015" t="s">
        <v>3241</v>
      </c>
      <c r="G1" s="3015" t="s">
        <v>3242</v>
      </c>
      <c r="H1" s="3015" t="s">
        <v>3243</v>
      </c>
      <c r="I1" s="3016" t="s">
        <v>3491</v>
      </c>
      <c r="J1" s="3016" t="s">
        <v>3492</v>
      </c>
    </row>
    <row r="2" spans="1:10" ht="14.25">
      <c r="A2" s="3014">
        <v>1</v>
      </c>
      <c r="B2" s="3015" t="s">
        <v>3244</v>
      </c>
      <c r="C2" s="3015" t="s">
        <v>3245</v>
      </c>
      <c r="D2" s="3015" t="s">
        <v>3246</v>
      </c>
      <c r="E2" s="3015" t="s">
        <v>3247</v>
      </c>
      <c r="F2" s="3015" t="s">
        <v>3248</v>
      </c>
      <c r="G2" s="2957">
        <v>1099.6099999999999</v>
      </c>
      <c r="H2" s="3015">
        <v>76.06</v>
      </c>
      <c r="I2" s="3014">
        <f ca="1">典型户型修正!S102</f>
        <v>2512</v>
      </c>
      <c r="J2" s="3014">
        <f ca="1">典型户型修正!R102</f>
        <v>22843</v>
      </c>
    </row>
    <row r="3" spans="1:10" ht="14.25">
      <c r="A3" s="3014">
        <v>2</v>
      </c>
      <c r="B3" s="3015" t="s">
        <v>3249</v>
      </c>
      <c r="C3" s="3015" t="s">
        <v>3245</v>
      </c>
      <c r="D3" s="3015" t="s">
        <v>3250</v>
      </c>
      <c r="E3" s="3015" t="s">
        <v>3251</v>
      </c>
      <c r="F3" s="3015" t="s">
        <v>3248</v>
      </c>
      <c r="G3" s="2957">
        <v>1013.21</v>
      </c>
      <c r="H3" s="3015">
        <v>70.08</v>
      </c>
      <c r="I3" s="3014">
        <f ca="1">典型户型修正!S25</f>
        <v>4629</v>
      </c>
      <c r="J3" s="3014">
        <f ca="1">典型户型修正!R25</f>
        <v>45685</v>
      </c>
    </row>
    <row r="4" spans="1:10" ht="14.25">
      <c r="A4" s="3014">
        <v>3</v>
      </c>
      <c r="B4" s="3015" t="s">
        <v>3252</v>
      </c>
      <c r="C4" s="3015" t="s">
        <v>3245</v>
      </c>
      <c r="D4" s="3015" t="s">
        <v>3253</v>
      </c>
      <c r="E4" s="3015" t="s">
        <v>3254</v>
      </c>
      <c r="F4" s="3015" t="s">
        <v>3248</v>
      </c>
      <c r="G4" s="3007">
        <v>417.28</v>
      </c>
      <c r="H4" s="3015">
        <v>28.86</v>
      </c>
      <c r="I4" s="3014">
        <f ca="1">典型户型修正!S26</f>
        <v>2080</v>
      </c>
      <c r="J4" s="3014">
        <f ca="1">典型户型修正!R26</f>
        <v>49838</v>
      </c>
    </row>
    <row r="5" spans="1:10" s="3017" customFormat="1" ht="14.25">
      <c r="A5" s="3017">
        <v>4</v>
      </c>
      <c r="B5" s="3018" t="s">
        <v>3255</v>
      </c>
      <c r="C5" s="3018" t="s">
        <v>3245</v>
      </c>
      <c r="D5" s="3018" t="s">
        <v>3256</v>
      </c>
      <c r="E5" s="3018" t="s">
        <v>3257</v>
      </c>
      <c r="F5" s="3018" t="s">
        <v>3248</v>
      </c>
      <c r="G5" s="3006">
        <v>133.31</v>
      </c>
      <c r="H5" s="3018">
        <v>9.2200000000000006</v>
      </c>
      <c r="I5" s="3017">
        <f ca="1">典型户型修正!S24</f>
        <v>692</v>
      </c>
      <c r="J5" s="3017">
        <f ca="1">典型户型修正!R24</f>
        <v>51915</v>
      </c>
    </row>
    <row r="6" spans="1:10" ht="14.25">
      <c r="A6" s="3014">
        <v>5</v>
      </c>
      <c r="B6" s="3015" t="s">
        <v>3258</v>
      </c>
      <c r="C6" s="3015" t="s">
        <v>3245</v>
      </c>
      <c r="D6" s="3015" t="s">
        <v>3259</v>
      </c>
      <c r="E6" s="3015" t="s">
        <v>3260</v>
      </c>
      <c r="F6" s="3015" t="s">
        <v>3248</v>
      </c>
      <c r="G6" s="2957">
        <v>730.65</v>
      </c>
      <c r="H6" s="3015">
        <v>50.54</v>
      </c>
      <c r="I6" s="3014">
        <f ca="1">典型户型修正!S27</f>
        <v>3490</v>
      </c>
      <c r="J6" s="3014">
        <f ca="1">典型户型修正!R27</f>
        <v>47762</v>
      </c>
    </row>
    <row r="7" spans="1:10" ht="14.25">
      <c r="A7" s="3014">
        <v>6</v>
      </c>
      <c r="B7" s="3015" t="s">
        <v>3261</v>
      </c>
      <c r="C7" s="3015" t="s">
        <v>3245</v>
      </c>
      <c r="D7" s="3015" t="s">
        <v>3262</v>
      </c>
      <c r="E7" s="3015" t="s">
        <v>3263</v>
      </c>
      <c r="F7" s="3015" t="s">
        <v>3248</v>
      </c>
      <c r="G7" s="2957">
        <v>247.69</v>
      </c>
      <c r="H7" s="3015">
        <v>17.13</v>
      </c>
      <c r="I7" s="3014">
        <f ca="1">典型户型修正!S28</f>
        <v>1286</v>
      </c>
      <c r="J7" s="3014">
        <f ca="1">典型户型修正!R28</f>
        <v>51915</v>
      </c>
    </row>
    <row r="8" spans="1:10" ht="14.25">
      <c r="A8" s="3014">
        <v>7</v>
      </c>
      <c r="B8" s="3015" t="s">
        <v>3264</v>
      </c>
      <c r="C8" s="3015" t="s">
        <v>3245</v>
      </c>
      <c r="D8" s="3015" t="s">
        <v>3265</v>
      </c>
      <c r="E8" s="3015" t="s">
        <v>3266</v>
      </c>
      <c r="F8" s="3015" t="s">
        <v>3248</v>
      </c>
      <c r="G8" s="2957">
        <v>34.97</v>
      </c>
      <c r="H8" s="3015">
        <v>2.42</v>
      </c>
      <c r="I8" s="3014">
        <f ca="1">典型户型修正!S29</f>
        <v>189</v>
      </c>
      <c r="J8" s="3014">
        <f ca="1">典型户型修正!R29</f>
        <v>53992</v>
      </c>
    </row>
    <row r="9" spans="1:10" ht="14.25">
      <c r="A9" s="3014">
        <v>8</v>
      </c>
      <c r="B9" s="3015" t="s">
        <v>3267</v>
      </c>
      <c r="C9" s="3015" t="s">
        <v>3245</v>
      </c>
      <c r="D9" s="3015" t="s">
        <v>3268</v>
      </c>
      <c r="E9" s="3015" t="s">
        <v>3269</v>
      </c>
      <c r="F9" s="3015" t="s">
        <v>3248</v>
      </c>
      <c r="G9" s="2957">
        <v>135.72999999999999</v>
      </c>
      <c r="H9" s="3015">
        <v>9.39</v>
      </c>
      <c r="I9" s="3014">
        <f ca="1">典型户型修正!S30</f>
        <v>705</v>
      </c>
      <c r="J9" s="3014">
        <f ca="1">典型户型修正!R30</f>
        <v>51915</v>
      </c>
    </row>
    <row r="10" spans="1:10" ht="14.25">
      <c r="A10" s="3014">
        <v>9</v>
      </c>
      <c r="B10" s="3015" t="s">
        <v>3270</v>
      </c>
      <c r="C10" s="3015" t="s">
        <v>3245</v>
      </c>
      <c r="D10" s="3015" t="s">
        <v>3271</v>
      </c>
      <c r="E10" s="3015" t="s">
        <v>3272</v>
      </c>
      <c r="F10" s="3015" t="s">
        <v>3248</v>
      </c>
      <c r="G10" s="2957">
        <v>719.82</v>
      </c>
      <c r="H10" s="3015">
        <v>49.79</v>
      </c>
      <c r="I10" s="3014">
        <f ca="1">典型户型修正!S31</f>
        <v>3438</v>
      </c>
      <c r="J10" s="3014">
        <f ca="1">典型户型修正!R31</f>
        <v>47762</v>
      </c>
    </row>
    <row r="11" spans="1:10" ht="14.25">
      <c r="A11" s="3014">
        <v>10</v>
      </c>
      <c r="B11" s="3015" t="s">
        <v>3273</v>
      </c>
      <c r="C11" s="3015" t="s">
        <v>3245</v>
      </c>
      <c r="D11" s="3015" t="s">
        <v>3274</v>
      </c>
      <c r="E11" s="3015" t="s">
        <v>3275</v>
      </c>
      <c r="F11" s="3015" t="s">
        <v>3248</v>
      </c>
      <c r="G11" s="2957">
        <v>34.82</v>
      </c>
      <c r="H11" s="3015">
        <v>2.41</v>
      </c>
      <c r="I11" s="3014">
        <f ca="1">典型户型修正!S32</f>
        <v>188</v>
      </c>
      <c r="J11" s="3014">
        <f ca="1">典型户型修正!R32</f>
        <v>53992</v>
      </c>
    </row>
    <row r="12" spans="1:10" ht="14.25">
      <c r="A12" s="3014">
        <v>11</v>
      </c>
      <c r="B12" s="3015" t="s">
        <v>3276</v>
      </c>
      <c r="C12" s="3015" t="s">
        <v>3245</v>
      </c>
      <c r="D12" s="3015" t="s">
        <v>3277</v>
      </c>
      <c r="E12" s="3015" t="s">
        <v>3278</v>
      </c>
      <c r="F12" s="3015" t="s">
        <v>3248</v>
      </c>
      <c r="G12" s="2957">
        <v>134.38999999999999</v>
      </c>
      <c r="H12" s="3015">
        <v>9</v>
      </c>
      <c r="I12" s="3014">
        <f ca="1">典型户型修正!S33</f>
        <v>698</v>
      </c>
      <c r="J12" s="3014">
        <f ca="1">典型户型修正!R33</f>
        <v>51915</v>
      </c>
    </row>
    <row r="13" spans="1:10" ht="14.25">
      <c r="A13" s="3014">
        <v>12</v>
      </c>
      <c r="B13" s="3015" t="s">
        <v>3279</v>
      </c>
      <c r="C13" s="3015" t="s">
        <v>3245</v>
      </c>
      <c r="D13" s="3015" t="s">
        <v>3280</v>
      </c>
      <c r="E13" s="3015" t="s">
        <v>3281</v>
      </c>
      <c r="F13" s="3015" t="s">
        <v>3248</v>
      </c>
      <c r="G13" s="2957">
        <v>1573.94</v>
      </c>
      <c r="H13" s="3015">
        <v>108.87</v>
      </c>
      <c r="I13" s="3014">
        <f ca="1">典型户型修正!S34</f>
        <v>6864</v>
      </c>
      <c r="J13" s="3014">
        <f ca="1">典型户型修正!R34</f>
        <v>43609</v>
      </c>
    </row>
    <row r="14" spans="1:10" ht="14.25">
      <c r="A14" s="3014">
        <v>13</v>
      </c>
      <c r="B14" s="3015" t="s">
        <v>3282</v>
      </c>
      <c r="C14" s="3015" t="s">
        <v>3245</v>
      </c>
      <c r="D14" s="3015" t="s">
        <v>3283</v>
      </c>
      <c r="E14" s="3015" t="s">
        <v>3284</v>
      </c>
      <c r="F14" s="3015" t="s">
        <v>3248</v>
      </c>
      <c r="G14" s="2957">
        <v>197</v>
      </c>
      <c r="H14" s="3015">
        <v>13.63</v>
      </c>
      <c r="I14" s="3014">
        <f ca="1">典型户型修正!S35</f>
        <v>1023</v>
      </c>
      <c r="J14" s="3014">
        <f ca="1">典型户型修正!R35</f>
        <v>51915</v>
      </c>
    </row>
    <row r="15" spans="1:10" ht="14.25">
      <c r="A15" s="3014">
        <v>14</v>
      </c>
      <c r="B15" s="3015" t="s">
        <v>3285</v>
      </c>
      <c r="C15" s="3015" t="s">
        <v>3245</v>
      </c>
      <c r="D15" s="3015" t="s">
        <v>3286</v>
      </c>
      <c r="E15" s="3015" t="s">
        <v>3287</v>
      </c>
      <c r="F15" s="3015" t="s">
        <v>3248</v>
      </c>
      <c r="G15" s="2957">
        <v>70.22</v>
      </c>
      <c r="H15" s="3015">
        <v>4.8600000000000003</v>
      </c>
      <c r="I15" s="3014">
        <f ca="1">典型户型修正!S36</f>
        <v>379</v>
      </c>
      <c r="J15" s="3014">
        <f ca="1">典型户型修正!R36</f>
        <v>53992</v>
      </c>
    </row>
    <row r="16" spans="1:10" ht="14.25">
      <c r="A16" s="3014">
        <v>15</v>
      </c>
      <c r="B16" s="3015" t="s">
        <v>3288</v>
      </c>
      <c r="C16" s="3015" t="s">
        <v>3245</v>
      </c>
      <c r="D16" s="3015" t="s">
        <v>3289</v>
      </c>
      <c r="E16" s="3015" t="s">
        <v>3290</v>
      </c>
      <c r="F16" s="3015" t="s">
        <v>3248</v>
      </c>
      <c r="G16" s="2957">
        <v>179.38</v>
      </c>
      <c r="H16" s="3015">
        <v>12.41</v>
      </c>
      <c r="I16" s="3014">
        <f ca="1">典型户型修正!S37</f>
        <v>931</v>
      </c>
      <c r="J16" s="3014">
        <f ca="1">典型户型修正!R37</f>
        <v>51915</v>
      </c>
    </row>
    <row r="17" spans="1:10" ht="14.25">
      <c r="A17" s="3014">
        <v>16</v>
      </c>
      <c r="B17" s="3015" t="s">
        <v>3291</v>
      </c>
      <c r="C17" s="3015" t="s">
        <v>3245</v>
      </c>
      <c r="D17" s="3015" t="s">
        <v>3292</v>
      </c>
      <c r="E17" s="3015" t="s">
        <v>3293</v>
      </c>
      <c r="F17" s="3015" t="s">
        <v>3248</v>
      </c>
      <c r="G17" s="2957">
        <v>23.07</v>
      </c>
      <c r="H17" s="3015">
        <v>1.6</v>
      </c>
      <c r="I17" s="3014">
        <f ca="1">典型户型修正!S38</f>
        <v>125</v>
      </c>
      <c r="J17" s="3014">
        <f ca="1">典型户型修正!R38</f>
        <v>53992</v>
      </c>
    </row>
    <row r="18" spans="1:10" ht="14.25">
      <c r="A18" s="3014">
        <v>17</v>
      </c>
      <c r="B18" s="3015" t="s">
        <v>3294</v>
      </c>
      <c r="C18" s="3015" t="s">
        <v>3245</v>
      </c>
      <c r="D18" s="3015" t="s">
        <v>3295</v>
      </c>
      <c r="E18" s="3015" t="s">
        <v>3296</v>
      </c>
      <c r="F18" s="3015" t="s">
        <v>3248</v>
      </c>
      <c r="G18" s="2957">
        <v>489.41</v>
      </c>
      <c r="H18" s="3015">
        <v>33.85</v>
      </c>
      <c r="I18" s="3014">
        <f ca="1">典型户型修正!S39</f>
        <v>2439</v>
      </c>
      <c r="J18" s="3014">
        <f ca="1">典型户型修正!R39</f>
        <v>49838</v>
      </c>
    </row>
    <row r="19" spans="1:10" ht="14.25">
      <c r="A19" s="3014">
        <v>18</v>
      </c>
      <c r="B19" s="3015" t="s">
        <v>3297</v>
      </c>
      <c r="C19" s="3015" t="s">
        <v>3245</v>
      </c>
      <c r="D19" s="3015" t="s">
        <v>3298</v>
      </c>
      <c r="E19" s="3015" t="s">
        <v>3299</v>
      </c>
      <c r="F19" s="3015" t="s">
        <v>3248</v>
      </c>
      <c r="G19" s="2957">
        <v>45.46</v>
      </c>
      <c r="H19" s="3015">
        <v>3.14</v>
      </c>
      <c r="I19" s="3014">
        <f ca="1">典型户型修正!S40</f>
        <v>245</v>
      </c>
      <c r="J19" s="3014">
        <f ca="1">典型户型修正!R40</f>
        <v>53992</v>
      </c>
    </row>
    <row r="20" spans="1:10" ht="14.25">
      <c r="A20" s="3014">
        <v>19</v>
      </c>
      <c r="B20" s="3015" t="s">
        <v>3300</v>
      </c>
      <c r="C20" s="3015" t="s">
        <v>3245</v>
      </c>
      <c r="D20" s="3015" t="s">
        <v>3301</v>
      </c>
      <c r="E20" s="3015" t="s">
        <v>3302</v>
      </c>
      <c r="F20" s="3015" t="s">
        <v>3248</v>
      </c>
      <c r="G20" s="2957">
        <v>17.649999999999999</v>
      </c>
      <c r="H20" s="3015">
        <v>1.22</v>
      </c>
      <c r="I20" s="3014">
        <f ca="1">典型户型修正!S41</f>
        <v>95</v>
      </c>
      <c r="J20" s="3014">
        <f ca="1">典型户型修正!R41</f>
        <v>53992</v>
      </c>
    </row>
    <row r="21" spans="1:10" ht="14.25">
      <c r="A21" s="3014">
        <v>20</v>
      </c>
      <c r="B21" s="3015" t="s">
        <v>3303</v>
      </c>
      <c r="C21" s="3015" t="s">
        <v>3245</v>
      </c>
      <c r="D21" s="3015" t="s">
        <v>3304</v>
      </c>
      <c r="E21" s="3015" t="s">
        <v>3305</v>
      </c>
      <c r="F21" s="3015" t="s">
        <v>3248</v>
      </c>
      <c r="G21" s="2957">
        <v>1059.18</v>
      </c>
      <c r="H21" s="3015">
        <v>73.260000000000005</v>
      </c>
      <c r="I21" s="3014">
        <f ca="1">典型户型修正!S42</f>
        <v>3387</v>
      </c>
      <c r="J21" s="3014">
        <f ca="1">典型户型修正!R42</f>
        <v>31980</v>
      </c>
    </row>
    <row r="22" spans="1:10" ht="14.25">
      <c r="A22" s="3014">
        <v>21</v>
      </c>
      <c r="B22" s="3015" t="s">
        <v>3306</v>
      </c>
      <c r="C22" s="3015" t="s">
        <v>3245</v>
      </c>
      <c r="D22" s="3015" t="s">
        <v>3307</v>
      </c>
      <c r="E22" s="3015" t="s">
        <v>3308</v>
      </c>
      <c r="F22" s="3015" t="s">
        <v>3248</v>
      </c>
      <c r="G22" s="2957">
        <v>697.35</v>
      </c>
      <c r="H22" s="3015">
        <v>48.24</v>
      </c>
      <c r="I22" s="3014">
        <f ca="1">典型户型修正!S43</f>
        <v>2331</v>
      </c>
      <c r="J22" s="3014">
        <f ca="1">典型户型修正!R43</f>
        <v>33433</v>
      </c>
    </row>
    <row r="23" spans="1:10" ht="14.25">
      <c r="A23" s="3014">
        <v>22</v>
      </c>
      <c r="B23" s="3015" t="s">
        <v>3309</v>
      </c>
      <c r="C23" s="3015" t="s">
        <v>3245</v>
      </c>
      <c r="D23" s="3015" t="s">
        <v>3310</v>
      </c>
      <c r="E23" s="3015" t="s">
        <v>3311</v>
      </c>
      <c r="F23" s="3015" t="s">
        <v>3248</v>
      </c>
      <c r="G23" s="2957">
        <v>797.61</v>
      </c>
      <c r="H23" s="3015">
        <v>55.17</v>
      </c>
      <c r="I23" s="3014">
        <f ca="1">典型户型修正!S44</f>
        <v>2667</v>
      </c>
      <c r="J23" s="3014">
        <f ca="1">典型户型修正!R44</f>
        <v>33433</v>
      </c>
    </row>
    <row r="24" spans="1:10" ht="14.25">
      <c r="A24" s="3014">
        <v>23</v>
      </c>
      <c r="B24" s="3015" t="s">
        <v>3312</v>
      </c>
      <c r="C24" s="3015" t="s">
        <v>3245</v>
      </c>
      <c r="D24" s="3015" t="s">
        <v>3313</v>
      </c>
      <c r="E24" s="3015" t="s">
        <v>3314</v>
      </c>
      <c r="F24" s="3015" t="s">
        <v>3248</v>
      </c>
      <c r="G24" s="2957">
        <v>346.84</v>
      </c>
      <c r="H24" s="3015">
        <v>23.99</v>
      </c>
      <c r="I24" s="3014">
        <f ca="1">典型户型修正!S45</f>
        <v>1210</v>
      </c>
      <c r="J24" s="3014">
        <f ca="1">典型户型修正!R45</f>
        <v>34887</v>
      </c>
    </row>
    <row r="25" spans="1:10" ht="14.25">
      <c r="A25" s="3014">
        <v>24</v>
      </c>
      <c r="B25" s="3015" t="s">
        <v>3315</v>
      </c>
      <c r="C25" s="3015" t="s">
        <v>3245</v>
      </c>
      <c r="D25" s="3015" t="s">
        <v>3316</v>
      </c>
      <c r="E25" s="3015" t="s">
        <v>3317</v>
      </c>
      <c r="F25" s="3015" t="s">
        <v>3248</v>
      </c>
      <c r="G25" s="2957">
        <v>99.13</v>
      </c>
      <c r="H25" s="3015">
        <v>6.86</v>
      </c>
      <c r="I25" s="3014">
        <f ca="1">典型户型修正!S46</f>
        <v>375</v>
      </c>
      <c r="J25" s="3014">
        <f ca="1">典型户型修正!R46</f>
        <v>37794</v>
      </c>
    </row>
    <row r="26" spans="1:10" ht="14.25">
      <c r="A26" s="3014">
        <v>25</v>
      </c>
      <c r="B26" s="3015" t="s">
        <v>3318</v>
      </c>
      <c r="C26" s="3015" t="s">
        <v>3245</v>
      </c>
      <c r="D26" s="3015" t="s">
        <v>3319</v>
      </c>
      <c r="E26" s="3015" t="s">
        <v>3320</v>
      </c>
      <c r="F26" s="3015" t="s">
        <v>3248</v>
      </c>
      <c r="G26" s="2957">
        <v>89.73</v>
      </c>
      <c r="H26" s="3015">
        <v>6.21</v>
      </c>
      <c r="I26" s="3014">
        <f ca="1">典型户型修正!S47</f>
        <v>339</v>
      </c>
      <c r="J26" s="3014">
        <f ca="1">典型户型修正!R47</f>
        <v>37794</v>
      </c>
    </row>
    <row r="27" spans="1:10" ht="14.25">
      <c r="A27" s="3014">
        <f>A26+1</f>
        <v>26</v>
      </c>
      <c r="B27" s="3015" t="s">
        <v>3321</v>
      </c>
      <c r="C27" s="3015" t="s">
        <v>3322</v>
      </c>
      <c r="D27" s="3015" t="s">
        <v>3323</v>
      </c>
      <c r="E27" s="3015" t="s">
        <v>3324</v>
      </c>
      <c r="F27" s="3015" t="s">
        <v>3325</v>
      </c>
      <c r="G27" s="2957">
        <v>1198.42</v>
      </c>
      <c r="H27" s="3015">
        <v>82.89</v>
      </c>
      <c r="I27" s="3014">
        <f ca="1">典型户型修正!S48</f>
        <v>3833</v>
      </c>
      <c r="J27" s="3014">
        <f ca="1">典型户型修正!R48</f>
        <v>31980</v>
      </c>
    </row>
    <row r="28" spans="1:10" ht="14.25">
      <c r="A28" s="3014">
        <f t="shared" ref="A28:A80" si="0">A27+1</f>
        <v>27</v>
      </c>
      <c r="B28" s="3015" t="s">
        <v>3326</v>
      </c>
      <c r="C28" s="3015" t="s">
        <v>3327</v>
      </c>
      <c r="D28" s="3015" t="s">
        <v>3328</v>
      </c>
      <c r="E28" s="3015" t="s">
        <v>3329</v>
      </c>
      <c r="F28" s="3015" t="s">
        <v>3330</v>
      </c>
      <c r="G28" s="2957">
        <v>219.29</v>
      </c>
      <c r="H28" s="3015">
        <v>15.17</v>
      </c>
      <c r="I28" s="3014">
        <f ca="1">典型户型修正!S49</f>
        <v>797</v>
      </c>
      <c r="J28" s="3014">
        <f ca="1">典型户型修正!R49</f>
        <v>36341</v>
      </c>
    </row>
    <row r="29" spans="1:10" ht="14.25">
      <c r="A29" s="3014">
        <f t="shared" si="0"/>
        <v>28</v>
      </c>
      <c r="B29" s="3015" t="s">
        <v>3331</v>
      </c>
      <c r="C29" s="3015" t="s">
        <v>3327</v>
      </c>
      <c r="D29" s="3015" t="s">
        <v>3332</v>
      </c>
      <c r="E29" s="3015" t="s">
        <v>3333</v>
      </c>
      <c r="F29" s="3015" t="s">
        <v>3330</v>
      </c>
      <c r="G29" s="2957">
        <v>697.27</v>
      </c>
      <c r="H29" s="3015">
        <v>48.23</v>
      </c>
      <c r="I29" s="3014">
        <f ca="1">典型户型修正!S50</f>
        <v>2331</v>
      </c>
      <c r="J29" s="3014">
        <f ca="1">典型户型修正!R50</f>
        <v>33433</v>
      </c>
    </row>
    <row r="30" spans="1:10" ht="14.25">
      <c r="A30" s="3014">
        <f t="shared" si="0"/>
        <v>29</v>
      </c>
      <c r="B30" s="3015" t="s">
        <v>3334</v>
      </c>
      <c r="C30" s="3015" t="s">
        <v>3327</v>
      </c>
      <c r="D30" s="3015" t="s">
        <v>3335</v>
      </c>
      <c r="E30" s="3015" t="s">
        <v>3336</v>
      </c>
      <c r="F30" s="3015" t="s">
        <v>3330</v>
      </c>
      <c r="G30" s="2957">
        <v>234.61</v>
      </c>
      <c r="H30" s="3015">
        <v>16.23</v>
      </c>
      <c r="I30" s="3014">
        <f ca="1">典型户型修正!S51</f>
        <v>853</v>
      </c>
      <c r="J30" s="3014">
        <f ca="1">典型户型修正!R51</f>
        <v>36341</v>
      </c>
    </row>
    <row r="31" spans="1:10" ht="14.25">
      <c r="A31" s="3014">
        <f t="shared" si="0"/>
        <v>30</v>
      </c>
      <c r="B31" s="3015" t="s">
        <v>3337</v>
      </c>
      <c r="C31" s="3015" t="s">
        <v>3327</v>
      </c>
      <c r="D31" s="3015" t="s">
        <v>3338</v>
      </c>
      <c r="E31" s="3015" t="s">
        <v>3339</v>
      </c>
      <c r="F31" s="3015" t="s">
        <v>3330</v>
      </c>
      <c r="G31" s="2957">
        <v>2656.5</v>
      </c>
      <c r="H31" s="3015">
        <v>183.75</v>
      </c>
      <c r="I31" s="3014">
        <f ca="1">典型户型修正!S52</f>
        <v>7337</v>
      </c>
      <c r="J31" s="3014">
        <f ca="1">典型户型修正!R52</f>
        <v>27619</v>
      </c>
    </row>
    <row r="32" spans="1:10" ht="14.25">
      <c r="A32" s="3014">
        <f t="shared" si="0"/>
        <v>31</v>
      </c>
      <c r="B32" s="3015" t="s">
        <v>3340</v>
      </c>
      <c r="C32" s="3015" t="s">
        <v>3327</v>
      </c>
      <c r="D32" s="3015" t="s">
        <v>3341</v>
      </c>
      <c r="E32" s="3015" t="s">
        <v>3342</v>
      </c>
      <c r="F32" s="3015" t="s">
        <v>3330</v>
      </c>
      <c r="G32" s="2957">
        <v>79.34</v>
      </c>
      <c r="H32" s="3015">
        <v>5.49</v>
      </c>
      <c r="I32" s="3014">
        <f ca="1">典型户型修正!S53</f>
        <v>300</v>
      </c>
      <c r="J32" s="3014">
        <f ca="1">典型户型修正!R53</f>
        <v>37794</v>
      </c>
    </row>
    <row r="33" spans="1:10" ht="14.25">
      <c r="A33" s="3014">
        <f t="shared" si="0"/>
        <v>32</v>
      </c>
      <c r="B33" s="3015" t="s">
        <v>3343</v>
      </c>
      <c r="C33" s="3015" t="s">
        <v>3327</v>
      </c>
      <c r="D33" s="3015" t="s">
        <v>3344</v>
      </c>
      <c r="E33" s="3015" t="s">
        <v>3345</v>
      </c>
      <c r="F33" s="3015" t="s">
        <v>3330</v>
      </c>
      <c r="G33" s="2957">
        <v>159.34</v>
      </c>
      <c r="H33" s="3015">
        <v>11.02</v>
      </c>
      <c r="I33" s="3014">
        <f ca="1">典型户型修正!S54</f>
        <v>579</v>
      </c>
      <c r="J33" s="3014">
        <f ca="1">典型户型修正!R54</f>
        <v>36341</v>
      </c>
    </row>
    <row r="34" spans="1:10" ht="14.25">
      <c r="A34" s="3014">
        <f t="shared" si="0"/>
        <v>33</v>
      </c>
      <c r="B34" s="3015" t="s">
        <v>3346</v>
      </c>
      <c r="C34" s="3015" t="s">
        <v>3327</v>
      </c>
      <c r="D34" s="3015" t="s">
        <v>3347</v>
      </c>
      <c r="E34" s="3015" t="s">
        <v>3348</v>
      </c>
      <c r="F34" s="3015" t="s">
        <v>3330</v>
      </c>
      <c r="G34" s="2957">
        <v>25.73</v>
      </c>
      <c r="H34" s="3015">
        <v>1.78</v>
      </c>
      <c r="I34" s="3014">
        <f ca="1">典型户型修正!S55</f>
        <v>97</v>
      </c>
      <c r="J34" s="3014">
        <f ca="1">典型户型修正!R55</f>
        <v>37794</v>
      </c>
    </row>
    <row r="35" spans="1:10" ht="14.25">
      <c r="A35" s="3014">
        <f t="shared" si="0"/>
        <v>34</v>
      </c>
      <c r="B35" s="3015" t="s">
        <v>3349</v>
      </c>
      <c r="C35" s="3015" t="s">
        <v>3327</v>
      </c>
      <c r="D35" s="3015" t="s">
        <v>3350</v>
      </c>
      <c r="E35" s="3015" t="s">
        <v>3351</v>
      </c>
      <c r="F35" s="3015" t="s">
        <v>3330</v>
      </c>
      <c r="G35" s="2957">
        <v>598.48</v>
      </c>
      <c r="H35" s="3015">
        <v>41.4</v>
      </c>
      <c r="I35" s="3014">
        <f ca="1">典型户型修正!S56</f>
        <v>2001</v>
      </c>
      <c r="J35" s="3014">
        <f ca="1">典型户型修正!R56</f>
        <v>33433</v>
      </c>
    </row>
    <row r="36" spans="1:10" ht="14.25">
      <c r="A36" s="3014">
        <f t="shared" si="0"/>
        <v>35</v>
      </c>
      <c r="B36" s="3015" t="s">
        <v>3352</v>
      </c>
      <c r="C36" s="3015" t="s">
        <v>3327</v>
      </c>
      <c r="D36" s="3015" t="s">
        <v>3353</v>
      </c>
      <c r="E36" s="3015" t="s">
        <v>3354</v>
      </c>
      <c r="F36" s="3015" t="s">
        <v>3330</v>
      </c>
      <c r="G36" s="2957">
        <v>53.14</v>
      </c>
      <c r="H36" s="3015">
        <v>3.68</v>
      </c>
      <c r="I36" s="3014">
        <f ca="1">典型户型修正!S57</f>
        <v>201</v>
      </c>
      <c r="J36" s="3014">
        <f ca="1">典型户型修正!R57</f>
        <v>37794</v>
      </c>
    </row>
    <row r="37" spans="1:10" ht="14.25">
      <c r="A37" s="3014">
        <f t="shared" si="0"/>
        <v>36</v>
      </c>
      <c r="B37" s="3015" t="s">
        <v>3355</v>
      </c>
      <c r="C37" s="3015" t="s">
        <v>3327</v>
      </c>
      <c r="D37" s="3015" t="s">
        <v>3356</v>
      </c>
      <c r="E37" s="3015" t="s">
        <v>3357</v>
      </c>
      <c r="F37" s="3015" t="s">
        <v>3330</v>
      </c>
      <c r="G37" s="2957">
        <v>34.92</v>
      </c>
      <c r="H37" s="3015">
        <v>2.42</v>
      </c>
      <c r="I37" s="3014">
        <f ca="1">典型户型修正!S58</f>
        <v>132</v>
      </c>
      <c r="J37" s="3014">
        <f ca="1">典型户型修正!R58</f>
        <v>37794</v>
      </c>
    </row>
    <row r="38" spans="1:10" ht="14.25">
      <c r="A38" s="3014">
        <f t="shared" si="0"/>
        <v>37</v>
      </c>
      <c r="B38" s="3015" t="s">
        <v>3358</v>
      </c>
      <c r="C38" s="3015" t="s">
        <v>3327</v>
      </c>
      <c r="D38" s="3015" t="s">
        <v>3359</v>
      </c>
      <c r="E38" s="3015" t="s">
        <v>3360</v>
      </c>
      <c r="F38" s="3015" t="s">
        <v>3330</v>
      </c>
      <c r="G38" s="2957">
        <v>1608.52</v>
      </c>
      <c r="H38" s="3015">
        <v>111.26</v>
      </c>
      <c r="I38" s="3014">
        <f ca="1">典型户型修正!S59</f>
        <v>4209</v>
      </c>
      <c r="J38" s="3014">
        <f ca="1">典型户型修正!R59</f>
        <v>26165</v>
      </c>
    </row>
    <row r="39" spans="1:10" ht="14.25">
      <c r="A39" s="3014">
        <f>A38+1</f>
        <v>38</v>
      </c>
      <c r="B39" s="3015" t="s">
        <v>3361</v>
      </c>
      <c r="C39" s="3015" t="s">
        <v>3327</v>
      </c>
      <c r="D39" s="3015" t="s">
        <v>3362</v>
      </c>
      <c r="E39" s="3015" t="s">
        <v>3363</v>
      </c>
      <c r="F39" s="3015" t="s">
        <v>3330</v>
      </c>
      <c r="G39" s="2957">
        <v>315.8</v>
      </c>
      <c r="H39" s="3015">
        <v>21.84</v>
      </c>
      <c r="I39" s="3014">
        <f ca="1">典型户型修正!S60</f>
        <v>944</v>
      </c>
      <c r="J39" s="3014">
        <f ca="1">典型户型修正!R60</f>
        <v>29903</v>
      </c>
    </row>
    <row r="40" spans="1:10" ht="14.25">
      <c r="A40" s="3014">
        <f t="shared" si="0"/>
        <v>39</v>
      </c>
      <c r="B40" s="3015" t="s">
        <v>3364</v>
      </c>
      <c r="C40" s="3015" t="s">
        <v>3327</v>
      </c>
      <c r="D40" s="3015" t="s">
        <v>3365</v>
      </c>
      <c r="E40" s="3015" t="s">
        <v>3366</v>
      </c>
      <c r="F40" s="3015" t="s">
        <v>3330</v>
      </c>
      <c r="G40" s="2957">
        <v>778.67</v>
      </c>
      <c r="H40" s="3015">
        <v>53.86</v>
      </c>
      <c r="I40" s="3014">
        <f ca="1">典型户型修正!S61</f>
        <v>2231</v>
      </c>
      <c r="J40" s="3014">
        <f ca="1">典型户型修正!R61</f>
        <v>28657</v>
      </c>
    </row>
    <row r="41" spans="1:10" ht="14.25">
      <c r="A41" s="3014">
        <f t="shared" si="0"/>
        <v>40</v>
      </c>
      <c r="B41" s="3015" t="s">
        <v>3367</v>
      </c>
      <c r="C41" s="3015" t="s">
        <v>3327</v>
      </c>
      <c r="D41" s="3015" t="s">
        <v>3368</v>
      </c>
      <c r="E41" s="3015" t="s">
        <v>3369</v>
      </c>
      <c r="F41" s="3015" t="s">
        <v>3330</v>
      </c>
      <c r="G41" s="2957">
        <v>82.3</v>
      </c>
      <c r="H41" s="3015">
        <v>5.69</v>
      </c>
      <c r="I41" s="3014">
        <f ca="1">典型户型修正!S62</f>
        <v>267</v>
      </c>
      <c r="J41" s="3014">
        <f ca="1">典型户型修正!R62</f>
        <v>32395</v>
      </c>
    </row>
    <row r="42" spans="1:10" ht="14.25">
      <c r="A42" s="3014">
        <f t="shared" si="0"/>
        <v>41</v>
      </c>
      <c r="B42" s="3015" t="s">
        <v>3370</v>
      </c>
      <c r="C42" s="3015" t="s">
        <v>3327</v>
      </c>
      <c r="D42" s="3015" t="s">
        <v>3371</v>
      </c>
      <c r="E42" s="3015" t="s">
        <v>3372</v>
      </c>
      <c r="F42" s="3015" t="s">
        <v>3330</v>
      </c>
      <c r="G42" s="2957">
        <v>91.81</v>
      </c>
      <c r="H42" s="3015">
        <v>6.35</v>
      </c>
      <c r="I42" s="3014">
        <f ca="1">典型户型修正!S63</f>
        <v>297</v>
      </c>
      <c r="J42" s="3014">
        <f ca="1">典型户型修正!R63</f>
        <v>32395</v>
      </c>
    </row>
    <row r="43" spans="1:10" ht="14.25">
      <c r="A43" s="3014">
        <f t="shared" si="0"/>
        <v>42</v>
      </c>
      <c r="B43" s="3015" t="s">
        <v>3373</v>
      </c>
      <c r="C43" s="3015" t="s">
        <v>3327</v>
      </c>
      <c r="D43" s="3015" t="s">
        <v>3374</v>
      </c>
      <c r="E43" s="3015" t="s">
        <v>3375</v>
      </c>
      <c r="F43" s="3015" t="s">
        <v>3330</v>
      </c>
      <c r="G43" s="2957">
        <v>2658.15</v>
      </c>
      <c r="H43" s="3015">
        <v>183.86</v>
      </c>
      <c r="I43" s="3014">
        <f ca="1">典型户型修正!S64</f>
        <v>6293</v>
      </c>
      <c r="J43" s="3014">
        <f ca="1">典型户型修正!R64</f>
        <v>23673</v>
      </c>
    </row>
    <row r="44" spans="1:10" ht="14.25">
      <c r="A44" s="3014">
        <f t="shared" si="0"/>
        <v>43</v>
      </c>
      <c r="B44" s="3015" t="s">
        <v>3376</v>
      </c>
      <c r="C44" s="3015" t="s">
        <v>3327</v>
      </c>
      <c r="D44" s="3015" t="s">
        <v>3377</v>
      </c>
      <c r="E44" s="3015" t="s">
        <v>3378</v>
      </c>
      <c r="F44" s="3015" t="s">
        <v>3330</v>
      </c>
      <c r="G44" s="2957">
        <v>2449.62</v>
      </c>
      <c r="H44" s="3015">
        <v>169.44</v>
      </c>
      <c r="I44" s="3014">
        <f ca="1">典型户型修正!S65</f>
        <v>6104</v>
      </c>
      <c r="J44" s="3014">
        <f ca="1">典型户型修正!R65</f>
        <v>24919</v>
      </c>
    </row>
    <row r="45" spans="1:10" ht="14.25">
      <c r="A45" s="3014">
        <f t="shared" si="0"/>
        <v>44</v>
      </c>
      <c r="B45" s="3015" t="s">
        <v>3379</v>
      </c>
      <c r="C45" s="3015" t="s">
        <v>3327</v>
      </c>
      <c r="D45" s="3015" t="s">
        <v>3380</v>
      </c>
      <c r="E45" s="3015" t="s">
        <v>3381</v>
      </c>
      <c r="F45" s="3015" t="s">
        <v>3330</v>
      </c>
      <c r="G45" s="2957">
        <v>76.19</v>
      </c>
      <c r="H45" s="3015">
        <v>5.27</v>
      </c>
      <c r="I45" s="3014">
        <f ca="1">典型户型修正!S66</f>
        <v>247</v>
      </c>
      <c r="J45" s="3014">
        <f ca="1">典型户型修正!R66</f>
        <v>32395</v>
      </c>
    </row>
    <row r="46" spans="1:10" ht="14.25">
      <c r="A46" s="3014">
        <f t="shared" si="0"/>
        <v>45</v>
      </c>
      <c r="B46" s="3015" t="s">
        <v>3382</v>
      </c>
      <c r="C46" s="3015" t="s">
        <v>3327</v>
      </c>
      <c r="D46" s="3015" t="s">
        <v>3383</v>
      </c>
      <c r="E46" s="3015" t="s">
        <v>3384</v>
      </c>
      <c r="F46" s="3015" t="s">
        <v>3330</v>
      </c>
      <c r="G46" s="2957">
        <v>170.96</v>
      </c>
      <c r="H46" s="3015">
        <v>11.83</v>
      </c>
      <c r="I46" s="3014">
        <f ca="1">典型户型修正!S67</f>
        <v>533</v>
      </c>
      <c r="J46" s="3014">
        <f ca="1">典型户型修正!R67</f>
        <v>31149</v>
      </c>
    </row>
    <row r="47" spans="1:10" ht="14.25">
      <c r="A47" s="3014">
        <f t="shared" si="0"/>
        <v>46</v>
      </c>
      <c r="B47" s="3015" t="s">
        <v>3385</v>
      </c>
      <c r="C47" s="3015" t="s">
        <v>3327</v>
      </c>
      <c r="D47" s="3015" t="s">
        <v>3386</v>
      </c>
      <c r="E47" s="3015" t="s">
        <v>3387</v>
      </c>
      <c r="F47" s="3015" t="s">
        <v>3330</v>
      </c>
      <c r="G47" s="2957">
        <v>23.54</v>
      </c>
      <c r="H47" s="3015">
        <v>1.63</v>
      </c>
      <c r="I47" s="3014">
        <f ca="1">典型户型修正!S68</f>
        <v>76</v>
      </c>
      <c r="J47" s="3014">
        <f ca="1">典型户型修正!R68</f>
        <v>32395</v>
      </c>
    </row>
    <row r="48" spans="1:10" ht="14.25">
      <c r="A48" s="3014">
        <f t="shared" si="0"/>
        <v>47</v>
      </c>
      <c r="B48" s="3015" t="s">
        <v>3388</v>
      </c>
      <c r="C48" s="3015" t="s">
        <v>3327</v>
      </c>
      <c r="D48" s="3015" t="s">
        <v>3389</v>
      </c>
      <c r="E48" s="3015" t="s">
        <v>3390</v>
      </c>
      <c r="F48" s="3015" t="s">
        <v>3330</v>
      </c>
      <c r="G48" s="2957">
        <v>1154.83</v>
      </c>
      <c r="H48" s="3015">
        <v>79.88</v>
      </c>
      <c r="I48" s="3014">
        <f ca="1">典型户型修正!S69</f>
        <v>3166</v>
      </c>
      <c r="J48" s="3014">
        <f ca="1">典型户型修正!R69</f>
        <v>27411</v>
      </c>
    </row>
    <row r="49" spans="1:10" ht="14.25">
      <c r="A49" s="3014">
        <f t="shared" si="0"/>
        <v>48</v>
      </c>
      <c r="B49" s="3015" t="s">
        <v>3391</v>
      </c>
      <c r="C49" s="3015" t="s">
        <v>3327</v>
      </c>
      <c r="D49" s="3015" t="s">
        <v>3392</v>
      </c>
      <c r="E49" s="3015" t="s">
        <v>3393</v>
      </c>
      <c r="F49" s="3015" t="s">
        <v>3330</v>
      </c>
      <c r="G49" s="2957">
        <v>33.93</v>
      </c>
      <c r="H49" s="3015">
        <v>2.35</v>
      </c>
      <c r="I49" s="3014">
        <f ca="1">典型户型修正!S70</f>
        <v>110</v>
      </c>
      <c r="J49" s="3014">
        <f ca="1">典型户型修正!R70</f>
        <v>32395</v>
      </c>
    </row>
    <row r="50" spans="1:10" ht="14.25">
      <c r="A50" s="3014">
        <f t="shared" si="0"/>
        <v>49</v>
      </c>
      <c r="B50" s="3015" t="s">
        <v>3394</v>
      </c>
      <c r="C50" s="3015" t="s">
        <v>3327</v>
      </c>
      <c r="D50" s="3015" t="s">
        <v>3395</v>
      </c>
      <c r="E50" s="3015" t="s">
        <v>3396</v>
      </c>
      <c r="F50" s="3015" t="s">
        <v>3330</v>
      </c>
      <c r="G50" s="2957">
        <v>1602.55</v>
      </c>
      <c r="H50" s="3015">
        <v>110.85</v>
      </c>
      <c r="I50" s="3014">
        <f ca="1">典型户型修正!S71</f>
        <v>3494</v>
      </c>
      <c r="J50" s="3014">
        <f ca="1">典型户型修正!R71</f>
        <v>21804</v>
      </c>
    </row>
    <row r="51" spans="1:10" ht="14.25">
      <c r="A51" s="3014">
        <f t="shared" si="0"/>
        <v>50</v>
      </c>
      <c r="B51" s="3015" t="s">
        <v>3397</v>
      </c>
      <c r="C51" s="3015" t="s">
        <v>3327</v>
      </c>
      <c r="D51" s="3015" t="s">
        <v>3398</v>
      </c>
      <c r="E51" s="3015" t="s">
        <v>3399</v>
      </c>
      <c r="F51" s="3015" t="s">
        <v>3330</v>
      </c>
      <c r="G51" s="2957">
        <v>771.97</v>
      </c>
      <c r="H51" s="3015">
        <v>53.4</v>
      </c>
      <c r="I51" s="3014">
        <f ca="1">典型户型修正!S72</f>
        <v>1844</v>
      </c>
      <c r="J51" s="3014">
        <f ca="1">典型户型修正!R72</f>
        <v>23881</v>
      </c>
    </row>
    <row r="52" spans="1:10" ht="14.25">
      <c r="A52" s="3014">
        <f t="shared" si="0"/>
        <v>51</v>
      </c>
      <c r="B52" s="3015" t="s">
        <v>3400</v>
      </c>
      <c r="C52" s="3015" t="s">
        <v>3327</v>
      </c>
      <c r="D52" s="3015" t="s">
        <v>3401</v>
      </c>
      <c r="E52" s="3015" t="s">
        <v>3402</v>
      </c>
      <c r="F52" s="3015" t="s">
        <v>3330</v>
      </c>
      <c r="G52" s="2957">
        <v>316.49</v>
      </c>
      <c r="H52" s="3015">
        <v>21.89</v>
      </c>
      <c r="I52" s="3014">
        <f ca="1">典型户型修正!S73</f>
        <v>789</v>
      </c>
      <c r="J52" s="3014">
        <f ca="1">典型户型修正!R73</f>
        <v>24919</v>
      </c>
    </row>
    <row r="53" spans="1:10" ht="14.25">
      <c r="A53" s="3014">
        <f t="shared" si="0"/>
        <v>52</v>
      </c>
      <c r="B53" s="3015" t="s">
        <v>3403</v>
      </c>
      <c r="C53" s="3015" t="s">
        <v>3327</v>
      </c>
      <c r="D53" s="3015" t="s">
        <v>3404</v>
      </c>
      <c r="E53" s="3015" t="s">
        <v>3405</v>
      </c>
      <c r="F53" s="3015" t="s">
        <v>3330</v>
      </c>
      <c r="G53" s="2957">
        <v>112.02</v>
      </c>
      <c r="H53" s="3015">
        <v>7.75</v>
      </c>
      <c r="I53" s="3014">
        <f ca="1">典型户型修正!S74</f>
        <v>291</v>
      </c>
      <c r="J53" s="3014">
        <f ca="1">典型户型修正!R74</f>
        <v>25958</v>
      </c>
    </row>
    <row r="54" spans="1:10" ht="14.25">
      <c r="A54" s="3014">
        <f t="shared" si="0"/>
        <v>53</v>
      </c>
      <c r="B54" s="3015" t="s">
        <v>3406</v>
      </c>
      <c r="C54" s="3015" t="s">
        <v>3327</v>
      </c>
      <c r="D54" s="3015" t="s">
        <v>3407</v>
      </c>
      <c r="E54" s="3015" t="s">
        <v>3408</v>
      </c>
      <c r="F54" s="3015" t="s">
        <v>3330</v>
      </c>
      <c r="G54" s="2957">
        <v>82.32</v>
      </c>
      <c r="H54" s="3015">
        <v>5.69</v>
      </c>
      <c r="I54" s="3014">
        <f ca="1">典型户型修正!S75</f>
        <v>222</v>
      </c>
      <c r="J54" s="3014">
        <f ca="1">典型户型修正!R75</f>
        <v>26996</v>
      </c>
    </row>
    <row r="55" spans="1:10" ht="14.25">
      <c r="A55" s="3014">
        <f t="shared" si="0"/>
        <v>54</v>
      </c>
      <c r="B55" s="3015" t="s">
        <v>3409</v>
      </c>
      <c r="C55" s="3015" t="s">
        <v>3327</v>
      </c>
      <c r="D55" s="3015" t="s">
        <v>3410</v>
      </c>
      <c r="E55" s="3015" t="s">
        <v>3411</v>
      </c>
      <c r="F55" s="3015" t="s">
        <v>3330</v>
      </c>
      <c r="G55" s="2957">
        <v>2614.14</v>
      </c>
      <c r="H55" s="3015">
        <v>180.82</v>
      </c>
      <c r="I55" s="3014">
        <f ca="1">典型户型修正!S76</f>
        <v>5157</v>
      </c>
      <c r="J55" s="3014">
        <f ca="1">典型户型修正!R76</f>
        <v>19728</v>
      </c>
    </row>
    <row r="56" spans="1:10" ht="14.25">
      <c r="A56" s="3014">
        <f t="shared" si="0"/>
        <v>55</v>
      </c>
      <c r="B56" s="3015" t="s">
        <v>3412</v>
      </c>
      <c r="C56" s="3015" t="s">
        <v>3327</v>
      </c>
      <c r="D56" s="3015" t="s">
        <v>3413</v>
      </c>
      <c r="E56" s="3015" t="s">
        <v>3414</v>
      </c>
      <c r="F56" s="3015" t="s">
        <v>3330</v>
      </c>
      <c r="G56" s="2957">
        <v>2452.11</v>
      </c>
      <c r="H56" s="3015">
        <v>169.61</v>
      </c>
      <c r="I56" s="3014">
        <f ca="1">典型户型修正!S77</f>
        <v>5092</v>
      </c>
      <c r="J56" s="3014">
        <f ca="1">典型户型修正!R77</f>
        <v>20766</v>
      </c>
    </row>
    <row r="57" spans="1:10" ht="14.25">
      <c r="A57" s="3014">
        <f t="shared" si="0"/>
        <v>56</v>
      </c>
      <c r="B57" s="3015" t="s">
        <v>3415</v>
      </c>
      <c r="C57" s="3015" t="s">
        <v>3327</v>
      </c>
      <c r="D57" s="3015" t="s">
        <v>3416</v>
      </c>
      <c r="E57" s="3015" t="s">
        <v>3417</v>
      </c>
      <c r="F57" s="3015" t="s">
        <v>3330</v>
      </c>
      <c r="G57" s="2957">
        <v>163.57</v>
      </c>
      <c r="H57" s="3015">
        <v>11.31</v>
      </c>
      <c r="I57" s="3014">
        <f ca="1">典型户型修正!S78</f>
        <v>425</v>
      </c>
      <c r="J57" s="3014">
        <f ca="1">典型户型修正!R78</f>
        <v>25958</v>
      </c>
    </row>
    <row r="58" spans="1:10" ht="14.25">
      <c r="A58" s="3014">
        <f t="shared" si="0"/>
        <v>57</v>
      </c>
      <c r="B58" s="3015" t="s">
        <v>3418</v>
      </c>
      <c r="C58" s="3015" t="s">
        <v>3327</v>
      </c>
      <c r="D58" s="3015" t="s">
        <v>3419</v>
      </c>
      <c r="E58" s="3015" t="s">
        <v>3420</v>
      </c>
      <c r="F58" s="3015" t="s">
        <v>3330</v>
      </c>
      <c r="G58" s="2957">
        <v>23.6</v>
      </c>
      <c r="H58" s="3015">
        <v>1.63</v>
      </c>
      <c r="I58" s="3014">
        <f ca="1">典型户型修正!S79</f>
        <v>64</v>
      </c>
      <c r="J58" s="3014">
        <f ca="1">典型户型修正!R79</f>
        <v>26996</v>
      </c>
    </row>
    <row r="59" spans="1:10" ht="14.25">
      <c r="A59" s="3014">
        <f t="shared" si="0"/>
        <v>58</v>
      </c>
      <c r="B59" s="3015" t="s">
        <v>3421</v>
      </c>
      <c r="C59" s="3015" t="s">
        <v>3327</v>
      </c>
      <c r="D59" s="3015" t="s">
        <v>3422</v>
      </c>
      <c r="E59" s="3015" t="s">
        <v>3423</v>
      </c>
      <c r="F59" s="3015" t="s">
        <v>3330</v>
      </c>
      <c r="G59" s="2957">
        <v>220.25</v>
      </c>
      <c r="H59" s="3015">
        <v>15.23</v>
      </c>
      <c r="I59" s="3014">
        <f ca="1">典型户型修正!S80</f>
        <v>572</v>
      </c>
      <c r="J59" s="3014">
        <f ca="1">典型户型修正!R80</f>
        <v>25958</v>
      </c>
    </row>
    <row r="60" spans="1:10" ht="14.25">
      <c r="A60" s="3014">
        <f t="shared" si="0"/>
        <v>59</v>
      </c>
      <c r="B60" s="3015" t="s">
        <v>3424</v>
      </c>
      <c r="C60" s="3015" t="s">
        <v>3327</v>
      </c>
      <c r="D60" s="3015" t="s">
        <v>3425</v>
      </c>
      <c r="E60" s="3015" t="s">
        <v>3426</v>
      </c>
      <c r="F60" s="3015" t="s">
        <v>3330</v>
      </c>
      <c r="G60" s="2957">
        <v>972.57</v>
      </c>
      <c r="H60" s="3015">
        <v>67.27</v>
      </c>
      <c r="I60" s="3014">
        <f ca="1">典型户型修正!S81</f>
        <v>2323</v>
      </c>
      <c r="J60" s="3014">
        <f ca="1">典型户型修正!R81</f>
        <v>23881</v>
      </c>
    </row>
    <row r="61" spans="1:10" ht="14.25">
      <c r="A61" s="3014">
        <f t="shared" si="0"/>
        <v>60</v>
      </c>
      <c r="B61" s="3015" t="s">
        <v>3427</v>
      </c>
      <c r="C61" s="3015" t="s">
        <v>3327</v>
      </c>
      <c r="D61" s="3015" t="s">
        <v>3428</v>
      </c>
      <c r="E61" s="3015" t="s">
        <v>3429</v>
      </c>
      <c r="F61" s="3015" t="s">
        <v>3330</v>
      </c>
      <c r="G61" s="2957">
        <v>34.01</v>
      </c>
      <c r="H61" s="3015">
        <v>2.35</v>
      </c>
      <c r="I61" s="3014">
        <f ca="1">典型户型修正!S82</f>
        <v>92</v>
      </c>
      <c r="J61" s="3014">
        <f ca="1">典型户型修正!R82</f>
        <v>26996</v>
      </c>
    </row>
    <row r="62" spans="1:10" ht="14.25">
      <c r="A62" s="3014">
        <f t="shared" si="0"/>
        <v>61</v>
      </c>
      <c r="B62" s="3015" t="s">
        <v>3430</v>
      </c>
      <c r="C62" s="3015" t="s">
        <v>3327</v>
      </c>
      <c r="D62" s="3015" t="s">
        <v>3431</v>
      </c>
      <c r="E62" s="3015" t="s">
        <v>3432</v>
      </c>
      <c r="F62" s="3015" t="s">
        <v>3330</v>
      </c>
      <c r="G62" s="2957">
        <v>1577.52</v>
      </c>
      <c r="H62" s="3015">
        <v>109.12</v>
      </c>
      <c r="I62" s="3014">
        <f ca="1">典型户型修正!S83</f>
        <v>3440</v>
      </c>
      <c r="J62" s="3014">
        <f ca="1">典型户型修正!R83</f>
        <v>21804</v>
      </c>
    </row>
    <row r="63" spans="1:10" ht="14.25">
      <c r="A63" s="3014">
        <f t="shared" si="0"/>
        <v>62</v>
      </c>
      <c r="B63" s="3015" t="s">
        <v>3433</v>
      </c>
      <c r="C63" s="3015" t="s">
        <v>3327</v>
      </c>
      <c r="D63" s="3015" t="s">
        <v>3434</v>
      </c>
      <c r="E63" s="3015" t="s">
        <v>3435</v>
      </c>
      <c r="F63" s="3015" t="s">
        <v>3330</v>
      </c>
      <c r="G63" s="2957">
        <v>310.77999999999997</v>
      </c>
      <c r="H63" s="3015">
        <v>21.5</v>
      </c>
      <c r="I63" s="3014">
        <f ca="1">典型户型修正!S84</f>
        <v>774</v>
      </c>
      <c r="J63" s="3014">
        <f ca="1">典型户型修正!R84</f>
        <v>24919</v>
      </c>
    </row>
    <row r="64" spans="1:10" ht="14.25">
      <c r="A64" s="3014">
        <f t="shared" si="0"/>
        <v>63</v>
      </c>
      <c r="B64" s="3015" t="s">
        <v>3436</v>
      </c>
      <c r="C64" s="3015" t="s">
        <v>3327</v>
      </c>
      <c r="D64" s="3015" t="s">
        <v>3437</v>
      </c>
      <c r="E64" s="3015" t="s">
        <v>3438</v>
      </c>
      <c r="F64" s="3015" t="s">
        <v>3330</v>
      </c>
      <c r="G64" s="2957">
        <v>766.1</v>
      </c>
      <c r="H64" s="3015">
        <v>52.99</v>
      </c>
      <c r="I64" s="3014">
        <f ca="1">典型户型修正!S85</f>
        <v>1830</v>
      </c>
      <c r="J64" s="3014">
        <f ca="1">典型户型修正!R85</f>
        <v>23881</v>
      </c>
    </row>
    <row r="65" spans="1:11" ht="14.25">
      <c r="A65" s="3014">
        <f t="shared" si="0"/>
        <v>64</v>
      </c>
      <c r="B65" s="3015" t="s">
        <v>3439</v>
      </c>
      <c r="C65" s="3015" t="s">
        <v>3327</v>
      </c>
      <c r="D65" s="3015" t="s">
        <v>3440</v>
      </c>
      <c r="E65" s="3015" t="s">
        <v>3441</v>
      </c>
      <c r="F65" s="3015" t="s">
        <v>3330</v>
      </c>
      <c r="G65" s="2957">
        <v>80.569999999999993</v>
      </c>
      <c r="H65" s="3015">
        <v>5.57</v>
      </c>
      <c r="I65" s="3014">
        <f ca="1">典型户型修正!S86</f>
        <v>218</v>
      </c>
      <c r="J65" s="3014">
        <f ca="1">典型户型修正!R86</f>
        <v>26996</v>
      </c>
    </row>
    <row r="66" spans="1:11" ht="14.25">
      <c r="A66" s="3014">
        <f t="shared" si="0"/>
        <v>65</v>
      </c>
      <c r="B66" s="3015" t="s">
        <v>3442</v>
      </c>
      <c r="C66" s="3015" t="s">
        <v>3327</v>
      </c>
      <c r="D66" s="3015" t="s">
        <v>3443</v>
      </c>
      <c r="E66" s="3015" t="s">
        <v>3444</v>
      </c>
      <c r="F66" s="3015" t="s">
        <v>3330</v>
      </c>
      <c r="G66" s="2957">
        <v>110.19</v>
      </c>
      <c r="H66" s="3015">
        <v>7.62</v>
      </c>
      <c r="I66" s="3014">
        <f ca="1">典型户型修正!S87</f>
        <v>286</v>
      </c>
      <c r="J66" s="3014">
        <f ca="1">典型户型修正!R87</f>
        <v>25958</v>
      </c>
    </row>
    <row r="67" spans="1:11" ht="14.25">
      <c r="A67" s="3014">
        <f t="shared" si="0"/>
        <v>66</v>
      </c>
      <c r="B67" s="3015" t="s">
        <v>3445</v>
      </c>
      <c r="C67" s="3015" t="s">
        <v>3327</v>
      </c>
      <c r="D67" s="3015" t="s">
        <v>3446</v>
      </c>
      <c r="E67" s="3015" t="s">
        <v>3447</v>
      </c>
      <c r="F67" s="3015" t="s">
        <v>3330</v>
      </c>
      <c r="G67" s="2957">
        <v>2565</v>
      </c>
      <c r="H67" s="3015">
        <v>177.42</v>
      </c>
      <c r="I67" s="3014">
        <f ca="1">典型户型修正!S88</f>
        <v>5060</v>
      </c>
      <c r="J67" s="3014">
        <f ca="1">典型户型修正!R88</f>
        <v>19728</v>
      </c>
    </row>
    <row r="68" spans="1:11" ht="14.25">
      <c r="A68" s="3014">
        <f t="shared" si="0"/>
        <v>67</v>
      </c>
      <c r="B68" s="3015" t="s">
        <v>3448</v>
      </c>
      <c r="C68" s="3015" t="s">
        <v>3327</v>
      </c>
      <c r="D68" s="3015" t="s">
        <v>3449</v>
      </c>
      <c r="E68" s="3015" t="s">
        <v>3450</v>
      </c>
      <c r="F68" s="3015" t="s">
        <v>3330</v>
      </c>
      <c r="G68" s="2957">
        <v>2506.42</v>
      </c>
      <c r="H68" s="3015">
        <v>173.37</v>
      </c>
      <c r="I68" s="3014">
        <f ca="1">典型户型修正!S89</f>
        <v>4945</v>
      </c>
      <c r="J68" s="3014">
        <f ca="1">典型户型修正!R89</f>
        <v>19728</v>
      </c>
    </row>
    <row r="69" spans="1:11" ht="14.25">
      <c r="A69" s="3014">
        <f t="shared" si="0"/>
        <v>68</v>
      </c>
      <c r="B69" s="3015" t="s">
        <v>3451</v>
      </c>
      <c r="C69" s="3015" t="s">
        <v>3327</v>
      </c>
      <c r="D69" s="3015" t="s">
        <v>3452</v>
      </c>
      <c r="E69" s="3015" t="s">
        <v>3453</v>
      </c>
      <c r="F69" s="3015" t="s">
        <v>3330</v>
      </c>
      <c r="G69" s="2957">
        <v>3298.6</v>
      </c>
      <c r="H69" s="3015">
        <v>228.16</v>
      </c>
      <c r="I69" s="3014">
        <f ca="1">典型户型修正!S90</f>
        <v>7768</v>
      </c>
      <c r="J69" s="3014">
        <f ca="1">典型户型修正!R90</f>
        <v>23549</v>
      </c>
      <c r="K69" s="3014" t="s">
        <v>3454</v>
      </c>
    </row>
    <row r="70" spans="1:11" ht="14.25">
      <c r="A70" s="3014">
        <f t="shared" si="0"/>
        <v>69</v>
      </c>
      <c r="B70" s="3015" t="s">
        <v>3455</v>
      </c>
      <c r="C70" s="3015" t="s">
        <v>3327</v>
      </c>
      <c r="D70" s="3015" t="s">
        <v>3456</v>
      </c>
      <c r="E70" s="3015" t="s">
        <v>3457</v>
      </c>
      <c r="F70" s="3015" t="s">
        <v>3330</v>
      </c>
      <c r="G70" s="2957">
        <v>23.19</v>
      </c>
      <c r="H70" s="3015">
        <v>1.6</v>
      </c>
      <c r="I70" s="3014">
        <f ca="1">典型户型修正!S91</f>
        <v>63</v>
      </c>
      <c r="J70" s="3014">
        <f ca="1">典型户型修正!R91</f>
        <v>26996</v>
      </c>
      <c r="K70" s="3014" t="s">
        <v>3458</v>
      </c>
    </row>
    <row r="71" spans="1:11" ht="14.25">
      <c r="A71" s="3014">
        <f t="shared" si="0"/>
        <v>70</v>
      </c>
      <c r="B71" s="3015" t="s">
        <v>3459</v>
      </c>
      <c r="C71" s="3015" t="s">
        <v>3327</v>
      </c>
      <c r="D71" s="3015" t="s">
        <v>3460</v>
      </c>
      <c r="E71" s="3015" t="s">
        <v>3461</v>
      </c>
      <c r="F71" s="3015" t="s">
        <v>3330</v>
      </c>
      <c r="G71" s="2957">
        <v>1048.55</v>
      </c>
      <c r="H71" s="3015">
        <v>72.53</v>
      </c>
      <c r="I71" s="3014">
        <f ca="1">典型户型修正!S92</f>
        <v>2395</v>
      </c>
      <c r="J71" s="3014">
        <f ca="1">典型户型修正!R92</f>
        <v>22843</v>
      </c>
    </row>
    <row r="72" spans="1:11" ht="14.25">
      <c r="A72" s="3014">
        <f t="shared" si="0"/>
        <v>71</v>
      </c>
      <c r="B72" s="3015" t="s">
        <v>3462</v>
      </c>
      <c r="C72" s="3015" t="s">
        <v>3327</v>
      </c>
      <c r="D72" s="3015" t="s">
        <v>3463</v>
      </c>
      <c r="E72" s="3015" t="s">
        <v>3464</v>
      </c>
      <c r="F72" s="3015" t="s">
        <v>3330</v>
      </c>
      <c r="G72" s="2957">
        <v>315.52</v>
      </c>
      <c r="H72" s="3015">
        <v>21.82</v>
      </c>
      <c r="I72" s="3014">
        <f ca="1">典型户型修正!S93</f>
        <v>786</v>
      </c>
      <c r="J72" s="3014">
        <f ca="1">典型户型修正!R93</f>
        <v>24919</v>
      </c>
    </row>
    <row r="73" spans="1:11" ht="14.25">
      <c r="A73" s="3014">
        <f t="shared" si="0"/>
        <v>72</v>
      </c>
      <c r="B73" s="3015" t="s">
        <v>3465</v>
      </c>
      <c r="C73" s="3015" t="s">
        <v>3327</v>
      </c>
      <c r="D73" s="3015" t="s">
        <v>3466</v>
      </c>
      <c r="E73" s="3015" t="s">
        <v>3467</v>
      </c>
      <c r="F73" s="3015" t="s">
        <v>3330</v>
      </c>
      <c r="G73" s="2957">
        <v>83.26</v>
      </c>
      <c r="H73" s="3015">
        <v>5.76</v>
      </c>
      <c r="I73" s="3014">
        <f ca="1">典型户型修正!S94</f>
        <v>225</v>
      </c>
      <c r="J73" s="3014">
        <f ca="1">典型户型修正!R94</f>
        <v>26996</v>
      </c>
    </row>
    <row r="74" spans="1:11" ht="14.25">
      <c r="A74" s="3014">
        <f t="shared" si="0"/>
        <v>73</v>
      </c>
      <c r="B74" s="3015" t="s">
        <v>3468</v>
      </c>
      <c r="C74" s="3015" t="s">
        <v>3327</v>
      </c>
      <c r="D74" s="3015" t="s">
        <v>3469</v>
      </c>
      <c r="E74" s="3015" t="s">
        <v>3470</v>
      </c>
      <c r="F74" s="3015" t="s">
        <v>3330</v>
      </c>
      <c r="G74" s="2957">
        <v>113.87</v>
      </c>
      <c r="H74" s="3015">
        <v>7.88</v>
      </c>
      <c r="I74" s="3014">
        <f ca="1">典型户型修正!S95</f>
        <v>296</v>
      </c>
      <c r="J74" s="3014">
        <f ca="1">典型户型修正!R95</f>
        <v>25958</v>
      </c>
    </row>
    <row r="75" spans="1:11" ht="14.25">
      <c r="A75" s="3014">
        <f t="shared" si="0"/>
        <v>74</v>
      </c>
      <c r="B75" s="3015" t="s">
        <v>3471</v>
      </c>
      <c r="C75" s="3015" t="s">
        <v>3327</v>
      </c>
      <c r="D75" s="3015" t="s">
        <v>3472</v>
      </c>
      <c r="E75" s="3015" t="s">
        <v>3473</v>
      </c>
      <c r="F75" s="3015" t="s">
        <v>3330</v>
      </c>
      <c r="G75" s="2957">
        <v>2456.85</v>
      </c>
      <c r="H75" s="3015">
        <v>169.94</v>
      </c>
      <c r="I75" s="3014">
        <f ca="1">典型户型修正!S96</f>
        <v>5102</v>
      </c>
      <c r="J75" s="3014">
        <f ca="1">典型户型修正!R96</f>
        <v>20766</v>
      </c>
    </row>
    <row r="76" spans="1:11" ht="14.25">
      <c r="A76" s="3014">
        <f t="shared" si="0"/>
        <v>75</v>
      </c>
      <c r="B76" s="3015" t="s">
        <v>3474</v>
      </c>
      <c r="C76" s="3015" t="s">
        <v>3327</v>
      </c>
      <c r="D76" s="3015" t="s">
        <v>3475</v>
      </c>
      <c r="E76" s="3015" t="s">
        <v>3476</v>
      </c>
      <c r="F76" s="3015" t="s">
        <v>3330</v>
      </c>
      <c r="G76" s="2957">
        <v>2652</v>
      </c>
      <c r="H76" s="3015">
        <v>183.44</v>
      </c>
      <c r="I76" s="3014">
        <f ca="1">典型户型修正!S97</f>
        <v>5232</v>
      </c>
      <c r="J76" s="3014">
        <f ca="1">典型户型修正!R97</f>
        <v>19728</v>
      </c>
    </row>
    <row r="77" spans="1:11" ht="14.25">
      <c r="A77" s="3014">
        <f t="shared" si="0"/>
        <v>76</v>
      </c>
      <c r="B77" s="3015" t="s">
        <v>3477</v>
      </c>
      <c r="C77" s="3015" t="s">
        <v>3327</v>
      </c>
      <c r="D77" s="3015" t="s">
        <v>3478</v>
      </c>
      <c r="E77" s="3015" t="s">
        <v>3479</v>
      </c>
      <c r="F77" s="3015" t="s">
        <v>3330</v>
      </c>
      <c r="G77" s="2957">
        <v>23.87</v>
      </c>
      <c r="H77" s="3015">
        <v>1.65</v>
      </c>
      <c r="I77" s="3014">
        <f ca="1">典型户型修正!S98</f>
        <v>64</v>
      </c>
      <c r="J77" s="3014">
        <f ca="1">典型户型修正!R98</f>
        <v>26996</v>
      </c>
    </row>
    <row r="78" spans="1:11" ht="14.25">
      <c r="A78" s="3014">
        <f t="shared" si="0"/>
        <v>77</v>
      </c>
      <c r="B78" s="3015" t="s">
        <v>3480</v>
      </c>
      <c r="C78" s="3015" t="s">
        <v>3327</v>
      </c>
      <c r="D78" s="3015" t="s">
        <v>3481</v>
      </c>
      <c r="E78" s="3015" t="s">
        <v>3482</v>
      </c>
      <c r="F78" s="3015" t="s">
        <v>3330</v>
      </c>
      <c r="G78" s="2957">
        <v>71.33</v>
      </c>
      <c r="H78" s="3015">
        <v>4.93</v>
      </c>
      <c r="I78" s="3014">
        <f ca="1">典型户型修正!S99</f>
        <v>193</v>
      </c>
      <c r="J78" s="3014">
        <f ca="1">典型户型修正!R99</f>
        <v>26996</v>
      </c>
    </row>
    <row r="79" spans="1:11" ht="14.25">
      <c r="A79" s="3014">
        <f t="shared" si="0"/>
        <v>78</v>
      </c>
      <c r="B79" s="3015" t="s">
        <v>3483</v>
      </c>
      <c r="C79" s="3015" t="s">
        <v>3327</v>
      </c>
      <c r="D79" s="3015" t="s">
        <v>3484</v>
      </c>
      <c r="E79" s="3015" t="s">
        <v>3485</v>
      </c>
      <c r="F79" s="3015" t="s">
        <v>3330</v>
      </c>
      <c r="G79" s="2957">
        <v>648.4</v>
      </c>
      <c r="H79" s="3015">
        <v>44.85</v>
      </c>
      <c r="I79" s="3014">
        <f ca="1">典型户型修正!S100</f>
        <v>1548</v>
      </c>
      <c r="J79" s="3014">
        <f ca="1">典型户型修正!R100</f>
        <v>23881</v>
      </c>
      <c r="K79" s="3014" t="s">
        <v>3486</v>
      </c>
    </row>
    <row r="80" spans="1:11" ht="14.25">
      <c r="A80" s="3014">
        <f t="shared" si="0"/>
        <v>79</v>
      </c>
      <c r="B80" s="3015" t="s">
        <v>3487</v>
      </c>
      <c r="C80" s="3015" t="s">
        <v>3327</v>
      </c>
      <c r="D80" s="3015" t="s">
        <v>3488</v>
      </c>
      <c r="E80" s="3015" t="s">
        <v>3489</v>
      </c>
      <c r="F80" s="3015" t="s">
        <v>3330</v>
      </c>
      <c r="G80" s="2957">
        <v>1118.23</v>
      </c>
      <c r="H80" s="3015">
        <v>77.349999999999994</v>
      </c>
      <c r="I80" s="3014">
        <f ca="1">典型户型修正!S101</f>
        <v>3116</v>
      </c>
      <c r="J80" s="3014">
        <f ca="1">典型户型修正!R101</f>
        <v>27868</v>
      </c>
      <c r="K80" s="3014" t="s">
        <v>3490</v>
      </c>
    </row>
    <row r="81" spans="2:10">
      <c r="B81" s="3015"/>
      <c r="C81" s="3015"/>
      <c r="D81" s="3015"/>
      <c r="E81" s="3015"/>
      <c r="F81" s="3015"/>
      <c r="G81" s="3015">
        <f>SUM(G2:G80)</f>
        <v>54924.66</v>
      </c>
      <c r="H81" s="3015">
        <f>SUM(H2:H80)</f>
        <v>3798.8300000000004</v>
      </c>
      <c r="I81" s="3015">
        <f t="shared" ref="I81" ca="1" si="1">SUM(I2:I80)</f>
        <v>148961</v>
      </c>
      <c r="J81" s="3015">
        <f ca="1">I81/G81*10000</f>
        <v>27120.96897823309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1641</v>
      </c>
      <c r="B2" s="3031" t="s">
        <v>1642</v>
      </c>
      <c r="C2" s="3031" t="s">
        <v>1643</v>
      </c>
      <c r="D2" s="3031" t="str">
        <f>结果表!D116</f>
        <v>出让国有建设用地使用权价值</v>
      </c>
      <c r="E2" s="3031"/>
      <c r="F2" s="3031" t="str">
        <f>结果表!F116</f>
        <v>建筑物价值</v>
      </c>
      <c r="G2" s="3031"/>
      <c r="H2" s="3031" t="str">
        <f>IF(项目基本情况!B9="房地产市场价值","房地产市场价值","房地产价值")</f>
        <v>房地产价值</v>
      </c>
      <c r="I2" s="3031"/>
    </row>
    <row r="3" spans="1:9" ht="15">
      <c r="A3" s="3032"/>
      <c r="B3" s="3032"/>
      <c r="C3" s="3032"/>
      <c r="D3" s="1044" t="s">
        <v>1638</v>
      </c>
      <c r="E3" s="1044" t="s">
        <v>1644</v>
      </c>
      <c r="F3" s="1044" t="s">
        <v>1638</v>
      </c>
      <c r="G3" s="1044" t="s">
        <v>1639</v>
      </c>
      <c r="H3" s="1044" t="s">
        <v>1638</v>
      </c>
      <c r="I3" s="1044" t="s">
        <v>1639</v>
      </c>
    </row>
    <row r="4" spans="1:9" ht="45">
      <c r="A4" s="1967" t="str">
        <f>项目基本情况!S2</f>
        <v>江苏省镇江市京口区解放路27号镇江财富广场8幢101室等共79套商业用房房地产</v>
      </c>
      <c r="B4" s="1044">
        <f>项目基本情况!C17</f>
        <v>133.31</v>
      </c>
      <c r="C4" s="1044">
        <f>项目基本情况!C18</f>
        <v>9.2200000000000006</v>
      </c>
      <c r="D4" s="1044">
        <f ca="1">结果表!D118</f>
        <v>503</v>
      </c>
      <c r="E4" s="1044">
        <f ca="1">结果表!E118</f>
        <v>37732</v>
      </c>
      <c r="F4" s="1044">
        <f ca="1">结果表!F118</f>
        <v>189</v>
      </c>
      <c r="G4" s="1044">
        <f ca="1">结果表!G118</f>
        <v>14177</v>
      </c>
      <c r="H4" s="1044">
        <f ca="1">结果表!H118</f>
        <v>692</v>
      </c>
      <c r="I4" s="1044">
        <f ca="1">结果表!I118</f>
        <v>51909</v>
      </c>
    </row>
    <row r="5" spans="1:9" ht="30" customHeight="1">
      <c r="A5" s="3032" t="s">
        <v>1640</v>
      </c>
      <c r="B5" s="3032"/>
      <c r="C5" s="3032"/>
      <c r="D5" s="3033" t="str">
        <f ca="1">结果表!D119</f>
        <v>伍佰零叁万元整</v>
      </c>
      <c r="E5" s="3033"/>
      <c r="F5" s="3033" t="str">
        <f ca="1">结果表!F119</f>
        <v>壹佰捌拾玖万元整</v>
      </c>
      <c r="G5" s="3033"/>
      <c r="H5" s="3033" t="str">
        <f ca="1">结果表!H119</f>
        <v>陆佰玖拾贰万元整</v>
      </c>
      <c r="I5" s="3033"/>
    </row>
    <row r="6" spans="1:9" ht="15.75">
      <c r="A6" s="3034" t="str">
        <f>结果表!A120</f>
        <v>估价师知悉的法定优先受偿款</v>
      </c>
      <c r="B6" s="3034"/>
      <c r="C6" s="3034"/>
      <c r="D6" s="3034">
        <f>结果表!D120</f>
        <v>0</v>
      </c>
      <c r="E6" s="3034"/>
      <c r="F6" s="3034"/>
      <c r="G6" s="3034"/>
      <c r="H6" s="3034"/>
      <c r="I6" s="3034"/>
    </row>
    <row r="7" spans="1:9" ht="15">
      <c r="A7" s="3032" t="s">
        <v>1640</v>
      </c>
      <c r="B7" s="3032"/>
      <c r="C7" s="3032"/>
      <c r="D7" s="3035" t="str">
        <f>结果表!D121</f>
        <v>零元整</v>
      </c>
      <c r="E7" s="3036"/>
      <c r="F7" s="3036"/>
      <c r="G7" s="3036"/>
      <c r="H7" s="3036"/>
      <c r="I7" s="3037"/>
    </row>
    <row r="8" spans="1:9" ht="15.75">
      <c r="A8" s="3034" t="str">
        <f>结果表!A122</f>
        <v>房地产抵押价值</v>
      </c>
      <c r="B8" s="3034"/>
      <c r="C8" s="3034"/>
      <c r="D8" s="3034">
        <f ca="1">结果表!D122</f>
        <v>692</v>
      </c>
      <c r="E8" s="3034"/>
      <c r="F8" s="3034"/>
      <c r="G8" s="3034"/>
      <c r="H8" s="3034"/>
      <c r="I8" s="3034"/>
    </row>
    <row r="9" spans="1:9" ht="15">
      <c r="A9" s="3032" t="s">
        <v>1640</v>
      </c>
      <c r="B9" s="3032"/>
      <c r="C9" s="3032"/>
      <c r="D9" s="3033" t="str">
        <f ca="1">结果表!D123</f>
        <v>陆佰玖拾贰万元整</v>
      </c>
      <c r="E9" s="3033"/>
      <c r="F9" s="3033"/>
      <c r="G9" s="3033"/>
      <c r="H9" s="3033"/>
      <c r="I9" s="3033"/>
    </row>
    <row r="10" spans="1:9" ht="15.75">
      <c r="A10" s="3034" t="str">
        <f>结果表!A124</f>
        <v/>
      </c>
      <c r="B10" s="3034"/>
      <c r="C10" s="3034"/>
      <c r="D10" s="3034" t="str">
        <f>结果表!D124</f>
        <v>——</v>
      </c>
      <c r="E10" s="3034"/>
      <c r="F10" s="3034"/>
      <c r="G10" s="3034"/>
      <c r="H10" s="3034"/>
      <c r="I10" s="3034"/>
    </row>
    <row r="11" spans="1:9" ht="15">
      <c r="A11" s="3032" t="s">
        <v>1640</v>
      </c>
      <c r="B11" s="3032"/>
      <c r="C11" s="3032"/>
      <c r="D11" s="3033" t="e">
        <f>结果表!D125</f>
        <v>#VALUE!</v>
      </c>
      <c r="E11" s="3033"/>
      <c r="F11" s="3033"/>
      <c r="G11" s="3033"/>
      <c r="H11" s="3033"/>
      <c r="I11" s="3033"/>
    </row>
    <row r="12" spans="1:9" ht="15.75">
      <c r="A12" s="3034" t="str">
        <f>结果表!A126</f>
        <v/>
      </c>
      <c r="B12" s="3034"/>
      <c r="C12" s="3034"/>
      <c r="D12" s="3034" t="str">
        <f>结果表!D126</f>
        <v>——</v>
      </c>
      <c r="E12" s="3034"/>
      <c r="F12" s="3034"/>
      <c r="G12" s="3034"/>
      <c r="H12" s="3034"/>
      <c r="I12" s="3034"/>
    </row>
    <row r="13" spans="1:9" ht="15.75" thickBot="1">
      <c r="A13" s="3038" t="s">
        <v>1640</v>
      </c>
      <c r="B13" s="3038"/>
      <c r="C13" s="3038"/>
      <c r="D13" s="3039" t="e">
        <f>结果表!D127</f>
        <v>#VALUE!</v>
      </c>
      <c r="E13" s="3039"/>
      <c r="F13" s="3039"/>
      <c r="G13" s="3039"/>
      <c r="H13" s="3039"/>
      <c r="I13" s="3039"/>
    </row>
    <row r="14" spans="1:9" ht="15" thickTop="1">
      <c r="A14" s="3040" t="s">
        <v>1645</v>
      </c>
      <c r="B14" s="3040"/>
      <c r="C14" s="3040"/>
      <c r="D14" s="3040"/>
      <c r="E14" s="3040"/>
      <c r="F14" s="3040"/>
      <c r="G14" s="3040"/>
      <c r="H14" s="3040"/>
      <c r="I14" s="3040"/>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41" t="s">
        <v>1662</v>
      </c>
      <c r="B1" s="3041"/>
      <c r="C1" s="3041"/>
      <c r="D1" s="3041"/>
    </row>
    <row r="2" spans="1:4" ht="18">
      <c r="A2" s="3042" t="s">
        <v>1646</v>
      </c>
      <c r="B2" s="3042"/>
      <c r="C2" s="3042"/>
      <c r="D2" s="3042"/>
    </row>
    <row r="3" spans="1:4" ht="18.75">
      <c r="A3" s="1971" t="s">
        <v>1647</v>
      </c>
      <c r="B3" s="1971" t="s">
        <v>1648</v>
      </c>
      <c r="C3" s="1971" t="s">
        <v>1649</v>
      </c>
      <c r="D3" s="1971" t="s">
        <v>1650</v>
      </c>
    </row>
    <row r="4" spans="1:4" ht="56.25" customHeight="1">
      <c r="A4" s="1972" t="str">
        <f>项目基本情况!B4</f>
        <v>郑燚</v>
      </c>
      <c r="B4" s="1973">
        <f ca="1">项目基本情况!C4</f>
        <v>1120070131</v>
      </c>
      <c r="C4" s="1974"/>
      <c r="D4" s="1975" t="s">
        <v>1651</v>
      </c>
    </row>
    <row r="5" spans="1:4" ht="56.25" customHeight="1">
      <c r="A5" s="1972" t="str">
        <f>项目基本情况!D4</f>
        <v>王鹏</v>
      </c>
      <c r="B5" s="1973">
        <f ca="1">项目基本情况!E4</f>
        <v>1120050019</v>
      </c>
      <c r="C5" s="1976"/>
      <c r="D5" s="1975" t="s">
        <v>1651</v>
      </c>
    </row>
    <row r="6" spans="1:4" ht="18">
      <c r="A6" s="3042" t="s">
        <v>1652</v>
      </c>
      <c r="B6" s="3042"/>
      <c r="C6" s="3042"/>
      <c r="D6" s="3042"/>
    </row>
    <row r="7" spans="1:4" ht="18.75">
      <c r="A7" s="1971" t="s">
        <v>1647</v>
      </c>
      <c r="B7" s="1973" t="s">
        <v>1653</v>
      </c>
      <c r="C7" s="1971" t="s">
        <v>1649</v>
      </c>
      <c r="D7" s="1971" t="s">
        <v>1650</v>
      </c>
    </row>
    <row r="8" spans="1:4" ht="56.25" customHeight="1">
      <c r="A8" s="1977" t="s">
        <v>869</v>
      </c>
      <c r="B8" s="1977" t="s">
        <v>1</v>
      </c>
      <c r="C8" s="1974"/>
      <c r="D8" s="1975" t="s">
        <v>1651</v>
      </c>
    </row>
    <row r="9" spans="1:4">
      <c r="A9" s="725"/>
      <c r="B9" s="725"/>
      <c r="C9" s="725"/>
      <c r="D9" s="725"/>
    </row>
    <row r="10" spans="1:4" ht="18.75">
      <c r="A10" s="1978" t="s">
        <v>1654</v>
      </c>
      <c r="B10" s="725"/>
      <c r="C10" s="725"/>
      <c r="D10" s="725"/>
    </row>
    <row r="11" spans="1:4" ht="30" customHeight="1">
      <c r="A11" s="3043" t="s">
        <v>1655</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4" t="str">
        <f>IF(项目基本情况!B8="抵押","4.本次评估估价师所知悉的法定优先受偿款情况说明如下：","——")</f>
        <v>4.本次评估估价师所知悉的法定优先受偿款情况说明如下：</v>
      </c>
      <c r="B14" s="3045"/>
      <c r="C14" s="3045"/>
      <c r="D14" s="3045"/>
    </row>
    <row r="15" spans="1:4" ht="42" customHeight="1">
      <c r="A15" s="3044" t="str">
        <f>IF(项目基本情况!B8="抵押","（1）"&amp;CONCATENATE(项目基本情况!L20,项目基本情况!L21,项目基本情况!L22),"——")</f>
        <v>（1）根据估价对象《房屋所有权证》原件、《国有土地使用权》复印件，截至价值时点，估价对象抵押权未见登记。</v>
      </c>
      <c r="B15" s="3044"/>
      <c r="C15" s="3044"/>
      <c r="D15" s="3044"/>
    </row>
    <row r="16" spans="1:4" ht="30" customHeight="1">
      <c r="A16" s="3047" t="s">
        <v>1656</v>
      </c>
      <c r="B16" s="3047"/>
      <c r="C16" s="3047"/>
      <c r="D16" s="3047"/>
    </row>
    <row r="17" spans="1:4" ht="144" customHeight="1">
      <c r="A17" s="3047" t="s">
        <v>1657</v>
      </c>
      <c r="B17" s="3047"/>
      <c r="C17" s="3047"/>
      <c r="D17" s="3047"/>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1658</v>
      </c>
      <c r="B22" s="3049"/>
      <c r="C22" s="3049"/>
      <c r="D22" s="3049"/>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046">
        <v>42551</v>
      </c>
      <c r="D31" s="30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055" t="s">
        <v>1669</v>
      </c>
      <c r="B15" s="3050" t="s">
        <v>136</v>
      </c>
      <c r="C15" s="3051"/>
    </row>
    <row r="16" spans="1:7" ht="13.5">
      <c r="A16" s="3056"/>
      <c r="B16" s="3050" t="s">
        <v>69</v>
      </c>
      <c r="C16" s="3051"/>
    </row>
    <row r="17" spans="1:3" ht="13.5">
      <c r="A17" s="3056"/>
      <c r="B17" s="3053" t="s">
        <v>1670</v>
      </c>
      <c r="C17" s="1994" t="s">
        <v>1669</v>
      </c>
    </row>
    <row r="18" spans="1:3" ht="13.5">
      <c r="A18" s="3056"/>
      <c r="B18" s="3053"/>
      <c r="C18" s="1994" t="s">
        <v>1671</v>
      </c>
    </row>
    <row r="19" spans="1:3" ht="13.5">
      <c r="A19" s="3056"/>
      <c r="B19" s="3053"/>
      <c r="C19" s="1994" t="s">
        <v>1672</v>
      </c>
    </row>
    <row r="20" spans="1:3" ht="13.5">
      <c r="A20" s="3057"/>
      <c r="B20" s="3052" t="s">
        <v>1673</v>
      </c>
      <c r="C20" s="3051"/>
    </row>
    <row r="21" spans="1:3" ht="13.5">
      <c r="A21" s="1995" t="s">
        <v>1674</v>
      </c>
      <c r="B21" s="1996"/>
      <c r="C21" s="1997"/>
    </row>
    <row r="22" spans="1:3" ht="13.5">
      <c r="A22" s="3054" t="s">
        <v>1675</v>
      </c>
      <c r="B22" s="3052" t="s">
        <v>1676</v>
      </c>
      <c r="C22" s="3051"/>
    </row>
    <row r="23" spans="1:3" ht="13.5">
      <c r="A23" s="3054"/>
      <c r="B23" s="3052" t="s">
        <v>1677</v>
      </c>
      <c r="C23" s="3051"/>
    </row>
    <row r="24" spans="1:3" ht="13.5">
      <c r="A24" s="3054"/>
      <c r="B24" s="3052" t="s">
        <v>1678</v>
      </c>
      <c r="C24" s="3051"/>
    </row>
    <row r="25" spans="1:3" ht="13.5">
      <c r="A25" s="3054"/>
      <c r="B25" s="3053" t="s">
        <v>1679</v>
      </c>
      <c r="C25" s="1994" t="s">
        <v>1680</v>
      </c>
    </row>
    <row r="26" spans="1:3" ht="13.5">
      <c r="A26" s="3054"/>
      <c r="B26" s="3053"/>
      <c r="C26" s="1994" t="s">
        <v>1681</v>
      </c>
    </row>
    <row r="27" spans="1:3" ht="13.5">
      <c r="A27" s="3054"/>
      <c r="B27" s="3053"/>
      <c r="C27" s="1994" t="s">
        <v>1682</v>
      </c>
    </row>
    <row r="28" spans="1:3" ht="13.5">
      <c r="A28" s="3054"/>
      <c r="B28" s="3053"/>
      <c r="C28" s="1994" t="s">
        <v>1683</v>
      </c>
    </row>
    <row r="29" spans="1:3" ht="13.5">
      <c r="A29" s="3054"/>
      <c r="B29" s="3053"/>
      <c r="C29" s="1994" t="s">
        <v>1684</v>
      </c>
    </row>
    <row r="30" spans="1:3" ht="13.5">
      <c r="A30" s="3054"/>
      <c r="B30" s="3053"/>
      <c r="C30" s="1994" t="s">
        <v>1685</v>
      </c>
    </row>
    <row r="31" spans="1:3" ht="13.5">
      <c r="A31" s="3054"/>
      <c r="B31" s="3053"/>
      <c r="C31" s="1994" t="s">
        <v>1686</v>
      </c>
    </row>
    <row r="32" spans="1:3" ht="13.5">
      <c r="A32" s="3054"/>
      <c r="B32" s="3053"/>
      <c r="C32" s="1994" t="s">
        <v>1687</v>
      </c>
    </row>
    <row r="33" spans="1:3" ht="13.5">
      <c r="A33" s="3054"/>
      <c r="B33" s="3053"/>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43348</v>
      </c>
      <c r="C2" s="1019" t="s">
        <v>826</v>
      </c>
      <c r="D2" s="1019"/>
    </row>
    <row r="3" spans="1:6" ht="24" customHeight="1">
      <c r="A3" s="1020" t="s">
        <v>827</v>
      </c>
      <c r="B3" s="1021" t="s">
        <v>828</v>
      </c>
      <c r="C3" s="2339" t="s">
        <v>829</v>
      </c>
      <c r="D3" s="2342" t="s">
        <v>830</v>
      </c>
      <c r="E3" s="1022" t="s">
        <v>831</v>
      </c>
      <c r="F3" s="1021" t="s">
        <v>829</v>
      </c>
    </row>
    <row r="4" spans="1:6" ht="24" customHeight="1">
      <c r="A4" s="1698" t="s">
        <v>832</v>
      </c>
      <c r="B4" s="1022">
        <f ca="1">IF(C4&lt;B2,"已过期",1119970066)</f>
        <v>1119970066</v>
      </c>
      <c r="C4" s="2340">
        <v>43849</v>
      </c>
      <c r="D4" s="2343" t="s">
        <v>832</v>
      </c>
      <c r="E4" s="1022">
        <f ca="1">IF(F4&lt;B2,"已过期",96010014)</f>
        <v>96010014</v>
      </c>
      <c r="F4" s="1030">
        <v>47118</v>
      </c>
    </row>
    <row r="5" spans="1:6" ht="24" customHeight="1">
      <c r="A5" s="1698" t="s">
        <v>833</v>
      </c>
      <c r="B5" s="1022">
        <f ca="1">IF(C5&lt;B2,"已过期",1119970074)</f>
        <v>1119970074</v>
      </c>
      <c r="C5" s="2340">
        <v>43849</v>
      </c>
      <c r="D5" s="2343" t="s">
        <v>833</v>
      </c>
      <c r="E5" s="1022">
        <f ca="1">IF(F5&lt;B2,"已过期",2002110027)</f>
        <v>2002110027</v>
      </c>
      <c r="F5" s="1030">
        <v>46752</v>
      </c>
    </row>
    <row r="6" spans="1:6" ht="24" customHeight="1">
      <c r="A6" s="1698" t="s">
        <v>834</v>
      </c>
      <c r="B6" s="1022">
        <f ca="1">IF(C6&lt;B2,"已过期",1119970111)</f>
        <v>1119970111</v>
      </c>
      <c r="C6" s="2340">
        <v>43849</v>
      </c>
      <c r="D6" s="2343" t="s">
        <v>834</v>
      </c>
      <c r="E6" s="1022">
        <f ca="1">IF(F6&lt;B2,"已过期",94010078)</f>
        <v>94010078</v>
      </c>
      <c r="F6" s="1030">
        <v>46387</v>
      </c>
    </row>
    <row r="7" spans="1:6" ht="24" customHeight="1">
      <c r="A7" s="1698" t="s">
        <v>835</v>
      </c>
      <c r="B7" s="1022">
        <f ca="1">IF(C7&lt;B2,"已过期",1120050019)</f>
        <v>1120050019</v>
      </c>
      <c r="C7" s="2340">
        <v>43359</v>
      </c>
      <c r="D7" s="2343" t="s">
        <v>835</v>
      </c>
      <c r="E7" s="1022">
        <f ca="1">IF(F7&lt;B2,"已过期",2002110030)</f>
        <v>2002110030</v>
      </c>
      <c r="F7" s="1030">
        <v>46387</v>
      </c>
    </row>
    <row r="8" spans="1:6" ht="24" customHeight="1">
      <c r="A8" s="1698" t="s">
        <v>836</v>
      </c>
      <c r="B8" s="1022">
        <f ca="1">IF(C8&lt;B2,"已过期",1120000080)</f>
        <v>1120000080</v>
      </c>
      <c r="C8" s="2340">
        <v>43849</v>
      </c>
      <c r="D8" s="2343" t="s">
        <v>836</v>
      </c>
      <c r="E8" s="1022">
        <f ca="1">IF(F8&lt;B2,"已过期",2000110082)</f>
        <v>2000110082</v>
      </c>
      <c r="F8" s="1030">
        <v>46387</v>
      </c>
    </row>
    <row r="9" spans="1:6" ht="24" customHeight="1">
      <c r="A9" s="1698" t="s">
        <v>837</v>
      </c>
      <c r="B9" s="1022">
        <f ca="1">IF(C9&lt;B2,"已过期",1419970001)</f>
        <v>1419970001</v>
      </c>
      <c r="C9" s="2340">
        <v>43867</v>
      </c>
      <c r="D9" s="2343" t="s">
        <v>837</v>
      </c>
      <c r="E9" s="1022">
        <f ca="1">IF(F9&lt;B2,"已过期",2002110125)</f>
        <v>2002110125</v>
      </c>
      <c r="F9" s="1030">
        <v>47118</v>
      </c>
    </row>
    <row r="10" spans="1:6" ht="24" customHeight="1">
      <c r="A10" s="1698" t="s">
        <v>838</v>
      </c>
      <c r="B10" s="1022">
        <f ca="1">IF(C10&lt;B2,"已过期",1120060040)</f>
        <v>1120060040</v>
      </c>
      <c r="C10" s="2340">
        <v>43483</v>
      </c>
      <c r="D10" s="2343" t="s">
        <v>838</v>
      </c>
      <c r="E10" s="1022">
        <f ca="1">IF(F10&lt;B2,"已过期",2004110096)</f>
        <v>2004110096</v>
      </c>
      <c r="F10" s="1030">
        <v>47118</v>
      </c>
    </row>
    <row r="11" spans="1:6" ht="24" customHeight="1">
      <c r="A11" s="1698" t="s">
        <v>839</v>
      </c>
      <c r="B11" s="1022">
        <f ca="1">IF(C11&lt;B2,"已过期",1120100036)</f>
        <v>1120100036</v>
      </c>
      <c r="C11" s="2340">
        <v>43622</v>
      </c>
      <c r="D11" s="2343" t="s">
        <v>839</v>
      </c>
      <c r="E11" s="1022">
        <f ca="1">IF(F11&lt;B2,"已过期",2010110070)</f>
        <v>2010110070</v>
      </c>
      <c r="F11" s="1030">
        <v>47907</v>
      </c>
    </row>
    <row r="12" spans="1:6" ht="24" customHeight="1">
      <c r="A12" s="1698"/>
      <c r="B12" s="1022"/>
      <c r="C12" s="2340"/>
      <c r="D12" s="2343"/>
      <c r="E12" s="1022"/>
      <c r="F12" s="1022"/>
    </row>
    <row r="13" spans="1:6" ht="24" customHeight="1">
      <c r="A13" s="1698" t="s">
        <v>840</v>
      </c>
      <c r="B13" s="1022">
        <f ca="1">IF(C13&lt;B2,"已过期",1120070131)</f>
        <v>1120070131</v>
      </c>
      <c r="C13" s="2340">
        <v>43814</v>
      </c>
      <c r="D13" s="2343" t="s">
        <v>840</v>
      </c>
      <c r="E13" s="1022">
        <v>2014110011</v>
      </c>
      <c r="F13" s="1030">
        <v>49302</v>
      </c>
    </row>
    <row r="14" spans="1:6" ht="24" customHeight="1">
      <c r="A14" s="1698" t="s">
        <v>841</v>
      </c>
      <c r="B14" s="1022">
        <f ca="1">IF(C14&lt;B2,"已过期",1120130020)</f>
        <v>1120130020</v>
      </c>
      <c r="C14" s="2340">
        <v>43622</v>
      </c>
      <c r="D14" s="2343"/>
      <c r="E14" s="1022"/>
      <c r="F14" s="1022"/>
    </row>
    <row r="15" spans="1:6" ht="24" customHeight="1">
      <c r="A15" s="1699" t="s">
        <v>1149</v>
      </c>
      <c r="B15" s="1022">
        <v>1120070085</v>
      </c>
      <c r="C15" s="2340">
        <v>43814</v>
      </c>
      <c r="D15" s="2344" t="s">
        <v>1149</v>
      </c>
      <c r="E15" s="1022">
        <v>2004110128</v>
      </c>
      <c r="F15" s="1023">
        <v>47118</v>
      </c>
    </row>
    <row r="16" spans="1:6" ht="24" customHeight="1">
      <c r="A16" s="1698" t="s">
        <v>842</v>
      </c>
      <c r="B16" s="1022">
        <f ca="1">IF(C16&lt;B2,"已过期",1120140022)</f>
        <v>1120140022</v>
      </c>
      <c r="C16" s="2340">
        <v>44029</v>
      </c>
      <c r="D16" s="2343" t="s">
        <v>842</v>
      </c>
      <c r="E16" s="1022">
        <f ca="1">IF(F16&lt;B2,"已过期",2008110059)</f>
        <v>2008110059</v>
      </c>
      <c r="F16" s="1030">
        <v>47177</v>
      </c>
    </row>
    <row r="17" spans="1:7" ht="24" customHeight="1">
      <c r="A17" s="1698"/>
      <c r="B17" s="1022"/>
      <c r="C17" s="2340"/>
      <c r="D17" s="2343"/>
      <c r="E17" s="1022"/>
      <c r="F17" s="1030"/>
    </row>
    <row r="18" spans="1:7" ht="24" customHeight="1">
      <c r="A18" s="1698"/>
      <c r="B18" s="1022"/>
      <c r="C18" s="2340"/>
      <c r="D18" s="2343"/>
      <c r="E18" s="1022"/>
      <c r="F18" s="1030"/>
    </row>
    <row r="19" spans="1:7" ht="24" customHeight="1">
      <c r="A19" s="1698"/>
      <c r="B19" s="1022"/>
      <c r="C19" s="2340"/>
      <c r="D19" s="2343"/>
      <c r="E19" s="1022"/>
      <c r="F19" s="1022"/>
    </row>
    <row r="20" spans="1:7" ht="24" customHeight="1">
      <c r="A20" s="1698"/>
      <c r="B20" s="1022"/>
      <c r="C20" s="2340"/>
      <c r="D20" s="2343"/>
      <c r="E20" s="1022"/>
      <c r="F20" s="1022"/>
    </row>
    <row r="21" spans="1:7" ht="24" customHeight="1">
      <c r="A21" s="1698"/>
      <c r="B21" s="1022"/>
      <c r="C21" s="2340"/>
      <c r="D21" s="2343" t="s">
        <v>843</v>
      </c>
      <c r="E21" s="1022">
        <f ca="1">IF(F21&lt;B2,"已过期",2011110090)</f>
        <v>2011110090</v>
      </c>
      <c r="F21" s="1030">
        <v>48302</v>
      </c>
    </row>
    <row r="22" spans="1:7" ht="24" customHeight="1">
      <c r="A22" s="1698" t="s">
        <v>844</v>
      </c>
      <c r="B22" s="1022" t="str">
        <f ca="1">IF(C22&lt;B2,"已过期",1120020033)</f>
        <v>已过期</v>
      </c>
      <c r="C22" s="2340">
        <v>43304</v>
      </c>
      <c r="D22" s="2343" t="s">
        <v>844</v>
      </c>
      <c r="E22" s="1022">
        <f ca="1">IF(F22&lt;B2,"已过期",2000110137)</f>
        <v>2000110137</v>
      </c>
      <c r="F22" s="1030">
        <v>46387</v>
      </c>
    </row>
    <row r="23" spans="1:7" ht="24" customHeight="1">
      <c r="A23" s="1698" t="s">
        <v>845</v>
      </c>
      <c r="B23" s="1022">
        <f ca="1">IF(C23&lt;B2,"已过期",1120130048)</f>
        <v>1120130048</v>
      </c>
      <c r="C23" s="2340">
        <v>43686</v>
      </c>
      <c r="D23" s="2343"/>
      <c r="E23" s="1022"/>
      <c r="F23" s="1022"/>
    </row>
    <row r="24" spans="1:7" s="1024" customFormat="1" ht="24" customHeight="1">
      <c r="A24" s="1699" t="s">
        <v>1333</v>
      </c>
      <c r="B24" s="1699" t="s">
        <v>1333</v>
      </c>
      <c r="C24" s="2341" t="s">
        <v>1333</v>
      </c>
      <c r="D24" s="2344" t="s">
        <v>1333</v>
      </c>
      <c r="E24" s="1699" t="s">
        <v>1333</v>
      </c>
      <c r="F24" s="1699" t="s">
        <v>1333</v>
      </c>
    </row>
    <row r="25" spans="1:7" ht="24" customHeight="1">
      <c r="A25" s="3058" t="s">
        <v>846</v>
      </c>
      <c r="B25" s="3058"/>
      <c r="C25" s="3058"/>
      <c r="D25" s="3058"/>
      <c r="E25" s="3058"/>
      <c r="F25" s="3058"/>
      <c r="G25" s="3058"/>
    </row>
    <row r="26" spans="1:7" s="1025" customFormat="1" ht="24" customHeight="1">
      <c r="A26" s="3059" t="s">
        <v>847</v>
      </c>
      <c r="B26" s="3059"/>
      <c r="C26" s="3060"/>
      <c r="D26" s="3061" t="s">
        <v>848</v>
      </c>
      <c r="E26" s="3059"/>
      <c r="F26" s="3059"/>
    </row>
    <row r="27" spans="1:7" s="1027" customFormat="1" ht="24" customHeight="1">
      <c r="A27" s="1026" t="s">
        <v>849</v>
      </c>
      <c r="B27" s="1021" t="s">
        <v>850</v>
      </c>
      <c r="C27" s="2339" t="s">
        <v>851</v>
      </c>
      <c r="D27" s="2347" t="s">
        <v>849</v>
      </c>
      <c r="E27" s="1021" t="s">
        <v>850</v>
      </c>
      <c r="F27" s="1021" t="s">
        <v>851</v>
      </c>
    </row>
    <row r="28" spans="1:7" s="1027" customFormat="1" ht="24" customHeight="1">
      <c r="A28" s="1028" t="s">
        <v>852</v>
      </c>
      <c r="B28" s="1029" t="s">
        <v>853</v>
      </c>
      <c r="C28" s="2345">
        <v>43725</v>
      </c>
      <c r="D28" s="2348" t="s">
        <v>854</v>
      </c>
      <c r="E28" s="1028" t="s">
        <v>855</v>
      </c>
      <c r="F28" s="1058">
        <v>44377</v>
      </c>
    </row>
    <row r="29" spans="1:7" s="1027" customFormat="1" ht="24" customHeight="1">
      <c r="A29" s="1028"/>
      <c r="B29" s="1028"/>
      <c r="C29" s="2346"/>
      <c r="D29" s="2348"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比较法-办公</vt:lpstr>
      <vt:lpstr>比较法-车位</vt:lpstr>
      <vt:lpstr>收益法（汇总）</vt:lpstr>
      <vt:lpstr>收益法</vt:lpstr>
      <vt:lpstr>收益法 (元)</vt:lpstr>
      <vt:lpstr>酒店收入计算</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链接报告的结果表</vt:lpstr>
      <vt:lpstr>抵押物清单!Print_Area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2018-09-03T10:38:43Z</cp:lastPrinted>
  <dcterms:created xsi:type="dcterms:W3CDTF">2015-07-13T07:17:23Z</dcterms:created>
  <dcterms:modified xsi:type="dcterms:W3CDTF">2018-09-05T03:15:35Z</dcterms:modified>
</cp:coreProperties>
</file>