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450" windowWidth="14400" windowHeight="15480" tabRatio="875" firstSheet="8"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面积" sheetId="68" r:id="rId12"/>
    <sheet name="抵押物清单（分楼）" sheetId="42" state="hidden" r:id="rId13"/>
    <sheet name="数据-汇总表" sheetId="6" r:id="rId14"/>
    <sheet name="数据-取费表" sheetId="1" r:id="rId15"/>
    <sheet name="估价对象房地状况" sheetId="20" state="hidden" r:id="rId16"/>
    <sheet name="信息汇总" sheetId="72" r:id="rId17"/>
    <sheet name="系统读取表" sheetId="66" r:id="rId18"/>
    <sheet name="结果表" sheetId="9" r:id="rId19"/>
    <sheet name="比较法-住宅、综合" sheetId="39" r:id="rId20"/>
    <sheet name="土地案例-住宅" sheetId="69" r:id="rId21"/>
    <sheet name="土地案例-商办" sheetId="70"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酒店收入计算" sheetId="57" state="hidden" r:id="rId33"/>
    <sheet name="成本逼近法" sheetId="11" state="hidden" r:id="rId34"/>
    <sheet name="剩余法-待开发" sheetId="12" r:id="rId35"/>
    <sheet name="不动产比较法-住宅" sheetId="21" r:id="rId36"/>
    <sheet name="开发完成后案例" sheetId="71" r:id="rId37"/>
    <sheet name="不动产收益法" sheetId="15"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'数据-基础表'!$A$1:$N$15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4" i="72" l="1"/>
  <c r="J11" i="72" l="1"/>
  <c r="J3" i="72"/>
  <c r="B21" i="66"/>
  <c r="B20" i="66"/>
  <c r="B18" i="66"/>
  <c r="C18" i="66"/>
  <c r="B17" i="66"/>
  <c r="C17" i="66"/>
  <c r="B16" i="66"/>
  <c r="C16" i="66"/>
  <c r="D16" i="66" l="1"/>
  <c r="B15" i="66" l="1"/>
  <c r="C15" i="66"/>
  <c r="I16" i="66"/>
  <c r="D21" i="66" l="1"/>
  <c r="I21" i="66" l="1"/>
  <c r="B19" i="66" l="1"/>
  <c r="C19" i="66" l="1"/>
  <c r="D20" i="66"/>
  <c r="I20" i="66" l="1"/>
  <c r="D19" i="66" l="1"/>
  <c r="I19" i="66" l="1"/>
  <c r="D18" i="66" l="1"/>
  <c r="I18" i="66" l="1"/>
  <c r="D17" i="66" l="1"/>
  <c r="I17" i="66" l="1"/>
  <c r="D15" i="66" l="1"/>
  <c r="I15" i="66" l="1"/>
  <c r="F27" i="6" l="1"/>
  <c r="F31" i="6"/>
  <c r="D19" i="6"/>
  <c r="E20" i="6"/>
  <c r="D20" i="6"/>
  <c r="E21" i="6"/>
  <c r="D21" i="6"/>
  <c r="E22" i="6"/>
  <c r="D22" i="6"/>
  <c r="E23" i="6"/>
  <c r="D23" i="6"/>
  <c r="E24" i="6"/>
  <c r="D24" i="6"/>
  <c r="E25" i="6"/>
  <c r="D25" i="6"/>
  <c r="E26" i="6"/>
  <c r="D26" i="6"/>
  <c r="D27" i="6"/>
  <c r="D31" i="6"/>
  <c r="I6" i="6"/>
  <c r="C11" i="21"/>
  <c r="F11" i="21"/>
  <c r="AA11" i="21"/>
  <c r="R48" i="21"/>
  <c r="H11" i="21"/>
  <c r="AB11" i="21"/>
  <c r="T48" i="21"/>
  <c r="J11" i="21"/>
  <c r="AC11" i="21"/>
  <c r="V48" i="21"/>
  <c r="R49" i="21"/>
  <c r="C49" i="21"/>
  <c r="B3" i="21"/>
  <c r="C8" i="12"/>
  <c r="C106" i="9"/>
  <c r="C107" i="9" s="1"/>
  <c r="C105" i="9" s="1"/>
  <c r="D69" i="21"/>
  <c r="E69" i="21"/>
  <c r="F69" i="21"/>
  <c r="N8" i="68"/>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K14" i="3"/>
  <c r="H14" i="3"/>
  <c r="AC14" i="3"/>
  <c r="G14" i="3"/>
  <c r="N10" i="68"/>
  <c r="M15"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BR5" i="3"/>
  <c r="BT5" i="3"/>
  <c r="G28" i="6"/>
  <c r="E28" i="6"/>
  <c r="D28" i="6"/>
  <c r="BN5" i="3"/>
  <c r="BP5" i="3"/>
  <c r="G29" i="6"/>
  <c r="E29" i="6"/>
  <c r="D29" i="6"/>
  <c r="D30" i="6"/>
  <c r="G69" i="21"/>
  <c r="R47" i="21"/>
  <c r="B2" i="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E79"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N4" i="68"/>
  <c r="O4" i="68"/>
  <c r="Q4" i="68"/>
  <c r="N5" i="68"/>
  <c r="O5" i="68"/>
  <c r="Q5" i="68"/>
  <c r="N6" i="68"/>
  <c r="O6" i="68"/>
  <c r="Q6" i="68"/>
  <c r="N7" i="68"/>
  <c r="O7" i="68"/>
  <c r="Q7" i="68"/>
  <c r="O8" i="68"/>
  <c r="Q8" i="68"/>
  <c r="N9" i="68"/>
  <c r="O9" i="68"/>
  <c r="Q9" i="68"/>
  <c r="O10" i="68"/>
  <c r="Q10" i="68"/>
  <c r="N11" i="68"/>
  <c r="O11" i="68"/>
  <c r="Q11" i="68"/>
  <c r="N12" i="68"/>
  <c r="O12" i="68"/>
  <c r="Q12" i="68"/>
  <c r="N13" i="68"/>
  <c r="O13" i="68"/>
  <c r="Q13" i="68"/>
  <c r="N14" i="68"/>
  <c r="E14" i="68"/>
  <c r="O14" i="68"/>
  <c r="Q14" i="68"/>
  <c r="N3" i="68"/>
  <c r="O3" i="68"/>
  <c r="Q3" i="68"/>
  <c r="G21" i="66"/>
  <c r="H69" i="21"/>
  <c r="C19" i="6"/>
  <c r="D3" i="21"/>
  <c r="B2" i="21"/>
  <c r="C10" i="12"/>
  <c r="C40" i="39"/>
  <c r="C13" i="39"/>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D83" i="39"/>
  <c r="E83" i="39"/>
  <c r="F83" i="39"/>
  <c r="G83" i="39"/>
  <c r="H83" i="39"/>
  <c r="F13" i="39"/>
  <c r="AA13" i="39"/>
  <c r="B84" i="39"/>
  <c r="F14" i="39"/>
  <c r="AA14" i="39"/>
  <c r="B86" i="39"/>
  <c r="F15" i="39"/>
  <c r="AA15" i="39"/>
  <c r="B88" i="39"/>
  <c r="F16" i="39"/>
  <c r="AA16" i="39"/>
  <c r="D91" i="39"/>
  <c r="E91" i="39"/>
  <c r="F17" i="39"/>
  <c r="AA17" i="39"/>
  <c r="F19" i="39"/>
  <c r="AA19" i="39"/>
  <c r="F21" i="39"/>
  <c r="AA21" i="39"/>
  <c r="D97" i="39"/>
  <c r="E97" i="39"/>
  <c r="F23" i="39"/>
  <c r="AA23" i="39"/>
  <c r="D99"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F40" i="39"/>
  <c r="AA40" i="39"/>
  <c r="F41" i="39"/>
  <c r="AA41" i="39"/>
  <c r="F42" i="39"/>
  <c r="AA42" i="39"/>
  <c r="D126" i="39"/>
  <c r="E126" i="39"/>
  <c r="F43" i="39"/>
  <c r="AA43" i="39"/>
  <c r="F44" i="39"/>
  <c r="AA44" i="39"/>
  <c r="B129" i="39"/>
  <c r="F45" i="39"/>
  <c r="AA45" i="39"/>
  <c r="B131" i="39"/>
  <c r="F46" i="39"/>
  <c r="AA46" i="39"/>
  <c r="B133" i="39"/>
  <c r="F47" i="39"/>
  <c r="AA47" i="39"/>
  <c r="A6" i="1"/>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C13" i="12"/>
  <c r="C17" i="12" s="1"/>
  <c r="F14" i="12"/>
  <c r="C42" i="1"/>
  <c r="F15" i="12"/>
  <c r="C15" i="12"/>
  <c r="D16" i="12"/>
  <c r="C16" i="12" s="1"/>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D21" i="12"/>
  <c r="C21" i="12" s="1"/>
  <c r="E21" i="12"/>
  <c r="E6" i="6"/>
  <c r="D22" i="12"/>
  <c r="C22" i="12" s="1"/>
  <c r="E22" i="12"/>
  <c r="F23" i="12"/>
  <c r="C1" i="65"/>
  <c r="H1" i="65"/>
  <c r="B22" i="1"/>
  <c r="C2" i="65"/>
  <c r="I1" i="65"/>
  <c r="B24" i="1"/>
  <c r="C9" i="12"/>
  <c r="C6" i="12"/>
  <c r="F24" i="12"/>
  <c r="C24" i="12"/>
  <c r="B43" i="1"/>
  <c r="B41" i="1"/>
  <c r="F29" i="12"/>
  <c r="C29" i="12"/>
  <c r="Q16" i="1"/>
  <c r="F33" i="12"/>
  <c r="C34" i="12" s="1"/>
  <c r="D33" i="12" s="1"/>
  <c r="F25" i="12"/>
  <c r="C25" i="12"/>
  <c r="A44" i="9"/>
  <c r="D107" i="9"/>
  <c r="C109" i="9"/>
  <c r="A45" i="9"/>
  <c r="A46" i="9"/>
  <c r="C14" i="68"/>
  <c r="M14" i="68"/>
  <c r="F14" i="68"/>
  <c r="M13" i="68"/>
  <c r="L13" i="68"/>
  <c r="I13" i="68"/>
  <c r="F13" i="68"/>
  <c r="M12" i="68"/>
  <c r="L12" i="68"/>
  <c r="I12" i="68"/>
  <c r="F12" i="68"/>
  <c r="M11" i="68"/>
  <c r="L11" i="68"/>
  <c r="I11" i="68"/>
  <c r="F11" i="68"/>
  <c r="M10" i="68"/>
  <c r="L10" i="68"/>
  <c r="I10" i="68"/>
  <c r="F10" i="68"/>
  <c r="M9" i="68"/>
  <c r="L9" i="68"/>
  <c r="I9" i="68"/>
  <c r="F9" i="68"/>
  <c r="M8" i="68"/>
  <c r="L8" i="68"/>
  <c r="I8" i="68"/>
  <c r="F8" i="68"/>
  <c r="M7" i="68"/>
  <c r="L7" i="68"/>
  <c r="F7" i="68"/>
  <c r="M6" i="68"/>
  <c r="L6" i="68"/>
  <c r="I6" i="68"/>
  <c r="F6" i="68"/>
  <c r="M5" i="68"/>
  <c r="L5" i="68"/>
  <c r="F5" i="68"/>
  <c r="M4" i="68"/>
  <c r="L4" i="68"/>
  <c r="I4" i="68"/>
  <c r="F4" i="68"/>
  <c r="M3" i="68"/>
  <c r="L3" i="68"/>
  <c r="F3" i="68"/>
  <c r="Q5" i="59"/>
  <c r="Q6" i="59"/>
  <c r="P5" i="59"/>
  <c r="P6" i="59"/>
  <c r="O5" i="59"/>
  <c r="O6" i="59"/>
  <c r="N5" i="59"/>
  <c r="N6" i="59"/>
  <c r="Q7" i="59"/>
  <c r="Q8" i="59"/>
  <c r="P7" i="59"/>
  <c r="P8" i="59"/>
  <c r="O7" i="59"/>
  <c r="O8" i="59"/>
  <c r="N7" i="59"/>
  <c r="N8" i="59"/>
  <c r="M15" i="49"/>
  <c r="L15" i="49"/>
  <c r="K15" i="49"/>
  <c r="J15" i="49"/>
  <c r="I15" i="49"/>
  <c r="H15" i="49"/>
  <c r="G15" i="49"/>
  <c r="F15" i="49"/>
  <c r="E15" i="49"/>
  <c r="D15" i="49"/>
  <c r="C15" i="49"/>
  <c r="B15" i="49"/>
  <c r="Q9" i="59"/>
  <c r="P9" i="59"/>
  <c r="O9" i="59"/>
  <c r="N9" i="59"/>
  <c r="Q10" i="59"/>
  <c r="Q11" i="59"/>
  <c r="P10" i="59"/>
  <c r="P11" i="59"/>
  <c r="O10" i="59"/>
  <c r="O11" i="59"/>
  <c r="N10" i="59"/>
  <c r="N11" i="59"/>
  <c r="Q12" i="59"/>
  <c r="P12" i="59"/>
  <c r="O12" i="59"/>
  <c r="N12" i="59"/>
  <c r="M19" i="46"/>
  <c r="J50" i="15"/>
  <c r="J51" i="15"/>
  <c r="D14" i="59"/>
  <c r="Q13" i="59"/>
  <c r="P13" i="59"/>
  <c r="O13" i="59"/>
  <c r="N13" i="59"/>
  <c r="N14" i="59"/>
  <c r="Q14" i="59"/>
  <c r="P14" i="59"/>
  <c r="O14" i="59"/>
  <c r="K59" i="15"/>
  <c r="P62" i="15"/>
  <c r="P75" i="15"/>
  <c r="Q74" i="44"/>
  <c r="Q61" i="44"/>
  <c r="Q60" i="44"/>
  <c r="Q53" i="44"/>
  <c r="J51" i="44"/>
  <c r="J52" i="44"/>
  <c r="M48" i="44"/>
  <c r="A16" i="55"/>
  <c r="A15" i="55"/>
  <c r="B66" i="63"/>
  <c r="A10" i="55"/>
  <c r="B61" i="63"/>
  <c r="A9" i="55"/>
  <c r="B60" i="63"/>
  <c r="A8" i="55"/>
  <c r="A6" i="54"/>
  <c r="B49" i="63"/>
  <c r="A8" i="54"/>
  <c r="B53" i="63"/>
  <c r="A7" i="54"/>
  <c r="A27" i="51"/>
  <c r="B20" i="63"/>
  <c r="Q15" i="59"/>
  <c r="O15" i="59"/>
  <c r="N16" i="59"/>
  <c r="O16" i="59"/>
  <c r="P16" i="59"/>
  <c r="Q16" i="59"/>
  <c r="N15" i="59"/>
  <c r="P15" i="59"/>
  <c r="K75" i="9"/>
  <c r="K6" i="4"/>
  <c r="O76" i="9"/>
  <c r="B22" i="31"/>
  <c r="E22" i="66"/>
  <c r="F22" i="66"/>
  <c r="E23" i="66"/>
  <c r="F23" i="66"/>
  <c r="B3" i="66"/>
  <c r="B13" i="59"/>
  <c r="B12" i="59"/>
  <c r="B11" i="59"/>
  <c r="E13" i="59"/>
  <c r="E12" i="59"/>
  <c r="E11" i="59"/>
  <c r="E10" i="59"/>
  <c r="E9" i="59"/>
  <c r="E8" i="59"/>
  <c r="E7" i="59"/>
  <c r="E6" i="59"/>
  <c r="E5" i="59"/>
  <c r="F13" i="59"/>
  <c r="V13" i="59"/>
  <c r="U13" i="59"/>
  <c r="S13" i="59"/>
  <c r="S2" i="31"/>
  <c r="M2" i="31"/>
  <c r="N2" i="31"/>
  <c r="O2" i="31"/>
  <c r="P2" i="31"/>
  <c r="Q2" i="31"/>
  <c r="R2" i="31"/>
  <c r="C13" i="59"/>
  <c r="T13" i="59"/>
  <c r="C12" i="59"/>
  <c r="C3" i="65"/>
  <c r="N1" i="65"/>
  <c r="B76" i="63"/>
  <c r="M5" i="54"/>
  <c r="A23" i="51"/>
  <c r="Y12" i="46"/>
  <c r="AA9" i="46"/>
  <c r="AA12" i="46"/>
  <c r="AB9" i="46"/>
  <c r="AB10" i="46"/>
  <c r="AC9" i="46"/>
  <c r="AD9" i="46"/>
  <c r="AD10" i="46"/>
  <c r="AE9" i="46"/>
  <c r="AF9" i="46"/>
  <c r="AF10" i="46"/>
  <c r="AG9" i="46"/>
  <c r="AG10" i="46"/>
  <c r="AH9" i="46"/>
  <c r="AH10" i="46"/>
  <c r="AI9" i="46"/>
  <c r="AJ9" i="46"/>
  <c r="AJ10" i="46"/>
  <c r="Z9" i="46"/>
  <c r="Z10" i="46"/>
  <c r="AI10" i="46"/>
  <c r="AE10" i="46"/>
  <c r="AC10" i="46"/>
  <c r="AA10" i="46"/>
  <c r="Y10" i="46"/>
  <c r="Z12" i="46"/>
  <c r="AI12" i="46"/>
  <c r="AG12" i="46"/>
  <c r="AE12" i="46"/>
  <c r="AC12" i="46"/>
  <c r="A21" i="64"/>
  <c r="B75" i="63"/>
  <c r="B73" i="63"/>
  <c r="C57" i="10"/>
  <c r="A28" i="64"/>
  <c r="A27" i="64"/>
  <c r="A15" i="64"/>
  <c r="A14" i="64"/>
  <c r="A11" i="64"/>
  <c r="A3" i="64"/>
  <c r="K40" i="9"/>
  <c r="A28" i="51"/>
  <c r="C56" i="10"/>
  <c r="C55" i="10"/>
  <c r="C54" i="10"/>
  <c r="B44" i="63"/>
  <c r="B40" i="63"/>
  <c r="B30" i="63"/>
  <c r="B27" i="63"/>
  <c r="B25" i="63"/>
  <c r="A11" i="51"/>
  <c r="B10" i="63"/>
  <c r="K39" i="9"/>
  <c r="B58" i="63"/>
  <c r="B51" i="63"/>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17" i="59"/>
  <c r="P17" i="59"/>
  <c r="E17" i="59"/>
  <c r="U17" i="59"/>
  <c r="O17" i="59"/>
  <c r="C17" i="59"/>
  <c r="T17" i="59"/>
  <c r="N17" i="59"/>
  <c r="B17" i="59"/>
  <c r="B16" i="59"/>
  <c r="B15" i="59"/>
  <c r="D78" i="59"/>
  <c r="F77" i="59"/>
  <c r="E77" i="59"/>
  <c r="E76" i="59"/>
  <c r="E75" i="59"/>
  <c r="C77" i="59"/>
  <c r="D77" i="59"/>
  <c r="B77" i="59"/>
  <c r="B76" i="59"/>
  <c r="B75" i="59"/>
  <c r="F76" i="59"/>
  <c r="F75" i="59"/>
  <c r="D74" i="59"/>
  <c r="F73" i="59"/>
  <c r="E73" i="59"/>
  <c r="E72" i="59"/>
  <c r="E71" i="59"/>
  <c r="C73" i="59"/>
  <c r="D73" i="59"/>
  <c r="B73" i="59"/>
  <c r="B72" i="59"/>
  <c r="B71" i="59"/>
  <c r="F72" i="59"/>
  <c r="F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D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C60" i="59"/>
  <c r="T61" i="59"/>
  <c r="B61" i="59"/>
  <c r="Q60" i="59"/>
  <c r="P60" i="59"/>
  <c r="O60" i="59"/>
  <c r="N60" i="59"/>
  <c r="Q59" i="59"/>
  <c r="P59" i="59"/>
  <c r="O59" i="59"/>
  <c r="N59" i="59"/>
  <c r="Q58" i="59"/>
  <c r="P58" i="59"/>
  <c r="O58" i="59"/>
  <c r="N58" i="59"/>
  <c r="D58" i="59"/>
  <c r="F57" i="59"/>
  <c r="V57" i="59"/>
  <c r="E57" i="59"/>
  <c r="E56" i="59"/>
  <c r="C57" i="59"/>
  <c r="B57" i="59"/>
  <c r="N57" i="59"/>
  <c r="F56" i="59"/>
  <c r="F55" i="59"/>
  <c r="Q54" i="59"/>
  <c r="B56" i="59"/>
  <c r="N56"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Q28" i="59"/>
  <c r="AB28" i="59"/>
  <c r="P28" i="59"/>
  <c r="O28" i="59"/>
  <c r="Y28" i="59"/>
  <c r="Z28" i="59"/>
  <c r="N28" i="59"/>
  <c r="X28" i="59"/>
  <c r="Q27" i="59"/>
  <c r="P27" i="59"/>
  <c r="AA27" i="59"/>
  <c r="O27" i="59"/>
  <c r="Y27" i="59"/>
  <c r="N27" i="59"/>
  <c r="X27" i="59"/>
  <c r="Q26" i="59"/>
  <c r="P26" i="59"/>
  <c r="AA26" i="59"/>
  <c r="E27" i="59"/>
  <c r="E28" i="59"/>
  <c r="E29" i="59"/>
  <c r="U29" i="59"/>
  <c r="O26" i="59"/>
  <c r="Y26" i="59"/>
  <c r="Z26" i="59"/>
  <c r="N26" i="59"/>
  <c r="B27" i="59"/>
  <c r="B28" i="59"/>
  <c r="B29" i="59"/>
  <c r="S29" i="59"/>
  <c r="D26" i="59"/>
  <c r="Q25" i="59"/>
  <c r="Q24" i="59"/>
  <c r="AB24" i="59"/>
  <c r="P25" i="59"/>
  <c r="AA25" i="59"/>
  <c r="O25" i="59"/>
  <c r="Y25" i="59"/>
  <c r="Z25" i="59"/>
  <c r="N25" i="59"/>
  <c r="P24" i="59"/>
  <c r="O24" i="59"/>
  <c r="Y24" i="59"/>
  <c r="Z24" i="59"/>
  <c r="N24" i="59"/>
  <c r="Q23" i="59"/>
  <c r="P23" i="59"/>
  <c r="AA23" i="59"/>
  <c r="O23" i="59"/>
  <c r="N23" i="59"/>
  <c r="X23" i="59"/>
  <c r="Q22" i="59"/>
  <c r="AB22" i="59"/>
  <c r="P22" i="59"/>
  <c r="AA22" i="59"/>
  <c r="O22" i="59"/>
  <c r="O21" i="59"/>
  <c r="Y21" i="59"/>
  <c r="Z21" i="59"/>
  <c r="N22" i="59"/>
  <c r="D22" i="59"/>
  <c r="Q21" i="59"/>
  <c r="AB21" i="59"/>
  <c r="P21" i="59"/>
  <c r="AA21" i="59"/>
  <c r="N21" i="59"/>
  <c r="N20" i="59"/>
  <c r="X20" i="59"/>
  <c r="Q20" i="59"/>
  <c r="P20" i="59"/>
  <c r="O20" i="59"/>
  <c r="Y20" i="59"/>
  <c r="Z20" i="59"/>
  <c r="Q19" i="59"/>
  <c r="P19" i="59"/>
  <c r="AA19" i="59"/>
  <c r="O19" i="59"/>
  <c r="N19" i="59"/>
  <c r="Q18" i="59"/>
  <c r="F19" i="59"/>
  <c r="F20" i="59"/>
  <c r="F21" i="59"/>
  <c r="V21" i="59"/>
  <c r="P18" i="59"/>
  <c r="O18" i="59"/>
  <c r="C19" i="59"/>
  <c r="N18" i="59"/>
  <c r="B19" i="59"/>
  <c r="B20" i="59"/>
  <c r="B21" i="59"/>
  <c r="S21" i="59"/>
  <c r="D18" i="59"/>
  <c r="AA16" i="59"/>
  <c r="AA17" i="59"/>
  <c r="Y17" i="59"/>
  <c r="Z17" i="59"/>
  <c r="E19" i="59"/>
  <c r="E20" i="59"/>
  <c r="E21" i="59"/>
  <c r="U21" i="59"/>
  <c r="S57" i="59"/>
  <c r="Z27" i="59"/>
  <c r="AA28" i="59"/>
  <c r="C32" i="59"/>
  <c r="D31" i="59"/>
  <c r="C40" i="59"/>
  <c r="D39" i="59"/>
  <c r="Q56" i="59"/>
  <c r="T57" i="59"/>
  <c r="C56" i="59"/>
  <c r="C55" i="59"/>
  <c r="O54" i="59"/>
  <c r="P57" i="59"/>
  <c r="U57" i="59"/>
  <c r="Q57" i="59"/>
  <c r="E60" i="59"/>
  <c r="E59" i="59"/>
  <c r="D61" i="59"/>
  <c r="E64" i="59"/>
  <c r="E63" i="59"/>
  <c r="C68" i="59"/>
  <c r="D68" i="59"/>
  <c r="E68" i="59"/>
  <c r="E67" i="59"/>
  <c r="D69" i="59"/>
  <c r="C72" i="59"/>
  <c r="C76" i="59"/>
  <c r="U16" i="4"/>
  <c r="S16" i="4"/>
  <c r="Q16" i="4"/>
  <c r="O16" i="4"/>
  <c r="M16" i="4"/>
  <c r="K16" i="4"/>
  <c r="D76" i="59"/>
  <c r="C75" i="59"/>
  <c r="D75" i="59"/>
  <c r="C67" i="59"/>
  <c r="D67" i="59"/>
  <c r="D60" i="59"/>
  <c r="C59" i="59"/>
  <c r="D59" i="59"/>
  <c r="O56" i="59"/>
  <c r="D56" i="59"/>
  <c r="D72" i="59"/>
  <c r="C71" i="59"/>
  <c r="D71" i="59"/>
  <c r="C41" i="59"/>
  <c r="D41" i="59"/>
  <c r="D40" i="59"/>
  <c r="C33" i="59"/>
  <c r="D32" i="59"/>
  <c r="N16" i="4"/>
  <c r="T41" i="59"/>
  <c r="O55" i="59"/>
  <c r="D55"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S21" i="37"/>
  <c r="AA21" i="37"/>
  <c r="C21" i="37"/>
  <c r="D77" i="37"/>
  <c r="E77" i="37"/>
  <c r="F77" i="37"/>
  <c r="G77" i="37"/>
  <c r="Q21" i="34"/>
  <c r="Z21" i="34"/>
  <c r="C21" i="34"/>
  <c r="D84" i="34"/>
  <c r="F21" i="34"/>
  <c r="S21" i="34"/>
  <c r="AA21" i="34"/>
  <c r="Q21" i="33"/>
  <c r="Z21" i="33"/>
  <c r="C21" i="33"/>
  <c r="D83" i="33"/>
  <c r="E83" i="33"/>
  <c r="F83" i="33"/>
  <c r="G83" i="33"/>
  <c r="Q21" i="21"/>
  <c r="Z21" i="21"/>
  <c r="D83" i="21"/>
  <c r="E83" i="21"/>
  <c r="C21" i="21"/>
  <c r="Q27" i="40"/>
  <c r="Z27" i="40"/>
  <c r="D96" i="40"/>
  <c r="E96" i="40"/>
  <c r="F96" i="40"/>
  <c r="F27" i="40"/>
  <c r="S27" i="40"/>
  <c r="AA27" i="40"/>
  <c r="Q31" i="39"/>
  <c r="Z31" i="39"/>
  <c r="D105" i="39"/>
  <c r="E105" i="39"/>
  <c r="F105" i="39"/>
  <c r="G20" i="20"/>
  <c r="B85" i="46"/>
  <c r="C22" i="20"/>
  <c r="B65" i="46"/>
  <c r="S18" i="36"/>
  <c r="S18" i="35"/>
  <c r="S21" i="21"/>
  <c r="S31" i="39"/>
  <c r="C27" i="40"/>
  <c r="B74" i="46"/>
  <c r="E66" i="36"/>
  <c r="H18" i="35"/>
  <c r="J18" i="35"/>
  <c r="H21" i="37"/>
  <c r="J21" i="37"/>
  <c r="E84" i="34"/>
  <c r="F84" i="34"/>
  <c r="G84" i="34"/>
  <c r="J21" i="34"/>
  <c r="H21" i="34"/>
  <c r="F21" i="33"/>
  <c r="H21" i="33"/>
  <c r="J21" i="33"/>
  <c r="F83" i="21"/>
  <c r="G83" i="21"/>
  <c r="H27" i="40"/>
  <c r="H31" i="39"/>
  <c r="F23" i="15"/>
  <c r="D23"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L108" i="46"/>
  <c r="L100" i="46"/>
  <c r="M99" i="46"/>
  <c r="M108" i="46"/>
  <c r="N99" i="46"/>
  <c r="N108" i="46"/>
  <c r="C99" i="46"/>
  <c r="C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K145" i="21"/>
  <c r="M87" i="21"/>
  <c r="L87" i="21"/>
  <c r="K87" i="21"/>
  <c r="J87" i="21"/>
  <c r="I87" i="21"/>
  <c r="H87" i="21"/>
  <c r="G87" i="21"/>
  <c r="F87" i="21"/>
  <c r="E87" i="21"/>
  <c r="D87" i="21"/>
  <c r="G2" i="46"/>
  <c r="H17" i="46"/>
  <c r="P2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B2" i="52"/>
  <c r="B4" i="52" s="1"/>
  <c r="I2" i="46"/>
  <c r="N12" i="46"/>
  <c r="A7" i="46"/>
  <c r="F41" i="4"/>
  <c r="J52" i="40"/>
  <c r="H61" i="49"/>
  <c r="H39" i="46"/>
  <c r="H38" i="46"/>
  <c r="H37" i="46"/>
  <c r="H36" i="46"/>
  <c r="H35" i="46"/>
  <c r="H34" i="46"/>
  <c r="H33" i="46"/>
  <c r="J20" i="46"/>
  <c r="C18" i="46"/>
  <c r="F15" i="46"/>
  <c r="E15" i="46"/>
  <c r="D15" i="46"/>
  <c r="C15" i="46"/>
  <c r="C10" i="46"/>
  <c r="C11" i="46"/>
  <c r="C9" i="46"/>
  <c r="E32" i="6"/>
  <c r="L19" i="6"/>
  <c r="D38" i="4"/>
  <c r="C39" i="4"/>
  <c r="C35" i="4"/>
  <c r="C43" i="9"/>
  <c r="K47" i="9"/>
  <c r="A14" i="55"/>
  <c r="B65" i="63"/>
  <c r="I73" i="9"/>
  <c r="F73" i="9"/>
  <c r="P73" i="9"/>
  <c r="C17" i="9"/>
  <c r="D17" i="9"/>
  <c r="C18"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W30" i="36"/>
  <c r="H30" i="36"/>
  <c r="U30" i="36"/>
  <c r="F30" i="36"/>
  <c r="AA30" i="36"/>
  <c r="C26" i="35"/>
  <c r="C79" i="35"/>
  <c r="J31" i="35"/>
  <c r="H31" i="35"/>
  <c r="F31" i="35"/>
  <c r="D87" i="35"/>
  <c r="E87" i="35"/>
  <c r="F87" i="35"/>
  <c r="G87" i="35"/>
  <c r="H87" i="35"/>
  <c r="I87" i="35"/>
  <c r="J87" i="35"/>
  <c r="K87" i="35"/>
  <c r="L87" i="35"/>
  <c r="M87" i="35"/>
  <c r="H34" i="37"/>
  <c r="AB34" i="37"/>
  <c r="D101" i="37"/>
  <c r="F34" i="37"/>
  <c r="S34" i="37"/>
  <c r="D99" i="37"/>
  <c r="E99" i="37"/>
  <c r="H42" i="34"/>
  <c r="J42" i="34"/>
  <c r="F42" i="34"/>
  <c r="J38" i="34"/>
  <c r="AC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W41" i="2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D93" i="39"/>
  <c r="E93" i="39"/>
  <c r="F93"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E103" i="37"/>
  <c r="F103" i="37"/>
  <c r="G103" i="37"/>
  <c r="H103" i="37"/>
  <c r="I103" i="37"/>
  <c r="J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F89" i="35"/>
  <c r="G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H25" i="35"/>
  <c r="B75" i="35"/>
  <c r="B73" i="35"/>
  <c r="B57" i="35"/>
  <c r="B61" i="35"/>
  <c r="B59" i="35"/>
  <c r="B131" i="34"/>
  <c r="B129" i="34"/>
  <c r="B127" i="34"/>
  <c r="B99" i="34"/>
  <c r="B97" i="34"/>
  <c r="B95" i="34"/>
  <c r="B93" i="34"/>
  <c r="B75" i="34"/>
  <c r="B73" i="34"/>
  <c r="B71" i="34"/>
  <c r="B130" i="33"/>
  <c r="B128" i="33"/>
  <c r="H45" i="33"/>
  <c r="B126" i="33"/>
  <c r="B98" i="33"/>
  <c r="B96" i="33"/>
  <c r="B94" i="33"/>
  <c r="B74" i="33"/>
  <c r="B72" i="33"/>
  <c r="F13" i="33"/>
  <c r="AA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AA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AA9" i="34"/>
  <c r="J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E123" i="33"/>
  <c r="F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U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F79" i="21"/>
  <c r="G79" i="21"/>
  <c r="E81" i="21"/>
  <c r="F81" i="21"/>
  <c r="G81" i="21"/>
  <c r="E77" i="21"/>
  <c r="U14"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6" i="21"/>
  <c r="U10" i="21"/>
  <c r="W34" i="21"/>
  <c r="U36" i="21"/>
  <c r="W33" i="21"/>
  <c r="W19" i="21"/>
  <c r="W26" i="21"/>
  <c r="S41" i="21"/>
  <c r="U30" i="37"/>
  <c r="F39" i="37"/>
  <c r="S39" i="37"/>
  <c r="W39" i="37"/>
  <c r="F29" i="36"/>
  <c r="AA29" i="36"/>
  <c r="F16" i="36"/>
  <c r="AA16" i="36"/>
  <c r="U22" i="36"/>
  <c r="W23" i="36"/>
  <c r="W22" i="36"/>
  <c r="U26" i="36"/>
  <c r="AC31" i="36"/>
  <c r="AC27" i="35"/>
  <c r="U31" i="35"/>
  <c r="S34" i="35"/>
  <c r="S31" i="35"/>
  <c r="W31" i="35"/>
  <c r="U34" i="35"/>
  <c r="F36" i="34"/>
  <c r="S34" i="34"/>
  <c r="W39" i="34"/>
  <c r="H39" i="33"/>
  <c r="AB39" i="33"/>
  <c r="F26" i="33"/>
  <c r="AA26" i="33"/>
  <c r="U9" i="33"/>
  <c r="U33" i="33"/>
  <c r="W38" i="33"/>
  <c r="S40" i="33"/>
  <c r="S33" i="33"/>
  <c r="S8" i="21"/>
  <c r="H39" i="37"/>
  <c r="AB27" i="35"/>
  <c r="S10" i="40"/>
  <c r="W10" i="40"/>
  <c r="S11" i="40"/>
  <c r="U11" i="40"/>
  <c r="S36" i="40"/>
  <c r="U36" i="40"/>
  <c r="S40" i="39"/>
  <c r="S36" i="39"/>
  <c r="S11" i="21"/>
  <c r="C29" i="39"/>
  <c r="C23" i="39"/>
  <c r="U36" i="39"/>
  <c r="S42" i="39"/>
  <c r="H32" i="33"/>
  <c r="AB32" i="33"/>
  <c r="U11" i="21"/>
  <c r="W11" i="21"/>
  <c r="F100" i="40"/>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34" i="36"/>
  <c r="S34" i="36"/>
  <c r="S10" i="36"/>
  <c r="H16" i="35"/>
  <c r="U16" i="35"/>
  <c r="H33" i="35"/>
  <c r="AB33" i="35"/>
  <c r="W8" i="35"/>
  <c r="AC8" i="35"/>
  <c r="F35" i="37"/>
  <c r="E101" i="37"/>
  <c r="F101" i="37"/>
  <c r="G101" i="37"/>
  <c r="H101" i="37"/>
  <c r="I101" i="37"/>
  <c r="J101" i="37"/>
  <c r="K101" i="37"/>
  <c r="L101" i="37"/>
  <c r="M101" i="37"/>
  <c r="J34" i="37"/>
  <c r="W34" i="37"/>
  <c r="AA39" i="37"/>
  <c r="H43" i="34"/>
  <c r="U43" i="34"/>
  <c r="U42" i="34"/>
  <c r="E114" i="34"/>
  <c r="F114" i="34"/>
  <c r="H36" i="34"/>
  <c r="U36" i="34"/>
  <c r="F37" i="34"/>
  <c r="AA37" i="34"/>
  <c r="F33" i="34"/>
  <c r="S33" i="34"/>
  <c r="F19" i="34"/>
  <c r="AA19" i="34"/>
  <c r="J10" i="34"/>
  <c r="AC10" i="34"/>
  <c r="U9" i="34"/>
  <c r="J28" i="34"/>
  <c r="W28" i="34"/>
  <c r="S38" i="33"/>
  <c r="E113" i="33"/>
  <c r="F36" i="33"/>
  <c r="S36" i="33"/>
  <c r="F19" i="33"/>
  <c r="S19" i="33"/>
  <c r="J19" i="33"/>
  <c r="S10" i="21"/>
  <c r="W40" i="33"/>
  <c r="F125" i="21"/>
  <c r="G125" i="21"/>
  <c r="AB30" i="36"/>
  <c r="AC34" i="36"/>
  <c r="S22" i="35"/>
  <c r="H29" i="35"/>
  <c r="U34" i="37"/>
  <c r="AA34" i="37"/>
  <c r="AC43" i="34"/>
  <c r="AB42" i="34"/>
  <c r="AB40" i="34"/>
  <c r="J19" i="34"/>
  <c r="AC19" i="34"/>
  <c r="F113" i="33"/>
  <c r="G113" i="33"/>
  <c r="H113" i="33"/>
  <c r="I113" i="33"/>
  <c r="J113" i="33"/>
  <c r="K113" i="33"/>
  <c r="L113" i="33"/>
  <c r="M113" i="33"/>
  <c r="H37" i="33"/>
  <c r="AB37" i="33"/>
  <c r="S37" i="33"/>
  <c r="W43" i="34"/>
  <c r="AC42" i="34"/>
  <c r="W42" i="34"/>
  <c r="W38" i="34"/>
  <c r="AA38" i="34"/>
  <c r="S38" i="34"/>
  <c r="J37" i="33"/>
  <c r="W37" i="33"/>
  <c r="J44" i="34"/>
  <c r="AC44" i="34"/>
  <c r="F44" i="34"/>
  <c r="S44" i="34"/>
  <c r="J10" i="35"/>
  <c r="W10" i="35"/>
  <c r="S14" i="21"/>
  <c r="S30" i="21"/>
  <c r="W46" i="21"/>
  <c r="H26" i="33"/>
  <c r="U26" i="33"/>
  <c r="F28" i="33"/>
  <c r="AA28" i="33"/>
  <c r="J28" i="33"/>
  <c r="W28" i="33"/>
  <c r="F33" i="35"/>
  <c r="S33" i="35"/>
  <c r="J33" i="35"/>
  <c r="W33" i="35"/>
  <c r="F30" i="35"/>
  <c r="AA30" i="35"/>
  <c r="H89" i="35"/>
  <c r="I89" i="35"/>
  <c r="J89" i="35"/>
  <c r="K89" i="35"/>
  <c r="L89" i="35"/>
  <c r="M89" i="35"/>
  <c r="H10" i="36"/>
  <c r="AB10" i="36"/>
  <c r="F28" i="36"/>
  <c r="S28" i="36"/>
  <c r="F27" i="36"/>
  <c r="S27" i="36"/>
  <c r="U13" i="21"/>
  <c r="W27" i="21"/>
  <c r="U29" i="21"/>
  <c r="S29" i="21"/>
  <c r="W45" i="21"/>
  <c r="U45" i="21"/>
  <c r="J27" i="33"/>
  <c r="AC27" i="33"/>
  <c r="S13" i="33"/>
  <c r="J29" i="33"/>
  <c r="W29" i="33"/>
  <c r="J45" i="33"/>
  <c r="W45" i="33"/>
  <c r="F11" i="35"/>
  <c r="S11" i="35"/>
  <c r="H28" i="36"/>
  <c r="U28" i="36"/>
  <c r="J11" i="36"/>
  <c r="W11" i="36"/>
  <c r="H13" i="36"/>
  <c r="AB13" i="36"/>
  <c r="J13" i="36"/>
  <c r="W13" i="36"/>
  <c r="F13" i="36"/>
  <c r="S13" i="36"/>
  <c r="E89" i="37"/>
  <c r="F89" i="37"/>
  <c r="G89" i="37"/>
  <c r="H89" i="37"/>
  <c r="I89" i="37"/>
  <c r="J89" i="37"/>
  <c r="K89" i="37"/>
  <c r="L89" i="37"/>
  <c r="M89" i="37"/>
  <c r="J29" i="37"/>
  <c r="W29" i="37"/>
  <c r="F29" i="37"/>
  <c r="AA29" i="37"/>
  <c r="F105" i="37"/>
  <c r="AB36" i="37"/>
  <c r="F107" i="37"/>
  <c r="G107" i="37"/>
  <c r="H107" i="37"/>
  <c r="J37" i="37"/>
  <c r="AC37" i="37"/>
  <c r="H37" i="37"/>
  <c r="U37" i="37"/>
  <c r="H40" i="37"/>
  <c r="AB40" i="37"/>
  <c r="U40" i="37"/>
  <c r="J40" i="37"/>
  <c r="F40" i="37"/>
  <c r="AA40" i="37"/>
  <c r="H14" i="33"/>
  <c r="U14" i="33"/>
  <c r="F14" i="33"/>
  <c r="AA14" i="33"/>
  <c r="J14" i="33"/>
  <c r="AC14" i="33"/>
  <c r="H30" i="33"/>
  <c r="AB30" i="33"/>
  <c r="F30" i="33"/>
  <c r="J30" i="33"/>
  <c r="H44" i="33"/>
  <c r="U44" i="33"/>
  <c r="J44" i="33"/>
  <c r="AC44" i="33"/>
  <c r="F44" i="33"/>
  <c r="S44" i="33"/>
  <c r="H46" i="33"/>
  <c r="AB46" i="33"/>
  <c r="H13" i="34"/>
  <c r="U13" i="34"/>
  <c r="J13" i="34"/>
  <c r="W13" i="34"/>
  <c r="F13" i="34"/>
  <c r="AA13" i="34"/>
  <c r="J29" i="34"/>
  <c r="AC29" i="34"/>
  <c r="F29" i="34"/>
  <c r="S29" i="34"/>
  <c r="H29" i="34"/>
  <c r="U29" i="34"/>
  <c r="F31" i="34"/>
  <c r="S31" i="34"/>
  <c r="H45" i="34"/>
  <c r="U45" i="34"/>
  <c r="J45" i="34"/>
  <c r="W45" i="34"/>
  <c r="F45" i="34"/>
  <c r="AA45" i="34"/>
  <c r="H47" i="34"/>
  <c r="U47" i="34"/>
  <c r="F47" i="34"/>
  <c r="AA47" i="34"/>
  <c r="J47" i="34"/>
  <c r="AC47" i="34"/>
  <c r="H13" i="35"/>
  <c r="U13" i="35"/>
  <c r="J35" i="35"/>
  <c r="AC35" i="35"/>
  <c r="F35" i="35"/>
  <c r="S35" i="35"/>
  <c r="H35" i="35"/>
  <c r="J25" i="36"/>
  <c r="W25" i="36"/>
  <c r="F25" i="36"/>
  <c r="AA25" i="36"/>
  <c r="H25" i="36"/>
  <c r="AB25" i="36"/>
  <c r="J13" i="37"/>
  <c r="AC13" i="37"/>
  <c r="F28" i="37"/>
  <c r="AA28" i="37"/>
  <c r="J28" i="37"/>
  <c r="AC28" i="37"/>
  <c r="H28" i="37"/>
  <c r="U28" i="37"/>
  <c r="H38" i="37"/>
  <c r="AB38" i="37"/>
  <c r="J38" i="37"/>
  <c r="AC38" i="37"/>
  <c r="F38" i="37"/>
  <c r="F14" i="37"/>
  <c r="AA14" i="37"/>
  <c r="F27" i="37"/>
  <c r="S27" i="37"/>
  <c r="AA27" i="37"/>
  <c r="J14" i="37"/>
  <c r="AC14" i="37"/>
  <c r="W14" i="37"/>
  <c r="J27" i="37"/>
  <c r="W27" i="37"/>
  <c r="W35" i="35"/>
  <c r="AB13" i="35"/>
  <c r="U30" i="33"/>
  <c r="J36" i="37"/>
  <c r="AC36" i="37"/>
  <c r="G105" i="37"/>
  <c r="AB28" i="36"/>
  <c r="U46" i="21"/>
  <c r="W30" i="21"/>
  <c r="W14" i="21"/>
  <c r="W42" i="21"/>
  <c r="U36" i="37"/>
  <c r="AC13" i="36"/>
  <c r="S45" i="21"/>
  <c r="AC28" i="33"/>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H43" i="33"/>
  <c r="H17" i="37"/>
  <c r="U17" i="37"/>
  <c r="F23" i="37"/>
  <c r="S23" i="37"/>
  <c r="F79" i="37"/>
  <c r="G79" i="37"/>
  <c r="AB27" i="37"/>
  <c r="F39" i="33"/>
  <c r="F42" i="33"/>
  <c r="AA42" i="33"/>
  <c r="H28" i="34"/>
  <c r="AB28" i="34"/>
  <c r="F22" i="36"/>
  <c r="S22" i="36"/>
  <c r="H35" i="34"/>
  <c r="U35" i="34"/>
  <c r="F41" i="34"/>
  <c r="S41" i="34"/>
  <c r="H41" i="34"/>
  <c r="U41" i="34"/>
  <c r="J41" i="34"/>
  <c r="AC41" i="34"/>
  <c r="W41" i="34"/>
  <c r="F10" i="35"/>
  <c r="AA10" i="35"/>
  <c r="H23" i="37"/>
  <c r="U23" i="37"/>
  <c r="AB23" i="37"/>
  <c r="J32" i="37"/>
  <c r="AC32" i="37"/>
  <c r="F36" i="37"/>
  <c r="S36" i="37"/>
  <c r="F37" i="37"/>
  <c r="AA37" i="37"/>
  <c r="G123" i="33"/>
  <c r="H123" i="33"/>
  <c r="I123" i="33"/>
  <c r="J123" i="33"/>
  <c r="K123" i="33"/>
  <c r="L123" i="33"/>
  <c r="M123" i="33"/>
  <c r="H42" i="33"/>
  <c r="U42" i="33"/>
  <c r="J43" i="33"/>
  <c r="AC43" i="33"/>
  <c r="J23" i="37"/>
  <c r="AC23" i="37"/>
  <c r="W23" i="37"/>
  <c r="F17" i="37"/>
  <c r="AA17" i="37"/>
  <c r="AC8" i="37"/>
  <c r="S25" i="37"/>
  <c r="AC36" i="34"/>
  <c r="AB8" i="34"/>
  <c r="AC45" i="33"/>
  <c r="U19" i="21"/>
  <c r="F43" i="33"/>
  <c r="AA43" i="33"/>
  <c r="AA23" i="37"/>
  <c r="AB44" i="33"/>
  <c r="I107" i="37"/>
  <c r="J107" i="37"/>
  <c r="K107" i="37"/>
  <c r="L107" i="37"/>
  <c r="M107" i="37"/>
  <c r="S37" i="21"/>
  <c r="W37" i="21"/>
  <c r="H19" i="34"/>
  <c r="AB19" i="34"/>
  <c r="J10" i="37"/>
  <c r="W10" i="37"/>
  <c r="F36" i="35"/>
  <c r="S36" i="35"/>
  <c r="H9" i="37"/>
  <c r="U9" i="37"/>
  <c r="F9" i="37"/>
  <c r="S9" i="37"/>
  <c r="F11" i="37"/>
  <c r="S11" i="37"/>
  <c r="J12" i="37"/>
  <c r="AC12" i="37"/>
  <c r="H12" i="37"/>
  <c r="F12" i="37"/>
  <c r="AA12" i="37"/>
  <c r="H15" i="37"/>
  <c r="AB15" i="37"/>
  <c r="U15" i="37"/>
  <c r="E94" i="37"/>
  <c r="F94" i="37"/>
  <c r="F31" i="37"/>
  <c r="S31" i="37"/>
  <c r="G94" i="37"/>
  <c r="H94" i="37"/>
  <c r="I94" i="37"/>
  <c r="J94" i="37"/>
  <c r="K94" i="37"/>
  <c r="L94" i="37"/>
  <c r="M94" i="37"/>
  <c r="H31" i="37"/>
  <c r="U31" i="37"/>
  <c r="J15" i="37"/>
  <c r="W15" i="37"/>
  <c r="AB10" i="37"/>
  <c r="J11" i="37"/>
  <c r="W1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U43" i="21"/>
  <c r="AA13" i="40"/>
  <c r="E78" i="40"/>
  <c r="F78" i="40"/>
  <c r="G78" i="40"/>
  <c r="H78" i="40"/>
  <c r="I78" i="40"/>
  <c r="J78" i="40"/>
  <c r="K78" i="40"/>
  <c r="L78" i="40"/>
  <c r="M78" i="40"/>
  <c r="R16" i="4"/>
  <c r="P16" i="4"/>
  <c r="D3" i="35"/>
  <c r="G4" i="4"/>
  <c r="S37" i="34"/>
  <c r="J16" i="35"/>
  <c r="W16" i="35"/>
  <c r="U42" i="21"/>
  <c r="AC26" i="36"/>
  <c r="H13" i="39"/>
  <c r="U13" i="39"/>
  <c r="J13" i="39"/>
  <c r="AC13" i="39"/>
  <c r="AA36" i="35"/>
  <c r="H11" i="37"/>
  <c r="AB11" i="37"/>
  <c r="W37" i="37"/>
  <c r="AA36" i="37"/>
  <c r="S42" i="33"/>
  <c r="U32" i="33"/>
  <c r="AC29" i="33"/>
  <c r="AC11" i="36"/>
  <c r="AC10" i="36"/>
  <c r="AB45" i="34"/>
  <c r="W44" i="33"/>
  <c r="AC30" i="33"/>
  <c r="W30" i="33"/>
  <c r="AC29" i="37"/>
  <c r="U28" i="33"/>
  <c r="AB28" i="33"/>
  <c r="J33" i="34"/>
  <c r="AC33" i="34"/>
  <c r="AB36" i="34"/>
  <c r="J40" i="34"/>
  <c r="W40" i="34"/>
  <c r="F16" i="35"/>
  <c r="AA16" i="35"/>
  <c r="W42" i="33"/>
  <c r="J35" i="34"/>
  <c r="W35" i="34"/>
  <c r="G107" i="34"/>
  <c r="H107" i="34"/>
  <c r="I107" i="34"/>
  <c r="J107" i="34"/>
  <c r="K107" i="34"/>
  <c r="L107" i="34"/>
  <c r="M107" i="34"/>
  <c r="S30" i="36"/>
  <c r="H16" i="36"/>
  <c r="AB16" i="36"/>
  <c r="K103" i="37"/>
  <c r="L103" i="37"/>
  <c r="M103" i="37"/>
  <c r="H35" i="37"/>
  <c r="AB35" i="37"/>
  <c r="S26" i="21"/>
  <c r="U32" i="21"/>
  <c r="S33" i="21"/>
  <c r="U39" i="21"/>
  <c r="W9" i="21"/>
  <c r="S17" i="21"/>
  <c r="U37" i="21"/>
  <c r="S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AA11" i="34"/>
  <c r="E80" i="34"/>
  <c r="F80" i="34"/>
  <c r="H17" i="34"/>
  <c r="AB17" i="34"/>
  <c r="AC27" i="34"/>
  <c r="W27" i="34"/>
  <c r="AB28" i="35"/>
  <c r="U28" i="35"/>
  <c r="J13" i="33"/>
  <c r="W13" i="33"/>
  <c r="H13" i="33"/>
  <c r="H29" i="33"/>
  <c r="AB29" i="33"/>
  <c r="F29" i="33"/>
  <c r="AA29" i="33"/>
  <c r="J12" i="34"/>
  <c r="AC12" i="34"/>
  <c r="H12" i="34"/>
  <c r="AB12" i="34"/>
  <c r="F12" i="34"/>
  <c r="S12" i="34"/>
  <c r="J14" i="34"/>
  <c r="W14" i="34"/>
  <c r="F14" i="34"/>
  <c r="S14" i="34"/>
  <c r="H14" i="34"/>
  <c r="AB14" i="34"/>
  <c r="H30" i="34"/>
  <c r="AB30" i="34"/>
  <c r="F30" i="34"/>
  <c r="S30" i="34"/>
  <c r="J30" i="34"/>
  <c r="AC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S45" i="34"/>
  <c r="AC40" i="37"/>
  <c r="W40" i="37"/>
  <c r="W27" i="33"/>
  <c r="S28" i="33"/>
  <c r="AA44" i="34"/>
  <c r="AB29" i="35"/>
  <c r="U29" i="35"/>
  <c r="AB43" i="34"/>
  <c r="AC34" i="37"/>
  <c r="S35" i="37"/>
  <c r="AA35" i="37"/>
  <c r="AB10" i="35"/>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U11" i="36"/>
  <c r="AB11" i="36"/>
  <c r="F11" i="36"/>
  <c r="S11" i="36"/>
  <c r="W16" i="36"/>
  <c r="AC16" i="36"/>
  <c r="E78" i="36"/>
  <c r="F78" i="36"/>
  <c r="G78" i="36"/>
  <c r="H78" i="36"/>
  <c r="I78" i="36"/>
  <c r="J78" i="36"/>
  <c r="K78" i="36"/>
  <c r="L78" i="36"/>
  <c r="M78" i="36"/>
  <c r="F26" i="36"/>
  <c r="S26" i="36"/>
  <c r="U34" i="36"/>
  <c r="AB34" i="36"/>
  <c r="H33" i="36"/>
  <c r="U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J44" i="39"/>
  <c r="W44" i="39"/>
  <c r="E128" i="39"/>
  <c r="F128" i="39"/>
  <c r="G128" i="39"/>
  <c r="H128" i="39"/>
  <c r="I128" i="39"/>
  <c r="J128" i="39"/>
  <c r="K128" i="39"/>
  <c r="L128" i="39"/>
  <c r="M128" i="39"/>
  <c r="S46" i="39"/>
  <c r="H46" i="39"/>
  <c r="U46" i="39"/>
  <c r="J46" i="39"/>
  <c r="W46" i="39"/>
  <c r="F103" i="39"/>
  <c r="G103" i="39"/>
  <c r="H29" i="39"/>
  <c r="U29" i="39"/>
  <c r="H34" i="39"/>
  <c r="AB34" i="39"/>
  <c r="J34" i="39"/>
  <c r="H39" i="39"/>
  <c r="AB39" i="39"/>
  <c r="J39" i="39"/>
  <c r="J29" i="35"/>
  <c r="AC29" i="35"/>
  <c r="F29" i="35"/>
  <c r="S29" i="35"/>
  <c r="AC30" i="36"/>
  <c r="G114" i="34"/>
  <c r="H114" i="34"/>
  <c r="I114" i="34"/>
  <c r="J114" i="34"/>
  <c r="K114" i="34"/>
  <c r="L114" i="34"/>
  <c r="M114" i="34"/>
  <c r="H38" i="34"/>
  <c r="H30" i="40"/>
  <c r="AB30" i="40"/>
  <c r="G100" i="40"/>
  <c r="J30" i="40"/>
  <c r="AC30" i="40"/>
  <c r="F38" i="40"/>
  <c r="AA38" i="40"/>
  <c r="W12" i="21"/>
  <c r="S35" i="21"/>
  <c r="U8" i="21"/>
  <c r="S34" i="21"/>
  <c r="AB8" i="33"/>
  <c r="U8" i="33"/>
  <c r="E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J27" i="39"/>
  <c r="W27" i="39"/>
  <c r="AC27" i="39"/>
  <c r="F15" i="40"/>
  <c r="AA15" i="40"/>
  <c r="J15" i="40"/>
  <c r="H15" i="40"/>
  <c r="AB15" i="40"/>
  <c r="E92" i="40"/>
  <c r="F92" i="40"/>
  <c r="H23" i="40"/>
  <c r="U23" i="40"/>
  <c r="H41" i="40"/>
  <c r="F41" i="40"/>
  <c r="AA41" i="40"/>
  <c r="J41" i="40"/>
  <c r="H36" i="33"/>
  <c r="AB36" i="33"/>
  <c r="H37" i="34"/>
  <c r="H15" i="39"/>
  <c r="U15" i="39"/>
  <c r="J15" i="39"/>
  <c r="AC15" i="39"/>
  <c r="H25" i="39"/>
  <c r="J25" i="39"/>
  <c r="AC25" i="39"/>
  <c r="H47" i="39"/>
  <c r="AB47" i="39"/>
  <c r="J47" i="39"/>
  <c r="W47" i="39"/>
  <c r="H41" i="39"/>
  <c r="AB41" i="39"/>
  <c r="J41" i="39"/>
  <c r="AC41" i="39"/>
  <c r="E94" i="40"/>
  <c r="F94" i="40"/>
  <c r="J25" i="40"/>
  <c r="AC25" i="40"/>
  <c r="J32" i="40"/>
  <c r="AC32" i="40"/>
  <c r="H32" i="40"/>
  <c r="U32" i="40"/>
  <c r="H33" i="40"/>
  <c r="AB33" i="40"/>
  <c r="F33" i="40"/>
  <c r="AA33" i="40"/>
  <c r="J33" i="40"/>
  <c r="AC33" i="40"/>
  <c r="H35" i="40"/>
  <c r="AB35" i="40"/>
  <c r="F35" i="40"/>
  <c r="AA35" i="40"/>
  <c r="J35" i="40"/>
  <c r="W35" i="40"/>
  <c r="J38" i="39"/>
  <c r="W38" i="39"/>
  <c r="H38" i="39"/>
  <c r="U38" i="39"/>
  <c r="J16" i="40"/>
  <c r="W16" i="40"/>
  <c r="J14" i="40"/>
  <c r="W14" i="40"/>
  <c r="H42" i="40"/>
  <c r="AB42" i="40"/>
  <c r="H40" i="40"/>
  <c r="U40" i="40"/>
  <c r="H34" i="40"/>
  <c r="U34" i="40"/>
  <c r="M18" i="15"/>
  <c r="J42" i="40"/>
  <c r="AC42" i="40"/>
  <c r="J40" i="40"/>
  <c r="AC40" i="40"/>
  <c r="J34" i="40"/>
  <c r="AC34" i="40"/>
  <c r="H16" i="40"/>
  <c r="H14" i="40"/>
  <c r="U14" i="40"/>
  <c r="F32" i="40"/>
  <c r="AA32" i="40"/>
  <c r="M1" i="46"/>
  <c r="M6" i="46"/>
  <c r="M10" i="46"/>
  <c r="N2" i="46"/>
  <c r="N5" i="46"/>
  <c r="F58" i="46"/>
  <c r="H61" i="46"/>
  <c r="N7" i="46"/>
  <c r="M7" i="46"/>
  <c r="M11" i="46"/>
  <c r="N3" i="46"/>
  <c r="N6" i="46"/>
  <c r="N10" i="46"/>
  <c r="F69" i="46"/>
  <c r="H71" i="46"/>
  <c r="J13" i="40"/>
  <c r="W13" i="40"/>
  <c r="AB14" i="40"/>
  <c r="W40" i="40"/>
  <c r="AC14" i="40"/>
  <c r="S33" i="40"/>
  <c r="AB32" i="40"/>
  <c r="AC47" i="39"/>
  <c r="AC41" i="40"/>
  <c r="W41" i="40"/>
  <c r="J23" i="40"/>
  <c r="AC23" i="40"/>
  <c r="G92" i="40"/>
  <c r="F23" i="40"/>
  <c r="S23"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A29" i="35"/>
  <c r="U39" i="39"/>
  <c r="J29" i="39"/>
  <c r="AC29" i="39"/>
  <c r="AB21" i="39"/>
  <c r="U21" i="39"/>
  <c r="AB17" i="39"/>
  <c r="AB33" i="36"/>
  <c r="AA11" i="36"/>
  <c r="AA14" i="35"/>
  <c r="S14" i="35"/>
  <c r="G99" i="37"/>
  <c r="F33" i="37"/>
  <c r="U46" i="34"/>
  <c r="AA14" i="34"/>
  <c r="W12" i="34"/>
  <c r="U29" i="33"/>
  <c r="AC13" i="33"/>
  <c r="U17" i="34"/>
  <c r="W32" i="33"/>
  <c r="H15" i="33"/>
  <c r="U15" i="33"/>
  <c r="AA11" i="33"/>
  <c r="U17" i="21"/>
  <c r="W34" i="40"/>
  <c r="AB34" i="40"/>
  <c r="U42" i="40"/>
  <c r="AC16" i="40"/>
  <c r="W32" i="40"/>
  <c r="H25" i="40"/>
  <c r="AB25" i="40"/>
  <c r="G94" i="40"/>
  <c r="J37" i="34"/>
  <c r="AC37" i="34"/>
  <c r="J36" i="33"/>
  <c r="W36" i="33"/>
  <c r="S41" i="40"/>
  <c r="H23" i="39"/>
  <c r="AB23" i="39"/>
  <c r="J23" i="39"/>
  <c r="AC23" i="39"/>
  <c r="F97" i="39"/>
  <c r="G97" i="39"/>
  <c r="S16" i="39"/>
  <c r="AA15" i="34"/>
  <c r="AA41" i="33"/>
  <c r="AA34" i="33"/>
  <c r="F106" i="33"/>
  <c r="G106" i="33"/>
  <c r="H106" i="33"/>
  <c r="I106" i="33"/>
  <c r="J106" i="33"/>
  <c r="K106" i="33"/>
  <c r="L106" i="33"/>
  <c r="M106" i="33"/>
  <c r="J34" i="33"/>
  <c r="AC34" i="33"/>
  <c r="U30" i="40"/>
  <c r="W29" i="35"/>
  <c r="AC39" i="39"/>
  <c r="W39" i="39"/>
  <c r="S39" i="39"/>
  <c r="U34" i="39"/>
  <c r="AB29" i="39"/>
  <c r="AB46" i="39"/>
  <c r="AC33" i="39"/>
  <c r="W33" i="39"/>
  <c r="S17" i="39"/>
  <c r="F80" i="35"/>
  <c r="G80" i="35"/>
  <c r="H80" i="35"/>
  <c r="I80" i="35"/>
  <c r="J80" i="35"/>
  <c r="K80" i="35"/>
  <c r="L80" i="35"/>
  <c r="M80" i="35"/>
  <c r="W14" i="35"/>
  <c r="F90" i="34"/>
  <c r="G90" i="34"/>
  <c r="H90" i="34"/>
  <c r="I90" i="34"/>
  <c r="J90" i="34"/>
  <c r="K90" i="34"/>
  <c r="L90" i="34"/>
  <c r="M90" i="34"/>
  <c r="F27" i="34"/>
  <c r="AA27" i="34"/>
  <c r="AC43" i="39"/>
  <c r="W43" i="39"/>
  <c r="S43" i="39"/>
  <c r="G96" i="37"/>
  <c r="H96" i="37"/>
  <c r="I96" i="37"/>
  <c r="J96" i="37"/>
  <c r="K96" i="37"/>
  <c r="L96" i="37"/>
  <c r="M96" i="37"/>
  <c r="F32" i="37"/>
  <c r="S46" i="34"/>
  <c r="U32" i="34"/>
  <c r="U14" i="34"/>
  <c r="AC14" i="34"/>
  <c r="U12" i="34"/>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F6" i="1"/>
  <c r="AP6" i="1"/>
  <c r="AC25" i="36"/>
  <c r="S23" i="36"/>
  <c r="S8" i="36"/>
  <c r="AA26" i="36"/>
  <c r="AA28" i="36"/>
  <c r="U25" i="36"/>
  <c r="H20" i="36"/>
  <c r="U20" i="36"/>
  <c r="F68" i="36"/>
  <c r="G68" i="36"/>
  <c r="J20" i="36"/>
  <c r="AC20" i="36"/>
  <c r="F20" i="36"/>
  <c r="S20" i="36"/>
  <c r="F62" i="36"/>
  <c r="G62" i="36"/>
  <c r="J14" i="36"/>
  <c r="H14" i="36"/>
  <c r="F14" i="36"/>
  <c r="AA14" i="36"/>
  <c r="W20" i="36"/>
  <c r="U27" i="36"/>
  <c r="AB12" i="36"/>
  <c r="AA27" i="36"/>
  <c r="S16" i="36"/>
  <c r="S29" i="36"/>
  <c r="AC33" i="35"/>
  <c r="U22" i="35"/>
  <c r="AC9" i="35"/>
  <c r="S8" i="35"/>
  <c r="U33" i="35"/>
  <c r="AA20" i="35"/>
  <c r="W20" i="35"/>
  <c r="S23"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W32" i="21"/>
  <c r="U35" i="21"/>
  <c r="W43" i="21"/>
  <c r="S42" i="21"/>
  <c r="W28" i="21"/>
  <c r="F85" i="21"/>
  <c r="G85" i="21"/>
  <c r="W23" i="21"/>
  <c r="W17" i="21"/>
  <c r="S15" i="21"/>
  <c r="F77" i="21"/>
  <c r="G77" i="21"/>
  <c r="W21" i="21"/>
  <c r="W10" i="21"/>
  <c r="U21" i="21"/>
  <c r="W33" i="40"/>
  <c r="U33" i="40"/>
  <c r="S35" i="40"/>
  <c r="U15" i="40"/>
  <c r="S14" i="40"/>
  <c r="S15" i="40"/>
  <c r="AB13" i="40"/>
  <c r="S16" i="40"/>
  <c r="W11" i="40"/>
  <c r="AA21" i="40"/>
  <c r="U21" i="40"/>
  <c r="W25" i="40"/>
  <c r="U25" i="40"/>
  <c r="W42" i="40"/>
  <c r="U35" i="40"/>
  <c r="F37" i="40"/>
  <c r="AA37" i="40"/>
  <c r="J37" i="40"/>
  <c r="AC37" i="40"/>
  <c r="H37" i="40"/>
  <c r="G113" i="40"/>
  <c r="H113" i="40"/>
  <c r="I113" i="40"/>
  <c r="J113" i="40"/>
  <c r="K113" i="40"/>
  <c r="L113" i="40"/>
  <c r="M113" i="40"/>
  <c r="F39" i="40"/>
  <c r="S38" i="40"/>
  <c r="H39" i="40"/>
  <c r="J39" i="40"/>
  <c r="W38" i="40"/>
  <c r="F29" i="40"/>
  <c r="H29" i="40"/>
  <c r="J29" i="40"/>
  <c r="AC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C19" i="39"/>
  <c r="AC38" i="39"/>
  <c r="W29" i="39"/>
  <c r="S29" i="39"/>
  <c r="AC21" i="39"/>
  <c r="AC17" i="39"/>
  <c r="S14" i="39"/>
  <c r="AB15" i="39"/>
  <c r="U11" i="39"/>
  <c r="U41" i="39"/>
  <c r="U23" i="39"/>
  <c r="AB38" i="39"/>
  <c r="U31" i="39"/>
  <c r="AB31" i="39"/>
  <c r="S25" i="39"/>
  <c r="S38" i="39"/>
  <c r="D18" i="9"/>
  <c r="M44" i="9"/>
  <c r="M43" i="9"/>
  <c r="D96" i="9"/>
  <c r="A18" i="64"/>
  <c r="B74" i="63"/>
  <c r="C53" i="10"/>
  <c r="A25" i="64"/>
  <c r="A18" i="51"/>
  <c r="B14" i="63"/>
  <c r="I4" i="6"/>
  <c r="G3" i="46"/>
  <c r="D101" i="46"/>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A9" i="64"/>
  <c r="I100" i="46"/>
  <c r="C24" i="46"/>
  <c r="N100" i="46"/>
  <c r="H100" i="46"/>
  <c r="F108" i="46"/>
  <c r="H80" i="46"/>
  <c r="B45" i="46"/>
  <c r="E100" i="46"/>
  <c r="G100" i="46"/>
  <c r="H84" i="46"/>
  <c r="C100" i="46"/>
  <c r="J100" i="46"/>
  <c r="M100" i="46"/>
  <c r="AA12" i="36"/>
  <c r="W11" i="35"/>
  <c r="AA11" i="35"/>
  <c r="S14" i="37"/>
  <c r="C24" i="9"/>
  <c r="C25" i="9"/>
  <c r="G8" i="1"/>
  <c r="I20" i="46"/>
  <c r="G20" i="46"/>
  <c r="C20" i="46"/>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12" i="1"/>
  <c r="E12" i="1"/>
  <c r="S12" i="1"/>
  <c r="F66" i="36"/>
  <c r="H18" i="36"/>
  <c r="U18" i="36"/>
  <c r="U16" i="36"/>
  <c r="S25" i="36"/>
  <c r="AA34" i="36"/>
  <c r="U23" i="36"/>
  <c r="AC27" i="36"/>
  <c r="W28" i="36"/>
  <c r="U13" i="36"/>
  <c r="AA22" i="36"/>
  <c r="U10" i="36"/>
  <c r="AA13" i="36"/>
  <c r="W29" i="36"/>
  <c r="W8" i="36"/>
  <c r="AC30" i="35"/>
  <c r="W32" i="35"/>
  <c r="AA33" i="35"/>
  <c r="U32" i="35"/>
  <c r="W22" i="35"/>
  <c r="W34" i="35"/>
  <c r="S32" i="35"/>
  <c r="W35" i="37"/>
  <c r="AC33" i="37"/>
  <c r="U33" i="37"/>
  <c r="AC15"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S15" i="33"/>
  <c r="S9" i="33"/>
  <c r="S39" i="21"/>
  <c r="W25" i="21"/>
  <c r="U27" i="21"/>
  <c r="W31" i="21"/>
  <c r="S27" i="21"/>
  <c r="W29" i="21"/>
  <c r="G96" i="40"/>
  <c r="J27" i="40"/>
  <c r="W37" i="40"/>
  <c r="S17" i="40"/>
  <c r="W30" i="40"/>
  <c r="S34" i="40"/>
  <c r="U17" i="40"/>
  <c r="U38" i="40"/>
  <c r="S40" i="40"/>
  <c r="S42" i="40"/>
  <c r="G105" i="39"/>
  <c r="J31" i="39"/>
  <c r="AB43" i="39"/>
  <c r="AB33" i="39"/>
  <c r="AC46" i="39"/>
  <c r="S34" i="39"/>
  <c r="W42" i="39"/>
  <c r="W36" i="39"/>
  <c r="W23" i="39"/>
  <c r="U14" i="39"/>
  <c r="W16" i="39"/>
  <c r="S15" i="39"/>
  <c r="W25" i="39"/>
  <c r="S41" i="39"/>
  <c r="W11" i="39"/>
  <c r="U42" i="39"/>
  <c r="W40" i="39"/>
  <c r="S32" i="40"/>
  <c r="C27" i="39"/>
  <c r="C17" i="40"/>
  <c r="C19" i="40"/>
  <c r="C17" i="39"/>
  <c r="C19" i="39"/>
  <c r="C21" i="39"/>
  <c r="C23" i="40"/>
  <c r="B48" i="46"/>
  <c r="B51" i="46"/>
  <c r="B55" i="46"/>
  <c r="B59" i="46"/>
  <c r="B62" i="46"/>
  <c r="B66" i="46"/>
  <c r="B53" i="46"/>
  <c r="B64" i="46"/>
  <c r="S14" i="36"/>
  <c r="AB20" i="36"/>
  <c r="AA20" i="36"/>
  <c r="AC14" i="36"/>
  <c r="W14" i="36"/>
  <c r="U14" i="36"/>
  <c r="AB14" i="36"/>
  <c r="AB18" i="36"/>
  <c r="AA26" i="35"/>
  <c r="S26" i="35"/>
  <c r="U26" i="35"/>
  <c r="AB26" i="35"/>
  <c r="W26" i="35"/>
  <c r="AC26" i="35"/>
  <c r="S19" i="37"/>
  <c r="W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S37" i="40"/>
  <c r="U29" i="40"/>
  <c r="AB29" i="40"/>
  <c r="AA29" i="40"/>
  <c r="S29" i="40"/>
  <c r="W19" i="40"/>
  <c r="AC19" i="40"/>
  <c r="AA19" i="40"/>
  <c r="S19" i="40"/>
  <c r="AB19" i="40"/>
  <c r="U19" i="40"/>
  <c r="AC27" i="40"/>
  <c r="W27" i="40"/>
  <c r="A17" i="51"/>
  <c r="B13" i="63"/>
  <c r="AT6" i="3"/>
  <c r="G66" i="36"/>
  <c r="J18" i="36"/>
  <c r="AE8" i="1"/>
  <c r="AE7" i="1"/>
  <c r="AE6" i="1"/>
  <c r="W18" i="36"/>
  <c r="AC18" i="36"/>
  <c r="AG6" i="1"/>
  <c r="L20" i="6"/>
  <c r="S9" i="1"/>
  <c r="R9" i="1"/>
  <c r="N76" i="9"/>
  <c r="D58" i="33"/>
  <c r="C67" i="40"/>
  <c r="D65" i="40"/>
  <c r="H58" i="46"/>
  <c r="J17" i="46"/>
  <c r="C17" i="46"/>
  <c r="F34" i="46"/>
  <c r="F38" i="46"/>
  <c r="F37" i="46"/>
  <c r="H113" i="46"/>
  <c r="D12" i="59"/>
  <c r="C11" i="59"/>
  <c r="D11" i="59"/>
  <c r="U9" i="59"/>
  <c r="F12" i="59"/>
  <c r="F11" i="59"/>
  <c r="F10" i="59"/>
  <c r="F9" i="59"/>
  <c r="Y11" i="59"/>
  <c r="Z11" i="59"/>
  <c r="AA11" i="59"/>
  <c r="AB11" i="59"/>
  <c r="Y10" i="59"/>
  <c r="Z10" i="59"/>
  <c r="Y9" i="59"/>
  <c r="Z9" i="59"/>
  <c r="Y8" i="59"/>
  <c r="Z8" i="59"/>
  <c r="AB10" i="59"/>
  <c r="AB9" i="59"/>
  <c r="AB8" i="59"/>
  <c r="AA13" i="59"/>
  <c r="X11" i="59"/>
  <c r="X9" i="59"/>
  <c r="X8" i="59"/>
  <c r="AA9" i="59"/>
  <c r="AA8" i="59"/>
  <c r="X7" i="46"/>
  <c r="E17" i="46"/>
  <c r="N17" i="46"/>
  <c r="O17" i="46"/>
  <c r="M17" i="46"/>
  <c r="L17" i="46"/>
  <c r="G13" i="1"/>
  <c r="E52" i="37"/>
  <c r="E48" i="35"/>
  <c r="D59" i="34"/>
  <c r="H70" i="46"/>
  <c r="H73" i="46"/>
  <c r="H48" i="46"/>
  <c r="F35" i="46"/>
  <c r="I17" i="46"/>
  <c r="H63" i="46"/>
  <c r="H64" i="46"/>
  <c r="H66" i="46"/>
  <c r="D100" i="46"/>
  <c r="H62" i="46"/>
  <c r="AF12" i="46"/>
  <c r="K100" i="46"/>
  <c r="AB12" i="46"/>
  <c r="AJ12" i="46"/>
  <c r="H60" i="46"/>
  <c r="H59" i="46"/>
  <c r="H74" i="46"/>
  <c r="H65" i="46"/>
  <c r="H75" i="46"/>
  <c r="H72" i="46"/>
  <c r="H69" i="46"/>
  <c r="H77" i="46"/>
  <c r="H76" i="46"/>
  <c r="H55" i="46"/>
  <c r="H54" i="46"/>
  <c r="AD12" i="46"/>
  <c r="AH12" i="46"/>
  <c r="C10" i="59"/>
  <c r="B10" i="59"/>
  <c r="B9" i="59"/>
  <c r="B8" i="59"/>
  <c r="B7" i="59"/>
  <c r="B6" i="59"/>
  <c r="B5" i="59"/>
  <c r="S9" i="59"/>
  <c r="E65" i="40"/>
  <c r="D67" i="40"/>
  <c r="F48" i="35"/>
  <c r="G48" i="35"/>
  <c r="E59" i="34"/>
  <c r="F52" i="37"/>
  <c r="E41" i="46"/>
  <c r="C41" i="46"/>
  <c r="G52" i="37"/>
  <c r="H52" i="37"/>
  <c r="I52" i="37"/>
  <c r="F31" i="15"/>
  <c r="D24" i="44"/>
  <c r="S13" i="39"/>
  <c r="W13" i="39"/>
  <c r="G26" i="12"/>
  <c r="G22" i="43"/>
  <c r="G23" i="43"/>
  <c r="G28" i="12"/>
  <c r="G21" i="43"/>
  <c r="G27" i="12"/>
  <c r="D26" i="44"/>
  <c r="F34" i="44"/>
  <c r="D22" i="15"/>
  <c r="D24" i="15"/>
  <c r="AB13" i="39"/>
  <c r="S10" i="39"/>
  <c r="U10" i="39"/>
  <c r="W10" i="39"/>
  <c r="S45" i="39"/>
  <c r="J45" i="39"/>
  <c r="H45" i="39"/>
  <c r="U45" i="39"/>
  <c r="U47" i="39"/>
  <c r="S37" i="39"/>
  <c r="J37" i="39"/>
  <c r="H37" i="39"/>
  <c r="L27" i="6"/>
  <c r="B8" i="1"/>
  <c r="E8" i="1"/>
  <c r="G1" i="15"/>
  <c r="K1" i="43"/>
  <c r="K1" i="12"/>
  <c r="F3" i="35"/>
  <c r="G1" i="44"/>
  <c r="S5" i="46"/>
  <c r="Y11" i="46"/>
  <c r="Y13" i="46"/>
  <c r="E22" i="46"/>
  <c r="N104" i="45"/>
  <c r="S4" i="46"/>
  <c r="AI11" i="46"/>
  <c r="AI13" i="46"/>
  <c r="K101" i="46"/>
  <c r="B113" i="46"/>
  <c r="AJ11" i="46"/>
  <c r="AJ13" i="46"/>
  <c r="M101" i="46"/>
  <c r="F101" i="46"/>
  <c r="F109" i="46"/>
  <c r="H22" i="46"/>
  <c r="AA11" i="46"/>
  <c r="AA13" i="46"/>
  <c r="Z7" i="46"/>
  <c r="J101" i="46"/>
  <c r="AD11" i="46"/>
  <c r="AD13" i="46"/>
  <c r="I101" i="46"/>
  <c r="I102" i="46"/>
  <c r="J22" i="46"/>
  <c r="S6" i="46"/>
  <c r="S7" i="46"/>
  <c r="AH11" i="46"/>
  <c r="AH13" i="46"/>
  <c r="E101" i="46"/>
  <c r="E105" i="46"/>
  <c r="G101" i="46"/>
  <c r="G109" i="46"/>
  <c r="AC11" i="46"/>
  <c r="AC13" i="46"/>
  <c r="G22" i="46"/>
  <c r="S3" i="46"/>
  <c r="AB11" i="46"/>
  <c r="AB13" i="46"/>
  <c r="AE11" i="46"/>
  <c r="AE13" i="46"/>
  <c r="Z11" i="46"/>
  <c r="Z13" i="46"/>
  <c r="F22" i="46"/>
  <c r="C101" i="46"/>
  <c r="C106" i="46"/>
  <c r="H101" i="46"/>
  <c r="H103" i="46"/>
  <c r="S2" i="46"/>
  <c r="C23" i="46"/>
  <c r="C21" i="46"/>
  <c r="AF11" i="46"/>
  <c r="AF13" i="46"/>
  <c r="AG11" i="46"/>
  <c r="AG13" i="46"/>
  <c r="L101" i="46"/>
  <c r="L104" i="46"/>
  <c r="N101" i="46"/>
  <c r="L16" i="4"/>
  <c r="K17" i="4"/>
  <c r="A22" i="51"/>
  <c r="B16" i="63"/>
  <c r="G11" i="1"/>
  <c r="G7" i="1"/>
  <c r="G12" i="1"/>
  <c r="G6" i="1"/>
  <c r="A9" i="51"/>
  <c r="B9" i="63"/>
  <c r="C15" i="43"/>
  <c r="P21" i="46"/>
  <c r="AP7" i="1"/>
  <c r="G9" i="1"/>
  <c r="P24" i="46"/>
  <c r="B68" i="40"/>
  <c r="P23" i="46"/>
  <c r="A25" i="51"/>
  <c r="B18" i="63"/>
  <c r="C9" i="59"/>
  <c r="D10" i="59"/>
  <c r="E67" i="40"/>
  <c r="F65" i="40"/>
  <c r="S46" i="21"/>
  <c r="E9" i="46"/>
  <c r="E11" i="46"/>
  <c r="E8" i="46"/>
  <c r="E10" i="46"/>
  <c r="S22" i="31"/>
  <c r="F36" i="44"/>
  <c r="F34" i="15"/>
  <c r="M22" i="44"/>
  <c r="M20" i="15"/>
  <c r="D102" i="46"/>
  <c r="D104" i="46"/>
  <c r="D107" i="46"/>
  <c r="D106" i="46"/>
  <c r="D103" i="46"/>
  <c r="D109" i="46"/>
  <c r="D105" i="46"/>
  <c r="W31" i="39"/>
  <c r="AC31" i="39"/>
  <c r="H49" i="46"/>
  <c r="H47" i="46"/>
  <c r="H53" i="46"/>
  <c r="H50" i="46"/>
  <c r="H51" i="46"/>
  <c r="H52" i="46"/>
  <c r="AC34" i="39"/>
  <c r="W34" i="39"/>
  <c r="U19" i="39"/>
  <c r="AB19" i="39"/>
  <c r="AB11" i="35"/>
  <c r="U11" i="35"/>
  <c r="J52" i="37"/>
  <c r="F59" i="34"/>
  <c r="D46" i="36"/>
  <c r="AB16" i="40"/>
  <c r="U16" i="40"/>
  <c r="U25" i="39"/>
  <c r="AB25" i="39"/>
  <c r="U27" i="39"/>
  <c r="AB27" i="39"/>
  <c r="E58" i="33"/>
  <c r="AB19" i="37"/>
  <c r="U19" i="37"/>
  <c r="H48" i="35"/>
  <c r="G17" i="46"/>
  <c r="C16" i="46"/>
  <c r="F8" i="59"/>
  <c r="F7" i="59"/>
  <c r="F6" i="59"/>
  <c r="F5" i="59"/>
  <c r="V9" i="59"/>
  <c r="W41" i="39"/>
  <c r="AA32" i="37"/>
  <c r="S32" i="37"/>
  <c r="F27" i="43"/>
  <c r="C27" i="43"/>
  <c r="F71" i="9"/>
  <c r="F30" i="44"/>
  <c r="C30" i="44"/>
  <c r="F28" i="15"/>
  <c r="C28" i="15"/>
  <c r="F72" i="9"/>
  <c r="F70" i="9"/>
  <c r="F66" i="9"/>
  <c r="P72" i="9"/>
  <c r="M20" i="44"/>
  <c r="F32" i="15"/>
  <c r="F59" i="15"/>
  <c r="F31" i="43"/>
  <c r="C31" i="43"/>
  <c r="U37" i="34"/>
  <c r="AB37" i="34"/>
  <c r="U38" i="34"/>
  <c r="AB38" i="34"/>
  <c r="S33" i="39"/>
  <c r="U13" i="33"/>
  <c r="AB13" i="33"/>
  <c r="W19" i="33"/>
  <c r="AC19" i="33"/>
  <c r="K15" i="1"/>
  <c r="D86" i="9"/>
  <c r="AC15" i="40"/>
  <c r="W15" i="40"/>
  <c r="AA30" i="33"/>
  <c r="S30" i="33"/>
  <c r="U33" i="21"/>
  <c r="A3" i="55"/>
  <c r="B56" i="63"/>
  <c r="AC25" i="33"/>
  <c r="AB41" i="40"/>
  <c r="U41" i="40"/>
  <c r="W29" i="40"/>
  <c r="AB23" i="40"/>
  <c r="W15" i="39"/>
  <c r="AC35" i="40"/>
  <c r="AB43" i="33"/>
  <c r="U43" i="33"/>
  <c r="S32" i="21"/>
  <c r="AB25" i="35"/>
  <c r="U25" i="35"/>
  <c r="U25" i="33"/>
  <c r="AA38" i="37"/>
  <c r="S38" i="37"/>
  <c r="W40" i="21"/>
  <c r="U45" i="33"/>
  <c r="AB45" i="33"/>
  <c r="F12" i="35"/>
  <c r="H12" i="35"/>
  <c r="J12" i="35"/>
  <c r="S27" i="34"/>
  <c r="AB44" i="39"/>
  <c r="U44" i="39"/>
  <c r="AB39" i="37"/>
  <c r="U39" i="37"/>
  <c r="S19" i="21"/>
  <c r="AB35" i="35"/>
  <c r="U35" i="35"/>
  <c r="U12" i="21"/>
  <c r="U26" i="21"/>
  <c r="H32" i="36"/>
  <c r="F32" i="36"/>
  <c r="J32" i="36"/>
  <c r="S23" i="39"/>
  <c r="S47" i="39"/>
  <c r="W30" i="34"/>
  <c r="S11" i="34"/>
  <c r="S28" i="21"/>
  <c r="AA12" i="33"/>
  <c r="S38" i="21"/>
  <c r="W24" i="36"/>
  <c r="AC24" i="36"/>
  <c r="S10" i="35"/>
  <c r="W23" i="35"/>
  <c r="AA39" i="33"/>
  <c r="S39" i="33"/>
  <c r="J12" i="33"/>
  <c r="H12" i="33"/>
  <c r="J31" i="33"/>
  <c r="H31" i="33"/>
  <c r="F24" i="35"/>
  <c r="H24" i="35"/>
  <c r="J24" i="35"/>
  <c r="G30" i="6"/>
  <c r="G31" i="6"/>
  <c r="W8" i="34"/>
  <c r="AC8" i="34"/>
  <c r="J25" i="35"/>
  <c r="F25" i="35"/>
  <c r="J9" i="36"/>
  <c r="F9" i="36"/>
  <c r="H9" i="36"/>
  <c r="AA42" i="34"/>
  <c r="S42" i="34"/>
  <c r="AB17" i="37"/>
  <c r="AB31" i="37"/>
  <c r="AB12" i="37"/>
  <c r="U12" i="37"/>
  <c r="W8" i="21"/>
  <c r="S36" i="34"/>
  <c r="AA36" i="34"/>
  <c r="AB38" i="33"/>
  <c r="S28" i="34"/>
  <c r="J46" i="33"/>
  <c r="F46" i="33"/>
  <c r="J31" i="34"/>
  <c r="H31" i="34"/>
  <c r="F13" i="35"/>
  <c r="J13" i="35"/>
  <c r="H24" i="36"/>
  <c r="F24" i="36"/>
  <c r="J33" i="36"/>
  <c r="F33" i="36"/>
  <c r="U30" i="21"/>
  <c r="U27" i="33"/>
  <c r="AB27" i="33"/>
  <c r="AC36" i="35"/>
  <c r="W36" i="35"/>
  <c r="F31" i="33"/>
  <c r="H13" i="37"/>
  <c r="F13" i="37"/>
  <c r="AC37" i="33"/>
  <c r="F45" i="33"/>
  <c r="AB8" i="36"/>
  <c r="W33" i="33"/>
  <c r="W9" i="34"/>
  <c r="F27" i="33"/>
  <c r="A2" i="55"/>
  <c r="B55" i="63"/>
  <c r="C36" i="59"/>
  <c r="D36" i="59"/>
  <c r="D35" i="59"/>
  <c r="A30" i="64"/>
  <c r="A30" i="51"/>
  <c r="B22" i="63"/>
  <c r="I21" i="57"/>
  <c r="D1" i="57"/>
  <c r="E10" i="57"/>
  <c r="E55" i="59"/>
  <c r="P56" i="59"/>
  <c r="D43" i="59"/>
  <c r="C44" i="59"/>
  <c r="C52" i="59"/>
  <c r="D51" i="59"/>
  <c r="B54" i="46"/>
  <c r="T33" i="59"/>
  <c r="D33" i="59"/>
  <c r="C64" i="59"/>
  <c r="AB17" i="59"/>
  <c r="Y14" i="59"/>
  <c r="Z14" i="59"/>
  <c r="X15" i="59"/>
  <c r="Y18" i="59"/>
  <c r="Z18" i="59"/>
  <c r="X22" i="59"/>
  <c r="B23" i="59"/>
  <c r="B24" i="59"/>
  <c r="B25" i="59"/>
  <c r="S25" i="59"/>
  <c r="F23" i="59"/>
  <c r="F24" i="59"/>
  <c r="F25" i="59"/>
  <c r="V25" i="59"/>
  <c r="X24" i="59"/>
  <c r="T65" i="59"/>
  <c r="N4" i="63"/>
  <c r="B21" i="63"/>
  <c r="D13" i="59"/>
  <c r="AA24" i="59"/>
  <c r="X21" i="59"/>
  <c r="S17" i="59"/>
  <c r="X7" i="59"/>
  <c r="AB5" i="59"/>
  <c r="C31" i="39"/>
  <c r="X14" i="59"/>
  <c r="C23" i="59"/>
  <c r="AB26" i="59"/>
  <c r="F27" i="59"/>
  <c r="F28" i="59"/>
  <c r="F29" i="59"/>
  <c r="V29" i="59"/>
  <c r="O57" i="59"/>
  <c r="D57" i="59"/>
  <c r="X3" i="59"/>
  <c r="AA12" i="59"/>
  <c r="Y6" i="59"/>
  <c r="Z6" i="59"/>
  <c r="AB19" i="59"/>
  <c r="AA3" i="59"/>
  <c r="AA14" i="59"/>
  <c r="AB13" i="59"/>
  <c r="Y5" i="59"/>
  <c r="Z5" i="59"/>
  <c r="C49" i="59"/>
  <c r="D47" i="59"/>
  <c r="AA15" i="59"/>
  <c r="X19" i="59"/>
  <c r="AA20" i="59"/>
  <c r="Y23" i="59"/>
  <c r="Z23" i="59"/>
  <c r="Q55" i="59"/>
  <c r="S61" i="59"/>
  <c r="B60" i="59"/>
  <c r="B59" i="59"/>
  <c r="C16" i="59"/>
  <c r="D17" i="59"/>
  <c r="X26" i="59"/>
  <c r="AB18" i="59"/>
  <c r="E16" i="59"/>
  <c r="E15" i="59"/>
  <c r="X13" i="59"/>
  <c r="X12" i="59"/>
  <c r="AA7" i="59"/>
  <c r="AA6" i="59"/>
  <c r="B55" i="59"/>
  <c r="AB14" i="59"/>
  <c r="Y16" i="59"/>
  <c r="Z16" i="59"/>
  <c r="X17" i="59"/>
  <c r="X18" i="59"/>
  <c r="Y19" i="59"/>
  <c r="Z19" i="59"/>
  <c r="AB20" i="59"/>
  <c r="E23" i="59"/>
  <c r="E24" i="59"/>
  <c r="E25" i="59"/>
  <c r="U25" i="59"/>
  <c r="X25" i="59"/>
  <c r="F60" i="59"/>
  <c r="F59" i="59"/>
  <c r="AB25" i="59"/>
  <c r="Y22" i="59"/>
  <c r="Z22" i="59"/>
  <c r="AA18" i="59"/>
  <c r="AA10" i="59"/>
  <c r="AA5" i="59"/>
  <c r="AB3" i="59"/>
  <c r="X16" i="59"/>
  <c r="C20" i="59"/>
  <c r="D19" i="59"/>
  <c r="AB23" i="59"/>
  <c r="F17" i="59"/>
  <c r="AB15" i="59"/>
  <c r="AB16" i="59"/>
  <c r="A26" i="64"/>
  <c r="A26" i="51"/>
  <c r="B19" i="63"/>
  <c r="Y7" i="59"/>
  <c r="Z7" i="59"/>
  <c r="Y12" i="59"/>
  <c r="Z12" i="59"/>
  <c r="Y3" i="59"/>
  <c r="Z3" i="59"/>
  <c r="Y13" i="59"/>
  <c r="Z13" i="59"/>
  <c r="AB12" i="59"/>
  <c r="AB7" i="59"/>
  <c r="X6" i="59"/>
  <c r="AB6" i="59"/>
  <c r="K76" i="9"/>
  <c r="K77" i="9"/>
  <c r="K79" i="9"/>
  <c r="K81" i="9"/>
  <c r="Y15" i="59"/>
  <c r="Z15" i="59"/>
  <c r="C27" i="59"/>
  <c r="L76" i="9"/>
  <c r="X10" i="59"/>
  <c r="X5" i="59"/>
  <c r="M19" i="44"/>
  <c r="F58" i="15"/>
  <c r="M17" i="15"/>
  <c r="R7" i="1"/>
  <c r="S7" i="1"/>
  <c r="F33" i="44"/>
  <c r="AC45" i="39"/>
  <c r="W45" i="39"/>
  <c r="AB45" i="39"/>
  <c r="AC37" i="39"/>
  <c r="W37" i="39"/>
  <c r="U37" i="39"/>
  <c r="AB37" i="39"/>
  <c r="D12" i="11"/>
  <c r="C12" i="11"/>
  <c r="H106" i="46"/>
  <c r="D22" i="46"/>
  <c r="L107" i="46"/>
  <c r="C107" i="46"/>
  <c r="L105" i="46"/>
  <c r="C109" i="46"/>
  <c r="I105" i="46"/>
  <c r="G104" i="46"/>
  <c r="H102" i="46"/>
  <c r="G103" i="46"/>
  <c r="L102" i="46"/>
  <c r="L106" i="46"/>
  <c r="L109" i="46"/>
  <c r="C104" i="46"/>
  <c r="C103" i="46"/>
  <c r="C105" i="46"/>
  <c r="J104" i="46"/>
  <c r="J103" i="46"/>
  <c r="J109" i="46"/>
  <c r="J105" i="46"/>
  <c r="J107" i="46"/>
  <c r="J106" i="46"/>
  <c r="J102" i="46"/>
  <c r="C102" i="46"/>
  <c r="H104" i="46"/>
  <c r="B115" i="46"/>
  <c r="D118" i="46"/>
  <c r="E118" i="46"/>
  <c r="F118" i="46"/>
  <c r="G118" i="46"/>
  <c r="H118" i="46"/>
  <c r="I116" i="46"/>
  <c r="J116" i="46"/>
  <c r="K116" i="46"/>
  <c r="L116" i="46"/>
  <c r="M116" i="46"/>
  <c r="D116" i="46"/>
  <c r="E116" i="46"/>
  <c r="F116" i="46"/>
  <c r="G116" i="46"/>
  <c r="H116" i="46"/>
  <c r="I115" i="46"/>
  <c r="J115" i="46"/>
  <c r="K115" i="46"/>
  <c r="L115" i="46"/>
  <c r="M115" i="46"/>
  <c r="D115" i="46"/>
  <c r="E115" i="46"/>
  <c r="F115" i="46"/>
  <c r="G115" i="46"/>
  <c r="H115" i="46"/>
  <c r="B117" i="46"/>
  <c r="C117" i="46"/>
  <c r="B116" i="46"/>
  <c r="C116" i="46"/>
  <c r="B118" i="46"/>
  <c r="C118" i="46"/>
  <c r="I118" i="46"/>
  <c r="J118" i="46"/>
  <c r="K118" i="46"/>
  <c r="L118" i="46"/>
  <c r="M118" i="46"/>
  <c r="D117" i="46"/>
  <c r="E117" i="46"/>
  <c r="F117" i="46"/>
  <c r="G117" i="46"/>
  <c r="H117" i="46"/>
  <c r="I117" i="46"/>
  <c r="J117" i="46"/>
  <c r="K117" i="46"/>
  <c r="L117" i="46"/>
  <c r="M117" i="46"/>
  <c r="E106" i="46"/>
  <c r="E104" i="46"/>
  <c r="E109" i="46"/>
  <c r="E103" i="46"/>
  <c r="E102" i="46"/>
  <c r="F103" i="46"/>
  <c r="F104" i="46"/>
  <c r="F107" i="46"/>
  <c r="F106" i="46"/>
  <c r="F105" i="46"/>
  <c r="F102" i="46"/>
  <c r="E107" i="46"/>
  <c r="L103" i="46"/>
  <c r="H105" i="46"/>
  <c r="H109" i="46"/>
  <c r="H107" i="46"/>
  <c r="K105" i="46"/>
  <c r="K107" i="46"/>
  <c r="K103" i="46"/>
  <c r="K109" i="46"/>
  <c r="K102" i="46"/>
  <c r="K106" i="46"/>
  <c r="K104" i="46"/>
  <c r="G107" i="46"/>
  <c r="G102" i="46"/>
  <c r="G105" i="46"/>
  <c r="G106" i="46"/>
  <c r="I109" i="46"/>
  <c r="I107" i="46"/>
  <c r="I103" i="46"/>
  <c r="I104" i="46"/>
  <c r="I106" i="46"/>
  <c r="N105" i="46"/>
  <c r="N109" i="46"/>
  <c r="N106" i="46"/>
  <c r="N104" i="46"/>
  <c r="N103" i="46"/>
  <c r="N107" i="46"/>
  <c r="N102" i="46"/>
  <c r="M109" i="46"/>
  <c r="M106" i="46"/>
  <c r="M104" i="46"/>
  <c r="M103" i="46"/>
  <c r="M107" i="46"/>
  <c r="M102" i="46"/>
  <c r="M105" i="46"/>
  <c r="S27" i="33"/>
  <c r="AA27" i="33"/>
  <c r="U12" i="33"/>
  <c r="AB12" i="33"/>
  <c r="C5" i="46"/>
  <c r="D5" i="46"/>
  <c r="C8" i="59"/>
  <c r="T9" i="59"/>
  <c r="D9" i="59"/>
  <c r="N54" i="59"/>
  <c r="N55" i="59"/>
  <c r="T49" i="59"/>
  <c r="D49" i="59"/>
  <c r="C45" i="59"/>
  <c r="D44" i="59"/>
  <c r="S13" i="35"/>
  <c r="AA13" i="35"/>
  <c r="AB9" i="36"/>
  <c r="U9" i="36"/>
  <c r="AC24" i="35"/>
  <c r="W24" i="35"/>
  <c r="W12" i="33"/>
  <c r="AC12" i="33"/>
  <c r="AC32" i="36"/>
  <c r="W32" i="36"/>
  <c r="E10" i="6"/>
  <c r="E11" i="6"/>
  <c r="E14" i="6"/>
  <c r="E13" i="6"/>
  <c r="E12" i="6"/>
  <c r="E15" i="6"/>
  <c r="K52" i="37"/>
  <c r="L52" i="37"/>
  <c r="M52" i="37"/>
  <c r="N52" i="37"/>
  <c r="O52" i="37"/>
  <c r="F7" i="37"/>
  <c r="I48" i="35"/>
  <c r="J48" i="35"/>
  <c r="K48" i="35"/>
  <c r="L48" i="35"/>
  <c r="M48" i="35"/>
  <c r="N48" i="35"/>
  <c r="O48" i="35"/>
  <c r="J7" i="35"/>
  <c r="C7" i="46"/>
  <c r="D52" i="59"/>
  <c r="C53" i="59"/>
  <c r="G59" i="34"/>
  <c r="H59" i="34"/>
  <c r="I59" i="34"/>
  <c r="J59" i="34"/>
  <c r="K59" i="34"/>
  <c r="L59" i="34"/>
  <c r="M59" i="34"/>
  <c r="N59" i="34"/>
  <c r="O59" i="34"/>
  <c r="J7" i="34"/>
  <c r="C28" i="59"/>
  <c r="D27" i="59"/>
  <c r="C21" i="59"/>
  <c r="D20" i="59"/>
  <c r="E88" i="3"/>
  <c r="S13" i="37"/>
  <c r="AA13" i="37"/>
  <c r="S33" i="36"/>
  <c r="AA33" i="36"/>
  <c r="U31" i="34"/>
  <c r="AB31" i="34"/>
  <c r="AA9" i="36"/>
  <c r="S9" i="36"/>
  <c r="AB24" i="35"/>
  <c r="U24" i="35"/>
  <c r="U44" i="21"/>
  <c r="S32" i="36"/>
  <c r="AA32" i="36"/>
  <c r="W12" i="35"/>
  <c r="AC12" i="35"/>
  <c r="H16" i="1"/>
  <c r="AP16" i="1"/>
  <c r="F22" i="11"/>
  <c r="P54" i="59"/>
  <c r="P55" i="59"/>
  <c r="AB13" i="37"/>
  <c r="U13" i="37"/>
  <c r="S31" i="21"/>
  <c r="W33" i="36"/>
  <c r="AC33" i="36"/>
  <c r="AC31" i="34"/>
  <c r="W31" i="34"/>
  <c r="AC9" i="36"/>
  <c r="W9" i="36"/>
  <c r="AA24" i="35"/>
  <c r="S24" i="35"/>
  <c r="W44" i="21"/>
  <c r="AB32" i="36"/>
  <c r="U32" i="36"/>
  <c r="AB12" i="35"/>
  <c r="U12" i="35"/>
  <c r="G65" i="40"/>
  <c r="F67" i="40"/>
  <c r="F7" i="35"/>
  <c r="F58" i="33"/>
  <c r="G58" i="33"/>
  <c r="H58" i="33"/>
  <c r="I58" i="33"/>
  <c r="J58" i="33"/>
  <c r="K58" i="33"/>
  <c r="L58" i="33"/>
  <c r="M58" i="33"/>
  <c r="N58" i="33"/>
  <c r="O58" i="33"/>
  <c r="H7" i="33"/>
  <c r="J7" i="33"/>
  <c r="D16" i="59"/>
  <c r="C15" i="59"/>
  <c r="D15" i="59"/>
  <c r="AA45" i="33"/>
  <c r="S45" i="33"/>
  <c r="AA31" i="33"/>
  <c r="S31" i="33"/>
  <c r="U31" i="21"/>
  <c r="AA24" i="36"/>
  <c r="S24" i="36"/>
  <c r="S46" i="33"/>
  <c r="AA46" i="33"/>
  <c r="S25" i="35"/>
  <c r="AA25" i="35"/>
  <c r="AB31" i="33"/>
  <c r="U31" i="33"/>
  <c r="AA12" i="35"/>
  <c r="S12" i="35"/>
  <c r="E46" i="36"/>
  <c r="F46" i="36"/>
  <c r="G46" i="36"/>
  <c r="H46" i="36"/>
  <c r="I46" i="36"/>
  <c r="J46" i="36"/>
  <c r="K46" i="36"/>
  <c r="L46" i="36"/>
  <c r="M46" i="36"/>
  <c r="N46" i="36"/>
  <c r="O46" i="36"/>
  <c r="J7" i="36"/>
  <c r="F7" i="36"/>
  <c r="F61" i="15"/>
  <c r="W13" i="21"/>
  <c r="AC13" i="35"/>
  <c r="W13" i="35"/>
  <c r="D23" i="59"/>
  <c r="C24" i="59"/>
  <c r="F16" i="59"/>
  <c r="F15" i="59"/>
  <c r="V17" i="59"/>
  <c r="D64" i="59"/>
  <c r="C63" i="59"/>
  <c r="D63" i="59"/>
  <c r="S13" i="21"/>
  <c r="U24" i="36"/>
  <c r="AB24" i="36"/>
  <c r="AC46" i="33"/>
  <c r="W46" i="33"/>
  <c r="AC25" i="35"/>
  <c r="W25" i="35"/>
  <c r="AC31" i="33"/>
  <c r="W31" i="33"/>
  <c r="F7" i="34"/>
  <c r="H7" i="34"/>
  <c r="B20" i="31"/>
  <c r="R22" i="31"/>
  <c r="B21" i="31"/>
  <c r="E443" i="3"/>
  <c r="E397" i="3"/>
  <c r="E206" i="3"/>
  <c r="E420" i="3"/>
  <c r="E571" i="3"/>
  <c r="E470" i="3"/>
  <c r="E295" i="3"/>
  <c r="E465" i="3"/>
  <c r="E173" i="3"/>
  <c r="E226" i="3"/>
  <c r="E104" i="3"/>
  <c r="E411" i="3"/>
  <c r="E305" i="3"/>
  <c r="E25" i="3"/>
  <c r="E90" i="3"/>
  <c r="E97" i="3"/>
  <c r="E87" i="3"/>
  <c r="E58" i="39"/>
  <c r="E53" i="40"/>
  <c r="E143" i="3"/>
  <c r="E238" i="3"/>
  <c r="E106" i="3"/>
  <c r="E185" i="3"/>
  <c r="E64" i="3"/>
  <c r="E276" i="3"/>
  <c r="E228" i="3"/>
  <c r="E309" i="3"/>
  <c r="E193" i="3"/>
  <c r="E125" i="3"/>
  <c r="E19" i="3"/>
  <c r="C115" i="46"/>
  <c r="D113" i="46"/>
  <c r="H7" i="37"/>
  <c r="AB7" i="37"/>
  <c r="T42" i="37"/>
  <c r="G42" i="37"/>
  <c r="H7" i="35"/>
  <c r="S7" i="34"/>
  <c r="AA7" i="34"/>
  <c r="R49" i="34"/>
  <c r="F24" i="43"/>
  <c r="C26" i="43" s="1"/>
  <c r="D24" i="43" s="1"/>
  <c r="F18" i="11"/>
  <c r="C18" i="11"/>
  <c r="U7" i="37"/>
  <c r="G67" i="40"/>
  <c r="H65" i="40"/>
  <c r="C29" i="59"/>
  <c r="D28" i="59"/>
  <c r="T53" i="59"/>
  <c r="D53" i="59"/>
  <c r="AA7" i="35"/>
  <c r="R38" i="35"/>
  <c r="S7" i="35"/>
  <c r="AC7" i="34"/>
  <c r="V49" i="34"/>
  <c r="I49" i="34"/>
  <c r="W7" i="34"/>
  <c r="E67" i="39"/>
  <c r="E62" i="40"/>
  <c r="E135" i="3"/>
  <c r="E563" i="3"/>
  <c r="H7" i="36"/>
  <c r="E257" i="3"/>
  <c r="E455" i="3"/>
  <c r="E146" i="3"/>
  <c r="E413" i="3"/>
  <c r="E64" i="39"/>
  <c r="E59" i="40"/>
  <c r="E154" i="3"/>
  <c r="D45" i="59"/>
  <c r="T45" i="59"/>
  <c r="C7" i="59"/>
  <c r="D8" i="59"/>
  <c r="J7" i="37"/>
  <c r="AB7" i="33"/>
  <c r="T48" i="33"/>
  <c r="G48" i="33"/>
  <c r="U7" i="33"/>
  <c r="U7" i="34"/>
  <c r="AB7" i="34"/>
  <c r="T49" i="34"/>
  <c r="G49" i="34"/>
  <c r="C25" i="59"/>
  <c r="D24" i="59"/>
  <c r="F7" i="33"/>
  <c r="E252" i="3"/>
  <c r="E541" i="3"/>
  <c r="E221" i="3"/>
  <c r="E532" i="3"/>
  <c r="E213" i="3"/>
  <c r="D21" i="59"/>
  <c r="T21" i="59"/>
  <c r="E60" i="40"/>
  <c r="E65" i="39"/>
  <c r="AC7" i="35"/>
  <c r="V38" i="35"/>
  <c r="I38" i="35"/>
  <c r="W7" i="35"/>
  <c r="E61" i="40"/>
  <c r="E66" i="39"/>
  <c r="S7" i="37"/>
  <c r="AA7" i="37"/>
  <c r="R42" i="37"/>
  <c r="E63" i="39"/>
  <c r="E58" i="40"/>
  <c r="W7" i="33"/>
  <c r="AC7" i="33"/>
  <c r="V48" i="33"/>
  <c r="I48" i="33"/>
  <c r="S7" i="36"/>
  <c r="AA7" i="36"/>
  <c r="R36" i="36"/>
  <c r="W7" i="36"/>
  <c r="AC7" i="36"/>
  <c r="V36" i="36"/>
  <c r="I36" i="36"/>
  <c r="E283" i="3"/>
  <c r="E265" i="3"/>
  <c r="E49" i="3"/>
  <c r="E78" i="3"/>
  <c r="E278" i="3"/>
  <c r="E158" i="3"/>
  <c r="E534" i="3"/>
  <c r="E187" i="3"/>
  <c r="E294" i="3"/>
  <c r="E537" i="3"/>
  <c r="E423" i="3"/>
  <c r="E140" i="3"/>
  <c r="E84" i="3"/>
  <c r="E218" i="3"/>
  <c r="E410" i="3"/>
  <c r="E462" i="3"/>
  <c r="E70" i="3"/>
  <c r="E63" i="3"/>
  <c r="E184" i="3"/>
  <c r="E313" i="3"/>
  <c r="E98" i="3"/>
  <c r="E412" i="3"/>
  <c r="N6" i="3"/>
  <c r="W6" i="3"/>
  <c r="E533" i="3"/>
  <c r="E560" i="3"/>
  <c r="E507" i="3"/>
  <c r="E233" i="3"/>
  <c r="E39" i="3"/>
  <c r="E429" i="3"/>
  <c r="E172" i="3"/>
  <c r="E214" i="3"/>
  <c r="E393" i="3"/>
  <c r="E145" i="3"/>
  <c r="E264" i="3"/>
  <c r="E220" i="3"/>
  <c r="E400" i="3"/>
  <c r="E105" i="3"/>
  <c r="AQ6" i="3"/>
  <c r="E121" i="3"/>
  <c r="E285" i="3"/>
  <c r="E419" i="3"/>
  <c r="E229" i="3"/>
  <c r="E66" i="3"/>
  <c r="E529" i="3"/>
  <c r="E287" i="3"/>
  <c r="E555" i="3"/>
  <c r="E271" i="3"/>
  <c r="E530" i="3"/>
  <c r="E180" i="3"/>
  <c r="E558" i="3"/>
  <c r="E108" i="3"/>
  <c r="E217" i="3"/>
  <c r="E16" i="3"/>
  <c r="E260" i="3"/>
  <c r="E524" i="3"/>
  <c r="E498" i="3"/>
  <c r="E339" i="3"/>
  <c r="E35" i="3"/>
  <c r="E169" i="3"/>
  <c r="E315" i="3"/>
  <c r="E378" i="3"/>
  <c r="E312" i="3"/>
  <c r="E351" i="3"/>
  <c r="E501" i="3"/>
  <c r="E522" i="3"/>
  <c r="E371" i="3"/>
  <c r="E510" i="3"/>
  <c r="E487" i="3"/>
  <c r="E227" i="3"/>
  <c r="E26" i="3"/>
  <c r="E244" i="3"/>
  <c r="E511" i="3"/>
  <c r="E240" i="3"/>
  <c r="E18" i="3"/>
  <c r="E484" i="3"/>
  <c r="E20" i="3"/>
  <c r="E481" i="3"/>
  <c r="E250" i="3"/>
  <c r="E156" i="3"/>
  <c r="E418" i="3"/>
  <c r="E92" i="3"/>
  <c r="E390" i="3"/>
  <c r="E450" i="3"/>
  <c r="E149" i="3"/>
  <c r="E249" i="3"/>
  <c r="E21" i="3"/>
  <c r="E100" i="3"/>
  <c r="E274" i="3"/>
  <c r="E32" i="3"/>
  <c r="AP6" i="3"/>
  <c r="E415" i="3"/>
  <c r="E110" i="3"/>
  <c r="E75" i="3"/>
  <c r="E178" i="3"/>
  <c r="E148" i="3"/>
  <c r="AS6" i="3"/>
  <c r="E473" i="3"/>
  <c r="AE6" i="3"/>
  <c r="E289" i="3"/>
  <c r="E190" i="3"/>
  <c r="E85" i="3"/>
  <c r="E303" i="3"/>
  <c r="E272" i="3"/>
  <c r="E52" i="3"/>
  <c r="E451" i="3"/>
  <c r="E116" i="3"/>
  <c r="E207" i="3"/>
  <c r="E417" i="3"/>
  <c r="E365" i="3"/>
  <c r="E248" i="3"/>
  <c r="E369" i="3"/>
  <c r="E526" i="3"/>
  <c r="E453" i="3"/>
  <c r="E51" i="3"/>
  <c r="E198" i="3"/>
  <c r="E224" i="3"/>
  <c r="E133" i="3"/>
  <c r="E433" i="3"/>
  <c r="E331" i="3"/>
  <c r="E362" i="3"/>
  <c r="E188" i="3"/>
  <c r="E554" i="3"/>
  <c r="E499" i="3"/>
  <c r="E334" i="3"/>
  <c r="E325" i="3"/>
  <c r="E81" i="3"/>
  <c r="AJ6" i="3"/>
  <c r="E307" i="3"/>
  <c r="E45" i="3"/>
  <c r="E284" i="3"/>
  <c r="E298" i="3"/>
  <c r="E531" i="3"/>
  <c r="E118" i="3"/>
  <c r="E219" i="3"/>
  <c r="E506" i="3"/>
  <c r="E514" i="3"/>
  <c r="E368" i="3"/>
  <c r="E515" i="3"/>
  <c r="E494" i="3"/>
  <c r="AB6" i="3"/>
  <c r="E138" i="3"/>
  <c r="E71" i="3"/>
  <c r="E268" i="3"/>
  <c r="E175" i="3"/>
  <c r="E509" i="3"/>
  <c r="E557" i="3"/>
  <c r="AO6" i="3"/>
  <c r="E241" i="3"/>
  <c r="E152" i="3"/>
  <c r="E91" i="3"/>
  <c r="E195" i="3"/>
  <c r="X6" i="3"/>
  <c r="E127" i="3"/>
  <c r="E222" i="3"/>
  <c r="E424" i="3"/>
  <c r="E82" i="3"/>
  <c r="E77" i="3"/>
  <c r="E57" i="3"/>
  <c r="E535" i="3"/>
  <c r="E280" i="3"/>
  <c r="E270" i="3"/>
  <c r="E414" i="3"/>
  <c r="E296" i="3"/>
  <c r="E131" i="3"/>
  <c r="E225" i="3"/>
  <c r="E549" i="3"/>
  <c r="E374" i="3"/>
  <c r="E223" i="3"/>
  <c r="E536" i="3"/>
  <c r="E547" i="3"/>
  <c r="E431" i="3"/>
  <c r="E80" i="3"/>
  <c r="E28" i="3"/>
  <c r="E174" i="3"/>
  <c r="J6" i="3"/>
  <c r="E27" i="3"/>
  <c r="E444" i="3"/>
  <c r="E383" i="3"/>
  <c r="E232" i="3"/>
  <c r="E113" i="3"/>
  <c r="E332" i="3"/>
  <c r="E102" i="3"/>
  <c r="E107" i="3"/>
  <c r="U6" i="3"/>
  <c r="E372" i="3"/>
  <c r="E449" i="3"/>
  <c r="E196" i="3"/>
  <c r="E279" i="3"/>
  <c r="E336" i="3"/>
  <c r="V6" i="3"/>
  <c r="E477" i="3"/>
  <c r="E540" i="3"/>
  <c r="E162" i="3"/>
  <c r="E281" i="3"/>
  <c r="E123" i="3"/>
  <c r="E458" i="3"/>
  <c r="E300" i="3"/>
  <c r="E150" i="3"/>
  <c r="E306" i="3"/>
  <c r="E525" i="3"/>
  <c r="K6" i="3"/>
  <c r="E396" i="3"/>
  <c r="E277" i="3"/>
  <c r="E546" i="3"/>
  <c r="E15" i="3"/>
  <c r="E210" i="3"/>
  <c r="E42" i="3"/>
  <c r="E361" i="3"/>
  <c r="E495" i="3"/>
  <c r="E344" i="3"/>
  <c r="E364" i="3"/>
  <c r="E512" i="3"/>
  <c r="E340" i="3"/>
  <c r="E521" i="3"/>
  <c r="E504" i="3"/>
  <c r="E542" i="3"/>
  <c r="S6" i="3"/>
  <c r="E519" i="3"/>
  <c r="E382" i="3"/>
  <c r="E565" i="3"/>
  <c r="E564" i="3"/>
  <c r="E476" i="3"/>
  <c r="E348" i="3"/>
  <c r="E439" i="3"/>
  <c r="E55" i="3"/>
  <c r="E231" i="3"/>
  <c r="E375" i="3"/>
  <c r="E349" i="3"/>
  <c r="E124" i="3"/>
  <c r="E299" i="3"/>
  <c r="I6" i="3"/>
  <c r="E548" i="3"/>
  <c r="E62" i="3"/>
  <c r="E520" i="3"/>
  <c r="E471" i="3"/>
  <c r="AM6" i="3"/>
  <c r="E157" i="3"/>
  <c r="E202" i="3"/>
  <c r="E492" i="3"/>
  <c r="E387" i="3"/>
  <c r="E304" i="3"/>
  <c r="E199" i="3"/>
  <c r="E460" i="3"/>
  <c r="I3" i="6"/>
  <c r="E343" i="3"/>
  <c r="E205" i="3"/>
  <c r="E447" i="3"/>
  <c r="E33" i="3"/>
  <c r="E38" i="3"/>
  <c r="E141" i="3"/>
  <c r="E129" i="3"/>
  <c r="E438" i="3"/>
  <c r="E469" i="3"/>
  <c r="E247" i="3"/>
  <c r="E189" i="3"/>
  <c r="E139" i="3"/>
  <c r="E467" i="3"/>
  <c r="E288" i="3"/>
  <c r="E73" i="3"/>
  <c r="E259" i="3"/>
  <c r="E347" i="3"/>
  <c r="AR6" i="3"/>
  <c r="E65" i="3"/>
  <c r="AG6" i="3"/>
  <c r="E134" i="3"/>
  <c r="E235" i="3"/>
  <c r="E290" i="3"/>
  <c r="AF6" i="3"/>
  <c r="E76" i="3"/>
  <c r="E29" i="3"/>
  <c r="E379" i="3"/>
  <c r="E314" i="3"/>
  <c r="E502" i="3"/>
  <c r="E551" i="3"/>
  <c r="E353" i="3"/>
  <c r="E436" i="3"/>
  <c r="E216" i="3"/>
  <c r="E392" i="3"/>
  <c r="E251" i="3"/>
  <c r="E181" i="3"/>
  <c r="E269" i="3"/>
  <c r="E323" i="3"/>
  <c r="E335" i="3"/>
  <c r="E342" i="3"/>
  <c r="E497" i="3"/>
  <c r="E566" i="3"/>
  <c r="E567" i="3"/>
  <c r="E130" i="3"/>
  <c r="E406" i="3"/>
  <c r="E254" i="3"/>
  <c r="E341" i="3"/>
  <c r="E377" i="3"/>
  <c r="E544" i="3"/>
  <c r="E326" i="3"/>
  <c r="E503" i="3"/>
  <c r="M6" i="3"/>
  <c r="E421" i="3"/>
  <c r="E446" i="3"/>
  <c r="E333" i="3"/>
  <c r="E46" i="3"/>
  <c r="E359" i="3"/>
  <c r="E31" i="3"/>
  <c r="E321" i="3"/>
  <c r="AD6" i="3"/>
  <c r="E263" i="3"/>
  <c r="E99" i="3"/>
  <c r="E552" i="3"/>
  <c r="E297" i="3"/>
  <c r="E395" i="3"/>
  <c r="E59" i="3"/>
  <c r="E427" i="3"/>
  <c r="E44" i="3"/>
  <c r="E36" i="3"/>
  <c r="E253" i="3"/>
  <c r="E201" i="3"/>
  <c r="AH6" i="3"/>
  <c r="E30" i="3"/>
  <c r="E490" i="3"/>
  <c r="E292" i="3"/>
  <c r="E426" i="3"/>
  <c r="E468" i="3"/>
  <c r="E317" i="3"/>
  <c r="E545" i="3"/>
  <c r="E119" i="3"/>
  <c r="E500" i="3"/>
  <c r="E53" i="3"/>
  <c r="E407" i="3"/>
  <c r="E398" i="3"/>
  <c r="E363" i="3"/>
  <c r="E79" i="3"/>
  <c r="E111" i="3"/>
  <c r="E245" i="3"/>
  <c r="E166" i="3"/>
  <c r="E402" i="3"/>
  <c r="E556" i="3"/>
  <c r="E291" i="3"/>
  <c r="E486" i="3"/>
  <c r="E43" i="3"/>
  <c r="E480" i="3"/>
  <c r="E211" i="3"/>
  <c r="Y6" i="3"/>
  <c r="E448" i="3"/>
  <c r="E96" i="3"/>
  <c r="E197" i="3"/>
  <c r="E345" i="3"/>
  <c r="E72" i="3"/>
  <c r="E302" i="3"/>
  <c r="E234" i="3"/>
  <c r="E191" i="3"/>
  <c r="E559" i="3"/>
  <c r="E508" i="3"/>
  <c r="E319" i="3"/>
  <c r="E403" i="3"/>
  <c r="E286" i="3"/>
  <c r="E183" i="3"/>
  <c r="E385" i="3"/>
  <c r="E474" i="3"/>
  <c r="E153" i="3"/>
  <c r="E360" i="3"/>
  <c r="T6" i="3"/>
  <c r="E182" i="3"/>
  <c r="E208" i="3"/>
  <c r="E163" i="3"/>
  <c r="E562" i="3"/>
  <c r="E518" i="3"/>
  <c r="E384" i="3"/>
  <c r="E350" i="3"/>
  <c r="E516" i="3"/>
  <c r="E273" i="3"/>
  <c r="E322" i="3"/>
  <c r="E155" i="3"/>
  <c r="E301" i="3"/>
  <c r="E318" i="3"/>
  <c r="E380" i="3"/>
  <c r="E475" i="3"/>
  <c r="E69" i="3"/>
  <c r="E132" i="3"/>
  <c r="E437" i="3"/>
  <c r="E115" i="3"/>
  <c r="E457" i="3"/>
  <c r="E391" i="3"/>
  <c r="AA6" i="3"/>
  <c r="E311" i="3"/>
  <c r="E388" i="3"/>
  <c r="E430" i="3"/>
  <c r="E164" i="3"/>
  <c r="E434" i="3"/>
  <c r="E101" i="3"/>
  <c r="E561" i="3"/>
  <c r="E23" i="3"/>
  <c r="E41" i="3"/>
  <c r="E194" i="3"/>
  <c r="E464" i="3"/>
  <c r="E94" i="3"/>
  <c r="E376" i="3"/>
  <c r="E237" i="3"/>
  <c r="E428" i="3"/>
  <c r="E54" i="3"/>
  <c r="E170" i="3"/>
  <c r="P6" i="3"/>
  <c r="E441" i="3"/>
  <c r="E367" i="3"/>
  <c r="E442" i="3"/>
  <c r="E60" i="3"/>
  <c r="E109" i="3"/>
  <c r="E357" i="3"/>
  <c r="E179" i="3"/>
  <c r="E482" i="3"/>
  <c r="E405" i="3"/>
  <c r="E550" i="3"/>
  <c r="E136" i="3"/>
  <c r="E37" i="3"/>
  <c r="E401" i="3"/>
  <c r="E261" i="3"/>
  <c r="L6" i="3"/>
  <c r="O6" i="3"/>
  <c r="E204" i="3"/>
  <c r="E255" i="3"/>
  <c r="E527" i="3"/>
  <c r="E543" i="3"/>
  <c r="E370" i="3"/>
  <c r="E517" i="3"/>
  <c r="E466" i="3"/>
  <c r="E74" i="3"/>
  <c r="E160" i="3"/>
  <c r="E242" i="3"/>
  <c r="E61" i="3"/>
  <c r="E440" i="3"/>
  <c r="E386" i="3"/>
  <c r="E128" i="3"/>
  <c r="E176" i="3"/>
  <c r="E355" i="3"/>
  <c r="E324" i="3"/>
  <c r="E493" i="3"/>
  <c r="E456" i="3"/>
  <c r="E569" i="3"/>
  <c r="E177" i="3"/>
  <c r="E320" i="3"/>
  <c r="E95" i="3"/>
  <c r="E171" i="3"/>
  <c r="E354" i="3"/>
  <c r="E14" i="3"/>
  <c r="E144" i="3"/>
  <c r="E267" i="3"/>
  <c r="E485" i="3"/>
  <c r="E483" i="3"/>
  <c r="AL6" i="3"/>
  <c r="E167" i="3"/>
  <c r="E310" i="3"/>
  <c r="E496" i="3"/>
  <c r="E352" i="3"/>
  <c r="E488" i="3"/>
  <c r="E112" i="3"/>
  <c r="E17" i="3"/>
  <c r="E346" i="3"/>
  <c r="E356" i="3"/>
  <c r="E86" i="3"/>
  <c r="E192" i="3"/>
  <c r="E147" i="3"/>
  <c r="E93" i="3"/>
  <c r="E459" i="3"/>
  <c r="E282" i="3"/>
  <c r="E528" i="3"/>
  <c r="E409" i="3"/>
  <c r="E186" i="3"/>
  <c r="E266" i="3"/>
  <c r="E327" i="3"/>
  <c r="E103" i="3"/>
  <c r="Z6" i="3"/>
  <c r="E389" i="3"/>
  <c r="AK6" i="3"/>
  <c r="E408" i="3"/>
  <c r="E404" i="3"/>
  <c r="E47" i="3"/>
  <c r="E203" i="3"/>
  <c r="E126" i="3"/>
  <c r="E505" i="3"/>
  <c r="E256" i="3"/>
  <c r="E236" i="3"/>
  <c r="E553" i="3"/>
  <c r="E358" i="3"/>
  <c r="E22" i="3"/>
  <c r="E337" i="3"/>
  <c r="E435" i="3"/>
  <c r="Q6" i="3"/>
  <c r="E293" i="3"/>
  <c r="E445" i="3"/>
  <c r="E243" i="3"/>
  <c r="AI6" i="3"/>
  <c r="E491" i="3"/>
  <c r="E432" i="3"/>
  <c r="E338" i="3"/>
  <c r="E329" i="3"/>
  <c r="E523" i="3"/>
  <c r="E394" i="3"/>
  <c r="E215" i="3"/>
  <c r="E161" i="3"/>
  <c r="E472" i="3"/>
  <c r="E463" i="3"/>
  <c r="E151" i="3"/>
  <c r="E568" i="3"/>
  <c r="E67" i="3"/>
  <c r="E308" i="3"/>
  <c r="E239" i="3"/>
  <c r="E538" i="3"/>
  <c r="E373" i="3"/>
  <c r="E159" i="3"/>
  <c r="E461" i="3"/>
  <c r="E13" i="3"/>
  <c r="E117" i="3"/>
  <c r="AN6" i="3"/>
  <c r="R6" i="3"/>
  <c r="E399" i="3"/>
  <c r="E34" i="3"/>
  <c r="E275" i="3"/>
  <c r="E479" i="3"/>
  <c r="E58" i="3"/>
  <c r="E40" i="3"/>
  <c r="E246" i="3"/>
  <c r="E56" i="3"/>
  <c r="E330" i="3"/>
  <c r="E137" i="3"/>
  <c r="E68" i="3"/>
  <c r="E454" i="3"/>
  <c r="E381" i="3"/>
  <c r="E165" i="3"/>
  <c r="E478" i="3"/>
  <c r="E422" i="3"/>
  <c r="E513" i="3"/>
  <c r="E24" i="3"/>
  <c r="E50" i="3"/>
  <c r="E122" i="3"/>
  <c r="E572" i="3"/>
  <c r="E316" i="3"/>
  <c r="E114" i="3"/>
  <c r="E83" i="3"/>
  <c r="E230" i="3"/>
  <c r="E168" i="3"/>
  <c r="E489" i="3"/>
  <c r="E539" i="3"/>
  <c r="E212" i="3"/>
  <c r="E570" i="3"/>
  <c r="E258" i="3"/>
  <c r="E328" i="3"/>
  <c r="E200" i="3"/>
  <c r="E416" i="3"/>
  <c r="E142" i="3"/>
  <c r="E120" i="3"/>
  <c r="E366" i="3"/>
  <c r="E425" i="3"/>
  <c r="E452" i="3"/>
  <c r="E209" i="3"/>
  <c r="E48" i="3"/>
  <c r="E30" i="6"/>
  <c r="E16" i="6"/>
  <c r="E262" i="3"/>
  <c r="E89" i="3"/>
  <c r="AB7" i="35"/>
  <c r="T38" i="35"/>
  <c r="G38" i="35"/>
  <c r="U7" i="35"/>
  <c r="H6" i="3"/>
  <c r="E27" i="6"/>
  <c r="AC6" i="3"/>
  <c r="K16" i="1"/>
  <c r="E36" i="36"/>
  <c r="R37" i="36"/>
  <c r="T25" i="59"/>
  <c r="D25" i="59"/>
  <c r="S7" i="21"/>
  <c r="H67" i="40"/>
  <c r="I65" i="40"/>
  <c r="AY549" i="3"/>
  <c r="AY97" i="3"/>
  <c r="AY26" i="3"/>
  <c r="AY142" i="3"/>
  <c r="AY104" i="3"/>
  <c r="AY73" i="3"/>
  <c r="AY98" i="3"/>
  <c r="AY136" i="3"/>
  <c r="AY291" i="3"/>
  <c r="AY349" i="3"/>
  <c r="AY427" i="3"/>
  <c r="AY49" i="3"/>
  <c r="AY146" i="3"/>
  <c r="AY379" i="3"/>
  <c r="AY476" i="3"/>
  <c r="AY178" i="3"/>
  <c r="AY258" i="3"/>
  <c r="AY372" i="3"/>
  <c r="AY548" i="3"/>
  <c r="AY269" i="3"/>
  <c r="AY464" i="3"/>
  <c r="AY155" i="3"/>
  <c r="AY342" i="3"/>
  <c r="AY122" i="3"/>
  <c r="AY16" i="3"/>
  <c r="AY412" i="3"/>
  <c r="AY336" i="3"/>
  <c r="AY543" i="3"/>
  <c r="AY35" i="3"/>
  <c r="AY449" i="3"/>
  <c r="AY21" i="3"/>
  <c r="AY274" i="3"/>
  <c r="AY386" i="3"/>
  <c r="AY414" i="3"/>
  <c r="AY271" i="3"/>
  <c r="AY38" i="3"/>
  <c r="AY335" i="3"/>
  <c r="AY120" i="3"/>
  <c r="AY85" i="3"/>
  <c r="AY156" i="3"/>
  <c r="AY430" i="3"/>
  <c r="AY193" i="3"/>
  <c r="AY268" i="3"/>
  <c r="BD6" i="3"/>
  <c r="AY154" i="3"/>
  <c r="AY145" i="3"/>
  <c r="AY368" i="3"/>
  <c r="AY96" i="3"/>
  <c r="AY365" i="3"/>
  <c r="AY131" i="3"/>
  <c r="AY316" i="3"/>
  <c r="AY249" i="3"/>
  <c r="AY166" i="3"/>
  <c r="AY184" i="3"/>
  <c r="BT6" i="3"/>
  <c r="AY360" i="3"/>
  <c r="AY388" i="3"/>
  <c r="AY485" i="3"/>
  <c r="AY112" i="3"/>
  <c r="BP6" i="3"/>
  <c r="AY503" i="3"/>
  <c r="AY199" i="3"/>
  <c r="AY78" i="3"/>
  <c r="AY90" i="3"/>
  <c r="AY447" i="3"/>
  <c r="AY328" i="3"/>
  <c r="AY559" i="3"/>
  <c r="AY223" i="3"/>
  <c r="AY108" i="3"/>
  <c r="AY440" i="3"/>
  <c r="AY475" i="3"/>
  <c r="AY401" i="3"/>
  <c r="AY322" i="3"/>
  <c r="AY363" i="3"/>
  <c r="AY393" i="3"/>
  <c r="AY433" i="3"/>
  <c r="AY210" i="3"/>
  <c r="AY213" i="3"/>
  <c r="AY377" i="3"/>
  <c r="AY298" i="3"/>
  <c r="AY469" i="3"/>
  <c r="AY454" i="3"/>
  <c r="AY524" i="3"/>
  <c r="AY507" i="3"/>
  <c r="AY19" i="3"/>
  <c r="AY61" i="3"/>
  <c r="AY345" i="3"/>
  <c r="AY173" i="3"/>
  <c r="AY533" i="3"/>
  <c r="AY306" i="3"/>
  <c r="AY82" i="3"/>
  <c r="AY67" i="3"/>
  <c r="AY203" i="3"/>
  <c r="AY179" i="3"/>
  <c r="AY504" i="3"/>
  <c r="AY47" i="3"/>
  <c r="AY45" i="3"/>
  <c r="AY118" i="3"/>
  <c r="AY264" i="3"/>
  <c r="AY317" i="3"/>
  <c r="AY425" i="3"/>
  <c r="AY55" i="3"/>
  <c r="AY139" i="3"/>
  <c r="AY343" i="3"/>
  <c r="AY398" i="3"/>
  <c r="AY141" i="3"/>
  <c r="AY238" i="3"/>
  <c r="AY350" i="3"/>
  <c r="AY72" i="3"/>
  <c r="AY226" i="3"/>
  <c r="AY435" i="3"/>
  <c r="AY161" i="3"/>
  <c r="AY542" i="3"/>
  <c r="AY272" i="3"/>
  <c r="AY420" i="3"/>
  <c r="AY429" i="3"/>
  <c r="AY143" i="3"/>
  <c r="AY572" i="3"/>
  <c r="AY528" i="3"/>
  <c r="AY481" i="3"/>
  <c r="AY52" i="3"/>
  <c r="AY150" i="3"/>
  <c r="AY333" i="3"/>
  <c r="AY28" i="3"/>
  <c r="AY374" i="3"/>
  <c r="AY172" i="3"/>
  <c r="AY337" i="3"/>
  <c r="AY254" i="3"/>
  <c r="AY197" i="3"/>
  <c r="AY282" i="3"/>
  <c r="AY465" i="3"/>
  <c r="AY493" i="3"/>
  <c r="AY431" i="3"/>
  <c r="AY494" i="3"/>
  <c r="AY42" i="3"/>
  <c r="AY158" i="3"/>
  <c r="AY309" i="3"/>
  <c r="AY46" i="3"/>
  <c r="AY356" i="3"/>
  <c r="AY148" i="3"/>
  <c r="AY318" i="3"/>
  <c r="AY283" i="3"/>
  <c r="AY162" i="3"/>
  <c r="AY211" i="3"/>
  <c r="AY406" i="3"/>
  <c r="AY245" i="3"/>
  <c r="AY498" i="3"/>
  <c r="AY500" i="3"/>
  <c r="AY140" i="3"/>
  <c r="AY152" i="3"/>
  <c r="AY519" i="3"/>
  <c r="AY242" i="3"/>
  <c r="AY186" i="3"/>
  <c r="AY163" i="3"/>
  <c r="AY390" i="3"/>
  <c r="AY15" i="3"/>
  <c r="AY505" i="3"/>
  <c r="BR6" i="3"/>
  <c r="AY68" i="3"/>
  <c r="AY404" i="3"/>
  <c r="AY84" i="3"/>
  <c r="AY538" i="3"/>
  <c r="AY113" i="3"/>
  <c r="AY478" i="3"/>
  <c r="AY410" i="3"/>
  <c r="AY289" i="3"/>
  <c r="AY313" i="3"/>
  <c r="AY334" i="3"/>
  <c r="AY362" i="3"/>
  <c r="AY487" i="3"/>
  <c r="BM6" i="3"/>
  <c r="AY554" i="3"/>
  <c r="AY228" i="3"/>
  <c r="AY564" i="3"/>
  <c r="AY488" i="3"/>
  <c r="AY251" i="3"/>
  <c r="AY54" i="3"/>
  <c r="AY338" i="3"/>
  <c r="AY444" i="3"/>
  <c r="AY419" i="3"/>
  <c r="BG6" i="3"/>
  <c r="AY373" i="3"/>
  <c r="AY570" i="3"/>
  <c r="AY496" i="3"/>
  <c r="AY354" i="3"/>
  <c r="AY441" i="3"/>
  <c r="AY508" i="3"/>
  <c r="AY87" i="3"/>
  <c r="AY88" i="3"/>
  <c r="AY198" i="3"/>
  <c r="AY529" i="3"/>
  <c r="AY537" i="3"/>
  <c r="AY74" i="3"/>
  <c r="AY57" i="3"/>
  <c r="AY217" i="3"/>
  <c r="AY232" i="3"/>
  <c r="AY361" i="3"/>
  <c r="AY397" i="3"/>
  <c r="AY170" i="3"/>
  <c r="AY381" i="3"/>
  <c r="AY324" i="3"/>
  <c r="AY463" i="3"/>
  <c r="AY116" i="3"/>
  <c r="AY294" i="3"/>
  <c r="AY315" i="3"/>
  <c r="AY62" i="3"/>
  <c r="AY256" i="3"/>
  <c r="AY389" i="3"/>
  <c r="AY295" i="3"/>
  <c r="AY450" i="3"/>
  <c r="AY279" i="3"/>
  <c r="AY457" i="3"/>
  <c r="AY278" i="3"/>
  <c r="AY201" i="3"/>
  <c r="AY352" i="3"/>
  <c r="AY91" i="3"/>
  <c r="AY525" i="3"/>
  <c r="AY191" i="3"/>
  <c r="AY293" i="3"/>
  <c r="AY556" i="3"/>
  <c r="AY187" i="3"/>
  <c r="AY304" i="3"/>
  <c r="AY200" i="3"/>
  <c r="AY558" i="3"/>
  <c r="AY224" i="3"/>
  <c r="AY266" i="3"/>
  <c r="AY229" i="3"/>
  <c r="AY378" i="3"/>
  <c r="AY320" i="3"/>
  <c r="BN6" i="3"/>
  <c r="AY510" i="3"/>
  <c r="AY160" i="3"/>
  <c r="AY259" i="3"/>
  <c r="AY472" i="3"/>
  <c r="AY171" i="3"/>
  <c r="AY329" i="3"/>
  <c r="AY138" i="3"/>
  <c r="AY520" i="3"/>
  <c r="AY367" i="3"/>
  <c r="AY225" i="3"/>
  <c r="AY319" i="3"/>
  <c r="AY151" i="3"/>
  <c r="AY370" i="3"/>
  <c r="AY137" i="3"/>
  <c r="AY518" i="3"/>
  <c r="AY244" i="3"/>
  <c r="AY247" i="3"/>
  <c r="AY553" i="3"/>
  <c r="AY208" i="3"/>
  <c r="AY174" i="3"/>
  <c r="AY153" i="3"/>
  <c r="AY358" i="3"/>
  <c r="AY185" i="3"/>
  <c r="AY63" i="3"/>
  <c r="AY506" i="3"/>
  <c r="AY190" i="3"/>
  <c r="AY60" i="3"/>
  <c r="AY195" i="3"/>
  <c r="AY281" i="3"/>
  <c r="AY267" i="3"/>
  <c r="AY189" i="3"/>
  <c r="AY339" i="3"/>
  <c r="AY490" i="3"/>
  <c r="AY455" i="3"/>
  <c r="AY468" i="3"/>
  <c r="AY110" i="3"/>
  <c r="AY164" i="3"/>
  <c r="AY514" i="3"/>
  <c r="AY263" i="3"/>
  <c r="AY391" i="3"/>
  <c r="AY300" i="3"/>
  <c r="AY215" i="3"/>
  <c r="AY347" i="3"/>
  <c r="AY237" i="3"/>
  <c r="AY119" i="3"/>
  <c r="AY522" i="3"/>
  <c r="AY102" i="3"/>
  <c r="AY473" i="3"/>
  <c r="AY51" i="3"/>
  <c r="AY167" i="3"/>
  <c r="AY536" i="3"/>
  <c r="AY477" i="3"/>
  <c r="AY535" i="3"/>
  <c r="AY486" i="3"/>
  <c r="AY37" i="3"/>
  <c r="AY58" i="3"/>
  <c r="AY128" i="3"/>
  <c r="AY105" i="3"/>
  <c r="AY83" i="3"/>
  <c r="AY126" i="3"/>
  <c r="AY175" i="3"/>
  <c r="AY234" i="3"/>
  <c r="AY384" i="3"/>
  <c r="AY416" i="3"/>
  <c r="AY479" i="3"/>
  <c r="AY181" i="3"/>
  <c r="AY286" i="3"/>
  <c r="AY560" i="3"/>
  <c r="AY70" i="3"/>
  <c r="AY265" i="3"/>
  <c r="AY348" i="3"/>
  <c r="AY459" i="3"/>
  <c r="AY115" i="3"/>
  <c r="AY346" i="3"/>
  <c r="AY30" i="3"/>
  <c r="AY340" i="3"/>
  <c r="AY132" i="3"/>
  <c r="AY305" i="3"/>
  <c r="AY555" i="3"/>
  <c r="AY442" i="3"/>
  <c r="AY157" i="3"/>
  <c r="AY501" i="3"/>
  <c r="AY236" i="3"/>
  <c r="AY103" i="3"/>
  <c r="AY36" i="3"/>
  <c r="AY216" i="3"/>
  <c r="AY408" i="3"/>
  <c r="AY280" i="3"/>
  <c r="AY123" i="3"/>
  <c r="AY257" i="3"/>
  <c r="AY25" i="3"/>
  <c r="AY394" i="3"/>
  <c r="AY76" i="3"/>
  <c r="AY437" i="3"/>
  <c r="BH6" i="3"/>
  <c r="AY24" i="3"/>
  <c r="AY428" i="3"/>
  <c r="AY64" i="3"/>
  <c r="AY34" i="3"/>
  <c r="AY290" i="3"/>
  <c r="AY392" i="3"/>
  <c r="AY219" i="3"/>
  <c r="AY44" i="3"/>
  <c r="AY371" i="3"/>
  <c r="AY147" i="3"/>
  <c r="AY446" i="3"/>
  <c r="AY22" i="3"/>
  <c r="AY396" i="3"/>
  <c r="AY303" i="3"/>
  <c r="AY32" i="3"/>
  <c r="AY407" i="3"/>
  <c r="AY107" i="3"/>
  <c r="AY527" i="3"/>
  <c r="AY489" i="3"/>
  <c r="AY66" i="3"/>
  <c r="AY417" i="3"/>
  <c r="BF6" i="3"/>
  <c r="AY385" i="3"/>
  <c r="AY540" i="3"/>
  <c r="AY355" i="3"/>
  <c r="AY17" i="3"/>
  <c r="AY497" i="3"/>
  <c r="AY357" i="3"/>
  <c r="AY327" i="3"/>
  <c r="AY276" i="3"/>
  <c r="AY534" i="3"/>
  <c r="AY192" i="3"/>
  <c r="AY418" i="3"/>
  <c r="AY56" i="3"/>
  <c r="AY93" i="3"/>
  <c r="AY125" i="3"/>
  <c r="AY331" i="3"/>
  <c r="AY205" i="3"/>
  <c r="AY571" i="3"/>
  <c r="AY260" i="3"/>
  <c r="AY539" i="3"/>
  <c r="AY18" i="3"/>
  <c r="AY212" i="3"/>
  <c r="AY568" i="3"/>
  <c r="AY296" i="3"/>
  <c r="AY460" i="3"/>
  <c r="AY284" i="3"/>
  <c r="AY134" i="3"/>
  <c r="AY243" i="3"/>
  <c r="AY196" i="3"/>
  <c r="AY301" i="3"/>
  <c r="AY255" i="3"/>
  <c r="AY474" i="3"/>
  <c r="BE6" i="3"/>
  <c r="AY491" i="3"/>
  <c r="AY109" i="3"/>
  <c r="AY53" i="3"/>
  <c r="AY262" i="3"/>
  <c r="AY422" i="3"/>
  <c r="AY326" i="3"/>
  <c r="AY366" i="3"/>
  <c r="AY376" i="3"/>
  <c r="AY194" i="3"/>
  <c r="BC6" i="3"/>
  <c r="AY124" i="3"/>
  <c r="AY275" i="3"/>
  <c r="AY445" i="3"/>
  <c r="AY424" i="3"/>
  <c r="AY314" i="3"/>
  <c r="BL6" i="3"/>
  <c r="AY409" i="3"/>
  <c r="AY206" i="3"/>
  <c r="AY413" i="3"/>
  <c r="AY531" i="3"/>
  <c r="AY415" i="3"/>
  <c r="AY480" i="3"/>
  <c r="AY375" i="3"/>
  <c r="AY71" i="3"/>
  <c r="AY40" i="3"/>
  <c r="AY545" i="3"/>
  <c r="AY297" i="3"/>
  <c r="AY403" i="3"/>
  <c r="AY231" i="3"/>
  <c r="AY23" i="3"/>
  <c r="AY89" i="3"/>
  <c r="AY551" i="3"/>
  <c r="AY439" i="3"/>
  <c r="AY292" i="3"/>
  <c r="AY159" i="3"/>
  <c r="AY182" i="3"/>
  <c r="AY209" i="3"/>
  <c r="AY202" i="3"/>
  <c r="AY65" i="3"/>
  <c r="BK6" i="3"/>
  <c r="AY400" i="3"/>
  <c r="AY382" i="3"/>
  <c r="AY43" i="3"/>
  <c r="AY516" i="3"/>
  <c r="AY432" i="3"/>
  <c r="AY183" i="3"/>
  <c r="AY359" i="3"/>
  <c r="AY86" i="3"/>
  <c r="AY515" i="3"/>
  <c r="AY176" i="3"/>
  <c r="BA6" i="3"/>
  <c r="AY562" i="3"/>
  <c r="AY239" i="3"/>
  <c r="AY461" i="3"/>
  <c r="AY287" i="3"/>
  <c r="AY484" i="3"/>
  <c r="AY285" i="3"/>
  <c r="AY436" i="3"/>
  <c r="AY434" i="3"/>
  <c r="AY421" i="3"/>
  <c r="AY509" i="3"/>
  <c r="AY566" i="3"/>
  <c r="AY353" i="3"/>
  <c r="AY261" i="3"/>
  <c r="AY165" i="3"/>
  <c r="AY521" i="3"/>
  <c r="AY121" i="3"/>
  <c r="AY530" i="3"/>
  <c r="AY129" i="3"/>
  <c r="AY144" i="3"/>
  <c r="AY383" i="3"/>
  <c r="AY149" i="3"/>
  <c r="AY39" i="3"/>
  <c r="AY550" i="3"/>
  <c r="AY81" i="3"/>
  <c r="AY307" i="3"/>
  <c r="AY253" i="3"/>
  <c r="AY13" i="3"/>
  <c r="AY411" i="3"/>
  <c r="AY227" i="3"/>
  <c r="AY369" i="3"/>
  <c r="AY27" i="3"/>
  <c r="AY75" i="3"/>
  <c r="AY233" i="3"/>
  <c r="AY29" i="3"/>
  <c r="BQ6" i="3"/>
  <c r="AY456" i="3"/>
  <c r="AY399" i="3"/>
  <c r="AY299" i="3"/>
  <c r="AY344" i="3"/>
  <c r="AY240" i="3"/>
  <c r="AY495" i="3"/>
  <c r="BO6" i="3"/>
  <c r="AY502" i="3"/>
  <c r="AY177" i="3"/>
  <c r="AY48" i="3"/>
  <c r="AY470" i="3"/>
  <c r="AY33" i="3"/>
  <c r="AY541" i="3"/>
  <c r="AY180" i="3"/>
  <c r="AY452" i="3"/>
  <c r="AY69" i="3"/>
  <c r="AY77" i="3"/>
  <c r="AY106" i="3"/>
  <c r="AY448" i="3"/>
  <c r="AY214" i="3"/>
  <c r="AY135" i="3"/>
  <c r="AY168" i="3"/>
  <c r="AY302" i="3"/>
  <c r="AY438" i="3"/>
  <c r="AY330" i="3"/>
  <c r="AY92" i="3"/>
  <c r="AY114" i="3"/>
  <c r="AY111" i="3"/>
  <c r="AY14" i="3"/>
  <c r="AY207" i="3"/>
  <c r="AY248" i="3"/>
  <c r="AY471" i="3"/>
  <c r="AY453" i="3"/>
  <c r="AY323" i="3"/>
  <c r="AY565" i="3"/>
  <c r="AY20" i="3"/>
  <c r="AY351" i="3"/>
  <c r="AY483" i="3"/>
  <c r="AY235" i="3"/>
  <c r="AY395" i="3"/>
  <c r="AY547" i="3"/>
  <c r="BI6" i="3"/>
  <c r="AY499" i="3"/>
  <c r="AY513" i="3"/>
  <c r="AY59" i="3"/>
  <c r="AY426" i="3"/>
  <c r="AY466" i="3"/>
  <c r="AY482" i="3"/>
  <c r="AY41" i="3"/>
  <c r="AY100" i="3"/>
  <c r="AY277" i="3"/>
  <c r="AY402" i="3"/>
  <c r="AY364" i="3"/>
  <c r="AY310" i="3"/>
  <c r="AY241" i="3"/>
  <c r="AY101" i="3"/>
  <c r="AY188" i="3"/>
  <c r="AY99" i="3"/>
  <c r="AY246" i="3"/>
  <c r="AY311" i="3"/>
  <c r="AY341" i="3"/>
  <c r="AY544" i="3"/>
  <c r="AY526" i="3"/>
  <c r="AY443" i="3"/>
  <c r="AY288" i="3"/>
  <c r="AY380" i="3"/>
  <c r="AY127" i="3"/>
  <c r="AY458" i="3"/>
  <c r="AY325" i="3"/>
  <c r="AY492" i="3"/>
  <c r="AY563" i="3"/>
  <c r="AY567" i="3"/>
  <c r="AY387" i="3"/>
  <c r="AY130" i="3"/>
  <c r="AY252" i="3"/>
  <c r="AY532" i="3"/>
  <c r="AY451" i="3"/>
  <c r="AY79" i="3"/>
  <c r="AY462" i="3"/>
  <c r="AY511" i="3"/>
  <c r="AY517" i="3"/>
  <c r="AY169" i="3"/>
  <c r="AY117" i="3"/>
  <c r="AY561" i="3"/>
  <c r="AY133" i="3"/>
  <c r="AY312" i="3"/>
  <c r="AY80" i="3"/>
  <c r="AY50" i="3"/>
  <c r="BS6" i="3"/>
  <c r="AY221" i="3"/>
  <c r="AY557" i="3"/>
  <c r="AY332" i="3"/>
  <c r="AY95" i="3"/>
  <c r="AY230" i="3"/>
  <c r="AY321" i="3"/>
  <c r="AY552" i="3"/>
  <c r="AY512" i="3"/>
  <c r="AY94" i="3"/>
  <c r="AY31" i="3"/>
  <c r="AY405" i="3"/>
  <c r="AY273" i="3"/>
  <c r="AY546" i="3"/>
  <c r="AY270" i="3"/>
  <c r="BJ6" i="3"/>
  <c r="AY250" i="3"/>
  <c r="AY204" i="3"/>
  <c r="AY569" i="3"/>
  <c r="AY220" i="3"/>
  <c r="BB6" i="3"/>
  <c r="AY467" i="3"/>
  <c r="AY308" i="3"/>
  <c r="AY218" i="3"/>
  <c r="AY222" i="3"/>
  <c r="AY423" i="3"/>
  <c r="AY523" i="3"/>
  <c r="W7" i="21"/>
  <c r="I48" i="21"/>
  <c r="G53" i="34"/>
  <c r="H53" i="34"/>
  <c r="G54" i="34"/>
  <c r="H54" i="34"/>
  <c r="R39" i="35"/>
  <c r="E38" i="35"/>
  <c r="I42" i="35"/>
  <c r="J42" i="35"/>
  <c r="S7" i="33"/>
  <c r="AA7" i="33"/>
  <c r="R48" i="33"/>
  <c r="R50" i="34"/>
  <c r="E49" i="34"/>
  <c r="R43" i="37"/>
  <c r="E42" i="37"/>
  <c r="G48" i="21"/>
  <c r="U7" i="21"/>
  <c r="C6" i="59"/>
  <c r="D7" i="59"/>
  <c r="AB7" i="36"/>
  <c r="T36" i="36"/>
  <c r="G36" i="36"/>
  <c r="U7" i="36"/>
  <c r="I52" i="33"/>
  <c r="J52" i="33"/>
  <c r="G52" i="33"/>
  <c r="H52" i="33"/>
  <c r="G53" i="33"/>
  <c r="H53" i="33"/>
  <c r="G46" i="37"/>
  <c r="H46" i="37"/>
  <c r="I41" i="36"/>
  <c r="J41" i="36"/>
  <c r="I40" i="36"/>
  <c r="J40" i="36"/>
  <c r="G42" i="35"/>
  <c r="H42" i="35"/>
  <c r="G43" i="35"/>
  <c r="H43" i="35"/>
  <c r="AC7" i="37"/>
  <c r="V42" i="37"/>
  <c r="I42" i="37"/>
  <c r="W7" i="37"/>
  <c r="I53" i="34"/>
  <c r="J53" i="34"/>
  <c r="T29" i="59"/>
  <c r="D29" i="59"/>
  <c r="D16" i="43"/>
  <c r="C16" i="43" s="1"/>
  <c r="L38" i="9"/>
  <c r="B14" i="66"/>
  <c r="D10" i="11"/>
  <c r="C21" i="4"/>
  <c r="O5" i="54"/>
  <c r="B45" i="63"/>
  <c r="E6" i="3"/>
  <c r="K25" i="6"/>
  <c r="M25" i="6"/>
  <c r="I25" i="6"/>
  <c r="S25" i="6"/>
  <c r="K22" i="6"/>
  <c r="M22" i="6"/>
  <c r="I22" i="6"/>
  <c r="S22" i="6"/>
  <c r="K20" i="6"/>
  <c r="K24" i="6"/>
  <c r="M24" i="6"/>
  <c r="I24" i="6"/>
  <c r="S24" i="6"/>
  <c r="K19" i="6"/>
  <c r="S6" i="1"/>
  <c r="K21" i="6"/>
  <c r="K26" i="6"/>
  <c r="M26" i="6"/>
  <c r="I26" i="6"/>
  <c r="S26" i="6"/>
  <c r="K23" i="6"/>
  <c r="M23" i="6"/>
  <c r="I23" i="6"/>
  <c r="S23" i="6"/>
  <c r="E31" i="6"/>
  <c r="D12" i="6"/>
  <c r="D10" i="6"/>
  <c r="D14" i="6"/>
  <c r="D15" i="6"/>
  <c r="D8" i="6"/>
  <c r="K38" i="9"/>
  <c r="C14" i="66"/>
  <c r="B2" i="66"/>
  <c r="D5" i="6"/>
  <c r="D6" i="6"/>
  <c r="E63" i="40"/>
  <c r="C22" i="4"/>
  <c r="D13" i="6"/>
  <c r="E68" i="39"/>
  <c r="H23" i="6"/>
  <c r="D11" i="6"/>
  <c r="D9" i="6"/>
  <c r="I67" i="40"/>
  <c r="J65" i="40"/>
  <c r="G40" i="36"/>
  <c r="H40" i="36"/>
  <c r="G41" i="36"/>
  <c r="H41" i="36"/>
  <c r="G52" i="21"/>
  <c r="H52" i="21"/>
  <c r="G53" i="21"/>
  <c r="H53" i="21"/>
  <c r="E48" i="33"/>
  <c r="R49" i="33"/>
  <c r="E42" i="35"/>
  <c r="F42" i="35"/>
  <c r="E43" i="35"/>
  <c r="F43" i="35"/>
  <c r="O16" i="1"/>
  <c r="M16" i="1"/>
  <c r="E54" i="34"/>
  <c r="F54" i="34"/>
  <c r="E53" i="34"/>
  <c r="F53" i="34"/>
  <c r="I46" i="37"/>
  <c r="J46" i="37"/>
  <c r="I47" i="37"/>
  <c r="J47" i="37"/>
  <c r="D13" i="11"/>
  <c r="C13" i="11"/>
  <c r="I54" i="34"/>
  <c r="J54" i="34"/>
  <c r="E46" i="37"/>
  <c r="F46" i="37"/>
  <c r="E47" i="37"/>
  <c r="F47" i="37"/>
  <c r="C38" i="35"/>
  <c r="C39" i="35"/>
  <c r="B3" i="35"/>
  <c r="B2" i="35"/>
  <c r="C5" i="59"/>
  <c r="D6" i="59"/>
  <c r="C43" i="37"/>
  <c r="B3" i="37"/>
  <c r="B2" i="37"/>
  <c r="C42" i="37"/>
  <c r="E48" i="21"/>
  <c r="C36" i="36"/>
  <c r="C37" i="36"/>
  <c r="B3" i="36"/>
  <c r="B2" i="36"/>
  <c r="G47" i="37"/>
  <c r="H47" i="37"/>
  <c r="C50" i="34"/>
  <c r="B3" i="34"/>
  <c r="B2" i="34"/>
  <c r="C49" i="34"/>
  <c r="I43" i="35"/>
  <c r="J43" i="35"/>
  <c r="I52" i="21"/>
  <c r="J52" i="21"/>
  <c r="I53" i="21"/>
  <c r="J53" i="21"/>
  <c r="E40" i="36"/>
  <c r="F40" i="36"/>
  <c r="E41" i="36"/>
  <c r="F41" i="36"/>
  <c r="H24" i="6"/>
  <c r="M20" i="6"/>
  <c r="I20" i="6"/>
  <c r="S20" i="6"/>
  <c r="M21" i="6"/>
  <c r="I21" i="6"/>
  <c r="S21" i="6"/>
  <c r="S8" i="1"/>
  <c r="K27" i="6"/>
  <c r="M19" i="6"/>
  <c r="H25" i="6"/>
  <c r="R25" i="6"/>
  <c r="H22" i="6"/>
  <c r="R22" i="6"/>
  <c r="D16" i="6"/>
  <c r="H26" i="6"/>
  <c r="R26" i="6"/>
  <c r="R24" i="6"/>
  <c r="C48" i="21"/>
  <c r="D5" i="59"/>
  <c r="M20" i="46"/>
  <c r="C13" i="43"/>
  <c r="C14" i="43" s="1"/>
  <c r="L16" i="1"/>
  <c r="N16" i="1"/>
  <c r="C29" i="43"/>
  <c r="A6" i="51"/>
  <c r="B7" i="63"/>
  <c r="N5" i="54"/>
  <c r="B43" i="63"/>
  <c r="A20" i="51"/>
  <c r="B15" i="63"/>
  <c r="A6" i="64"/>
  <c r="A20" i="64"/>
  <c r="E52" i="21"/>
  <c r="F52" i="21"/>
  <c r="E53" i="21"/>
  <c r="F53" i="21"/>
  <c r="E52" i="33"/>
  <c r="F52" i="33"/>
  <c r="E53" i="33"/>
  <c r="F53" i="33"/>
  <c r="I53" i="33"/>
  <c r="J53" i="33"/>
  <c r="J67" i="40"/>
  <c r="K65" i="40"/>
  <c r="R23" i="6"/>
  <c r="C49" i="33"/>
  <c r="B3" i="33"/>
  <c r="B2" i="33"/>
  <c r="C48" i="33"/>
  <c r="S16" i="1"/>
  <c r="H21" i="6"/>
  <c r="R21" i="6"/>
  <c r="R8" i="1"/>
  <c r="H20" i="6"/>
  <c r="R20" i="6"/>
  <c r="I5" i="6"/>
  <c r="I19" i="6"/>
  <c r="M27" i="6"/>
  <c r="L65" i="40"/>
  <c r="K67" i="40"/>
  <c r="T11" i="1"/>
  <c r="T9" i="1"/>
  <c r="T6" i="1"/>
  <c r="T13" i="1"/>
  <c r="T12" i="1"/>
  <c r="T10" i="1"/>
  <c r="T7" i="1"/>
  <c r="T8" i="1"/>
  <c r="I27" i="6"/>
  <c r="H19" i="6"/>
  <c r="S19" i="6"/>
  <c r="S27" i="6"/>
  <c r="L67" i="40"/>
  <c r="M65" i="40"/>
  <c r="T16" i="1"/>
  <c r="H27" i="6"/>
  <c r="R19" i="6"/>
  <c r="M67" i="40"/>
  <c r="N65" i="40"/>
  <c r="N67" i="40"/>
  <c r="J9" i="40"/>
  <c r="H9" i="40"/>
  <c r="F9" i="40"/>
  <c r="R27" i="6"/>
  <c r="R6" i="1"/>
  <c r="R16" i="1"/>
  <c r="S9" i="40"/>
  <c r="AA9" i="40"/>
  <c r="R44" i="40"/>
  <c r="W9" i="40"/>
  <c r="AC9" i="40"/>
  <c r="V44" i="40"/>
  <c r="I44" i="40"/>
  <c r="U9" i="40"/>
  <c r="AB9" i="40"/>
  <c r="T44" i="40"/>
  <c r="G44" i="40"/>
  <c r="G49" i="40"/>
  <c r="H49" i="40"/>
  <c r="G48" i="40"/>
  <c r="H48" i="40"/>
  <c r="I48" i="40"/>
  <c r="J48" i="40"/>
  <c r="E44" i="40"/>
  <c r="R45" i="40"/>
  <c r="H9" i="39"/>
  <c r="J9" i="39"/>
  <c r="E49" i="40"/>
  <c r="F49" i="40"/>
  <c r="E48" i="40"/>
  <c r="F48" i="40"/>
  <c r="I49" i="40"/>
  <c r="J49" i="40"/>
  <c r="C44" i="40"/>
  <c r="C45" i="40"/>
  <c r="W9" i="39"/>
  <c r="AC9" i="39"/>
  <c r="U9" i="39"/>
  <c r="AB9" i="39"/>
  <c r="S9" i="39"/>
  <c r="B55" i="40"/>
  <c r="F55" i="40"/>
  <c r="B56" i="40"/>
  <c r="F56" i="40"/>
  <c r="B54" i="40"/>
  <c r="F54" i="40"/>
  <c r="B60" i="40"/>
  <c r="F60" i="40"/>
  <c r="B53" i="40"/>
  <c r="F53" i="40"/>
  <c r="B61" i="40"/>
  <c r="F61" i="40"/>
  <c r="B62" i="40"/>
  <c r="F62" i="40"/>
  <c r="F63" i="40"/>
  <c r="B2" i="40"/>
  <c r="B58" i="40"/>
  <c r="F58" i="40"/>
  <c r="B59" i="40"/>
  <c r="F59" i="40"/>
  <c r="B57" i="40"/>
  <c r="F57" i="40"/>
  <c r="B3" i="40"/>
  <c r="B5" i="40"/>
  <c r="B4" i="40"/>
  <c r="C45" i="9"/>
  <c r="O40" i="9"/>
  <c r="H14" i="66"/>
  <c r="B7" i="66"/>
  <c r="D45" i="9"/>
  <c r="E45" i="9"/>
  <c r="F45" i="9"/>
  <c r="D7" i="66"/>
  <c r="R7" i="54"/>
  <c r="B52" i="63"/>
  <c r="K31" i="9"/>
  <c r="K32"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77" i="9"/>
  <c r="N75" i="9"/>
  <c r="B3" i="39"/>
  <c r="B4" i="39"/>
  <c r="B5" i="39"/>
  <c r="E49" i="39"/>
  <c r="E53" i="39"/>
  <c r="F53" i="39"/>
  <c r="G49" i="39"/>
  <c r="E54" i="39"/>
  <c r="F54" i="39"/>
  <c r="C49" i="39"/>
  <c r="I49" i="39"/>
  <c r="I53" i="39"/>
  <c r="J53" i="39"/>
  <c r="G53" i="39"/>
  <c r="H53" i="39"/>
  <c r="G54" i="39"/>
  <c r="H54" i="39"/>
  <c r="I54" i="39"/>
  <c r="J54" i="39"/>
  <c r="AB27" i="59"/>
  <c r="C19" i="46"/>
  <c r="C29" i="46"/>
  <c r="E29" i="46"/>
  <c r="C33" i="46"/>
  <c r="E33" i="46"/>
  <c r="C26" i="46"/>
  <c r="B2" i="46"/>
  <c r="C30" i="46"/>
  <c r="E30" i="46"/>
  <c r="G33" i="46"/>
  <c r="I33" i="46"/>
  <c r="C27" i="46"/>
  <c r="C34" i="46"/>
  <c r="C35" i="46"/>
  <c r="C36" i="46"/>
  <c r="C37" i="46"/>
  <c r="C38" i="46"/>
  <c r="C39" i="46"/>
  <c r="D4" i="46"/>
  <c r="E34" i="46"/>
  <c r="E35" i="46"/>
  <c r="E36" i="46"/>
  <c r="E37" i="46"/>
  <c r="E38" i="46"/>
  <c r="E39" i="46"/>
  <c r="B4" i="46"/>
  <c r="B3" i="46"/>
  <c r="G36" i="46"/>
  <c r="I36" i="46"/>
  <c r="G37" i="46"/>
  <c r="I37" i="46"/>
  <c r="G35" i="46"/>
  <c r="I35" i="46"/>
  <c r="G39" i="46"/>
  <c r="I39" i="46"/>
  <c r="G38" i="46"/>
  <c r="I38" i="46"/>
  <c r="G34" i="46"/>
  <c r="I34" i="46"/>
  <c r="W12" i="39"/>
  <c r="H12" i="40"/>
  <c r="U12" i="40"/>
  <c r="J12" i="40"/>
  <c r="AC12" i="40"/>
  <c r="U12" i="39"/>
  <c r="F12" i="40"/>
  <c r="S12" i="40"/>
  <c r="S12" i="39"/>
  <c r="T10" i="46"/>
  <c r="V10" i="46"/>
  <c r="T12" i="46"/>
  <c r="V12" i="46"/>
  <c r="T6" i="46"/>
  <c r="V6" i="46"/>
  <c r="T2" i="46"/>
  <c r="V2" i="46"/>
  <c r="T8" i="46"/>
  <c r="V8" i="46"/>
  <c r="T15" i="46"/>
  <c r="V15" i="46"/>
  <c r="T4" i="46"/>
  <c r="V4" i="46"/>
  <c r="T14" i="46"/>
  <c r="V14" i="46"/>
  <c r="T9" i="46"/>
  <c r="V9" i="46"/>
  <c r="T16" i="46"/>
  <c r="V16" i="46"/>
  <c r="T13" i="46"/>
  <c r="V13" i="46"/>
  <c r="T5" i="46"/>
  <c r="V5" i="46"/>
  <c r="T11" i="46"/>
  <c r="V11" i="46"/>
  <c r="T3" i="46"/>
  <c r="V3" i="46"/>
  <c r="T7" i="46"/>
  <c r="V7" i="46"/>
  <c r="AB12" i="40"/>
  <c r="W12" i="40"/>
  <c r="AA12" i="40"/>
  <c r="F16" i="66"/>
  <c r="F13" i="15"/>
  <c r="M30" i="44"/>
  <c r="J3" i="65"/>
  <c r="F38" i="44"/>
  <c r="F43" i="44"/>
  <c r="N5" i="65"/>
  <c r="F45" i="44"/>
  <c r="C20" i="9"/>
  <c r="M6" i="15"/>
  <c r="F12" i="67"/>
  <c r="E14" i="67"/>
  <c r="J6" i="65"/>
  <c r="M9" i="15"/>
  <c r="F41" i="15"/>
  <c r="J36" i="15"/>
  <c r="M28" i="44"/>
  <c r="E10" i="67"/>
  <c r="M10" i="44"/>
  <c r="J4" i="65"/>
  <c r="F37" i="15"/>
  <c r="E12" i="67"/>
  <c r="J5" i="65"/>
  <c r="L47" i="15"/>
  <c r="F8" i="44"/>
  <c r="N4" i="65"/>
  <c r="M22" i="15"/>
  <c r="L49" i="44"/>
  <c r="B11" i="67"/>
  <c r="M29" i="44"/>
  <c r="F11" i="44"/>
  <c r="M21" i="15"/>
  <c r="F18" i="44"/>
  <c r="F35" i="15"/>
  <c r="F8" i="67"/>
  <c r="F9" i="67"/>
  <c r="F9" i="44"/>
  <c r="F37" i="44"/>
  <c r="L48" i="15"/>
  <c r="M11" i="44"/>
  <c r="M24" i="15"/>
  <c r="N3" i="65"/>
  <c r="F39" i="44"/>
  <c r="F38" i="15"/>
  <c r="M26" i="15"/>
  <c r="F42" i="15"/>
  <c r="M26" i="44"/>
  <c r="E9" i="67"/>
  <c r="I4" i="65"/>
  <c r="M25" i="44"/>
  <c r="F16" i="15"/>
  <c r="M24" i="44"/>
  <c r="F46" i="44"/>
  <c r="E13" i="67"/>
  <c r="M8" i="44"/>
  <c r="F26" i="15"/>
  <c r="I3" i="65"/>
  <c r="F28" i="44"/>
  <c r="F6" i="15"/>
  <c r="F43" i="15"/>
  <c r="E7" i="67"/>
  <c r="C16" i="44"/>
  <c r="F15" i="44"/>
  <c r="B7" i="67"/>
  <c r="F7" i="15"/>
  <c r="M27" i="15"/>
  <c r="N6" i="65"/>
  <c r="F9" i="15"/>
  <c r="J17" i="44"/>
  <c r="C19" i="9"/>
  <c r="L48" i="44"/>
  <c r="F8" i="15"/>
  <c r="C21" i="9"/>
  <c r="B13" i="67"/>
  <c r="F40" i="15"/>
  <c r="E11" i="67"/>
  <c r="B14" i="67"/>
  <c r="F36" i="15"/>
  <c r="M28" i="15"/>
  <c r="B9" i="67"/>
  <c r="F40" i="44"/>
  <c r="C14" i="15"/>
  <c r="B10" i="67"/>
  <c r="J15" i="15"/>
  <c r="M23" i="15"/>
  <c r="I5" i="65"/>
  <c r="N7" i="65"/>
  <c r="M31" i="44"/>
  <c r="F13" i="67"/>
  <c r="I7" i="65"/>
  <c r="F14" i="67"/>
  <c r="M29" i="15"/>
  <c r="F10" i="67"/>
  <c r="F10" i="44"/>
  <c r="I6" i="65"/>
  <c r="C19" i="44"/>
  <c r="J7" i="65"/>
  <c r="E8" i="67"/>
  <c r="M23" i="44"/>
  <c r="F11" i="67"/>
  <c r="M8" i="15"/>
  <c r="B12" i="67"/>
  <c r="B8" i="67"/>
  <c r="B22" i="52" l="1"/>
  <c r="B14" i="52"/>
  <c r="B7" i="52"/>
  <c r="B9" i="52"/>
  <c r="E21" i="52"/>
  <c r="E8" i="52"/>
  <c r="E9" i="52"/>
  <c r="E13" i="52"/>
  <c r="E4" i="4" s="1"/>
  <c r="B21" i="55" s="1"/>
  <c r="B72" i="63" s="1"/>
  <c r="E14" i="52"/>
  <c r="B13" i="52"/>
  <c r="B8" i="52"/>
  <c r="E10" i="52"/>
  <c r="E22" i="52"/>
  <c r="B6" i="52"/>
  <c r="E4" i="52"/>
  <c r="E7" i="52"/>
  <c r="C4" i="4" s="1"/>
  <c r="B20" i="55" s="1"/>
  <c r="B70" i="63" s="1"/>
  <c r="B11" i="52"/>
  <c r="E6" i="52"/>
  <c r="B10" i="52"/>
  <c r="E11" i="52"/>
  <c r="D19" i="12"/>
  <c r="C19" i="12" s="1"/>
  <c r="G16" i="66"/>
  <c r="F21" i="66"/>
  <c r="C14" i="12"/>
  <c r="C18" i="12" s="1"/>
  <c r="B1" i="66"/>
  <c r="C7" i="66" s="1"/>
  <c r="E21" i="66"/>
  <c r="C17" i="43"/>
  <c r="C18" i="43" s="1"/>
  <c r="C19" i="43" s="1"/>
  <c r="C20" i="12"/>
  <c r="J20" i="15"/>
  <c r="J22" i="44"/>
  <c r="C29" i="44"/>
  <c r="L59" i="44"/>
  <c r="L60" i="44"/>
  <c r="C36" i="44"/>
  <c r="F70" i="15"/>
  <c r="F63" i="15"/>
  <c r="F65" i="15"/>
  <c r="C20" i="44"/>
  <c r="C17" i="44"/>
  <c r="B2" i="67"/>
  <c r="F62" i="15"/>
  <c r="C61" i="15" s="1"/>
  <c r="C34" i="15"/>
  <c r="M9" i="44"/>
  <c r="J8" i="44" s="1"/>
  <c r="F67" i="15"/>
  <c r="J57" i="15"/>
  <c r="J55" i="15" s="1"/>
  <c r="J58" i="15" s="1"/>
  <c r="Q51" i="15" s="1"/>
  <c r="J53" i="15"/>
  <c r="I54" i="15"/>
  <c r="L56" i="15"/>
  <c r="C27" i="15"/>
  <c r="L58" i="15"/>
  <c r="L59" i="15"/>
  <c r="Q72" i="15"/>
  <c r="C4" i="65"/>
  <c r="B39" i="1" s="1"/>
  <c r="E20" i="46"/>
  <c r="J1" i="65"/>
  <c r="L43" i="9"/>
  <c r="Q73" i="44"/>
  <c r="F68" i="15"/>
  <c r="F49" i="15"/>
  <c r="M7" i="15"/>
  <c r="J6" i="15" s="1"/>
  <c r="E3" i="67"/>
  <c r="C15" i="15"/>
  <c r="C18" i="15"/>
  <c r="C8" i="44"/>
  <c r="F50" i="15"/>
  <c r="I55" i="44"/>
  <c r="J60" i="44"/>
  <c r="J61" i="44"/>
  <c r="Q50" i="44" s="1"/>
  <c r="J58" i="44"/>
  <c r="J56" i="44" s="1"/>
  <c r="J59" i="44" s="1"/>
  <c r="Q52" i="44" s="1"/>
  <c r="J54" i="44"/>
  <c r="L57" i="44"/>
  <c r="C6" i="15"/>
  <c r="F64" i="15"/>
  <c r="G20" i="66"/>
  <c r="E20" i="66"/>
  <c r="F20" i="66"/>
  <c r="E16" i="66"/>
  <c r="E2" i="65"/>
  <c r="C18" i="44"/>
  <c r="C17" i="15"/>
  <c r="C16" i="15"/>
  <c r="F7" i="67"/>
  <c r="E3" i="65"/>
  <c r="B40" i="1" l="1"/>
  <c r="F24" i="15" s="1"/>
  <c r="C24" i="15" s="1"/>
  <c r="L47" i="44"/>
  <c r="C25" i="43"/>
  <c r="C24" i="43" s="1"/>
  <c r="F17" i="11"/>
  <c r="C17" i="11" s="1"/>
  <c r="C19" i="11" s="1"/>
  <c r="E4" i="67"/>
  <c r="B4" i="67" s="1"/>
  <c r="C19" i="15"/>
  <c r="C21" i="44"/>
  <c r="C32" i="15"/>
  <c r="C34" i="44"/>
  <c r="Q61" i="15"/>
  <c r="Q74" i="15"/>
  <c r="B3" i="67"/>
  <c r="Q76" i="44"/>
  <c r="Q63" i="44"/>
  <c r="J18" i="15"/>
  <c r="Q62" i="44"/>
  <c r="Q75" i="44"/>
  <c r="N28" i="46"/>
  <c r="O28" i="46"/>
  <c r="M28" i="46"/>
  <c r="P28" i="46"/>
  <c r="C23" i="12"/>
  <c r="M11" i="15"/>
  <c r="J10" i="15" s="1"/>
  <c r="J5" i="15" s="1"/>
  <c r="M13" i="44"/>
  <c r="J12" i="44" s="1"/>
  <c r="J7" i="44" s="1"/>
  <c r="F13" i="44"/>
  <c r="C12" i="44" s="1"/>
  <c r="C7" i="44" s="1"/>
  <c r="F11" i="15"/>
  <c r="J20" i="44"/>
  <c r="Q54" i="44"/>
  <c r="F1" i="44"/>
  <c r="C48" i="15"/>
  <c r="Q62" i="15"/>
  <c r="Q75" i="15"/>
  <c r="Q53" i="15"/>
  <c r="F1" i="15"/>
  <c r="F21" i="43" l="1"/>
  <c r="C23" i="43" s="1"/>
  <c r="D21" i="43" s="1"/>
  <c r="F26" i="12"/>
  <c r="C27" i="12" s="1"/>
  <c r="D26" i="12" s="1"/>
  <c r="C32" i="12" s="1"/>
  <c r="D30" i="12" s="1"/>
  <c r="F26" i="44"/>
  <c r="C26" i="44" s="1"/>
  <c r="C35" i="12"/>
  <c r="C33" i="12" s="1"/>
  <c r="J24" i="15"/>
  <c r="J26" i="15"/>
  <c r="J29" i="15" s="1"/>
  <c r="C20" i="15"/>
  <c r="C26" i="15" s="1"/>
  <c r="C52" i="15"/>
  <c r="C47" i="15" s="1"/>
  <c r="C10" i="15"/>
  <c r="C5" i="15" s="1"/>
  <c r="J26" i="44"/>
  <c r="J28" i="44"/>
  <c r="J31" i="44" s="1"/>
  <c r="C22" i="44"/>
  <c r="C40" i="44"/>
  <c r="C20" i="11"/>
  <c r="C21" i="11" s="1"/>
  <c r="C22" i="11" s="1"/>
  <c r="C23" i="11" s="1"/>
  <c r="B2" i="11" s="1"/>
  <c r="C108" i="9"/>
  <c r="L52" i="44"/>
  <c r="C28" i="12" l="1"/>
  <c r="C26" i="12" s="1"/>
  <c r="C31" i="12" s="1"/>
  <c r="C30" i="12" s="1"/>
  <c r="C36" i="12" s="1"/>
  <c r="B2" i="12" s="1"/>
  <c r="B3" i="12" s="1"/>
  <c r="C22" i="43"/>
  <c r="C21" i="43" s="1"/>
  <c r="C28" i="43" s="1"/>
  <c r="C30" i="43" s="1"/>
  <c r="C32" i="43" s="1"/>
  <c r="B2" i="43" s="1"/>
  <c r="C25" i="44"/>
  <c r="C23" i="15"/>
  <c r="C29" i="15" s="1"/>
  <c r="J14" i="15" s="1"/>
  <c r="C110" i="9"/>
  <c r="C112" i="9"/>
  <c r="C28" i="44"/>
  <c r="Q69" i="44"/>
  <c r="L58" i="44"/>
  <c r="L61" i="44" s="1"/>
  <c r="C65" i="15"/>
  <c r="C59" i="15"/>
  <c r="Q58" i="44"/>
  <c r="Q67" i="44"/>
  <c r="Q49" i="44"/>
  <c r="Q55" i="44" s="1"/>
  <c r="B4" i="11"/>
  <c r="B3" i="11"/>
  <c r="B5" i="11"/>
  <c r="C38" i="15"/>
  <c r="D19" i="9"/>
  <c r="D20" i="9"/>
  <c r="C31" i="44" l="1"/>
  <c r="Q51" i="44" s="1"/>
  <c r="C33" i="15"/>
  <c r="C31" i="15" s="1"/>
  <c r="J19" i="15"/>
  <c r="J17" i="15" s="1"/>
  <c r="D22" i="9"/>
  <c r="L44" i="9"/>
  <c r="G19" i="9"/>
  <c r="G22" i="9" s="1"/>
  <c r="C56" i="15"/>
  <c r="C60" i="15" s="1"/>
  <c r="C58" i="15" s="1"/>
  <c r="Q50" i="15"/>
  <c r="C13" i="15"/>
  <c r="C55" i="15" s="1"/>
  <c r="C64" i="15" s="1"/>
  <c r="B4" i="12"/>
  <c r="J59" i="15"/>
  <c r="J60" i="15" s="1"/>
  <c r="L46" i="15" s="1"/>
  <c r="C36" i="15"/>
  <c r="B5" i="12"/>
  <c r="G20" i="9"/>
  <c r="B3" i="43"/>
  <c r="B5" i="43"/>
  <c r="B4" i="43"/>
  <c r="J13" i="15"/>
  <c r="J23" i="15" s="1"/>
  <c r="J22" i="15"/>
  <c r="Q68" i="44"/>
  <c r="Q77" i="44" s="1"/>
  <c r="Q59" i="44"/>
  <c r="Q64" i="44" s="1"/>
  <c r="D21" i="9"/>
  <c r="J21" i="44" l="1"/>
  <c r="J19" i="44" s="1"/>
  <c r="C35" i="44"/>
  <c r="C33" i="44" s="1"/>
  <c r="C15" i="44"/>
  <c r="Q72" i="44" s="1"/>
  <c r="J16" i="44"/>
  <c r="J24" i="44" s="1"/>
  <c r="C38" i="44"/>
  <c r="C37" i="15"/>
  <c r="C30" i="15" s="1"/>
  <c r="C39" i="15" s="1"/>
  <c r="Q49" i="15"/>
  <c r="C63" i="15"/>
  <c r="C57" i="15" s="1"/>
  <c r="C66" i="15" s="1"/>
  <c r="C67" i="15" s="1"/>
  <c r="G21" i="9"/>
  <c r="J15" i="44"/>
  <c r="J25" i="44" s="1"/>
  <c r="J16" i="15"/>
  <c r="J25" i="15" s="1"/>
  <c r="Q71" i="15"/>
  <c r="C32" i="9"/>
  <c r="C34" i="9" s="1"/>
  <c r="J35" i="15"/>
  <c r="N43" i="9"/>
  <c r="J18" i="44" l="1"/>
  <c r="J27" i="44" s="1"/>
  <c r="C39" i="44"/>
  <c r="C32" i="44" s="1"/>
  <c r="C42" i="44" s="1"/>
  <c r="Q71" i="44" s="1"/>
  <c r="Q70" i="44" s="1"/>
  <c r="C43" i="44"/>
  <c r="Q70" i="15"/>
  <c r="Q69" i="15" s="1"/>
  <c r="C40" i="15"/>
  <c r="Q48" i="15" s="1"/>
  <c r="Q54" i="15" s="1"/>
  <c r="J39" i="15"/>
  <c r="J40" i="15" s="1"/>
  <c r="C42" i="9"/>
  <c r="D63" i="9" s="1"/>
  <c r="C35" i="9"/>
  <c r="F42" i="9" s="1"/>
  <c r="O43" i="9"/>
  <c r="O38" i="9"/>
  <c r="K25" i="9" s="1"/>
  <c r="C33" i="9"/>
  <c r="N38" i="9" s="1"/>
  <c r="K28" i="9" s="1"/>
  <c r="C70" i="15"/>
  <c r="E42" i="9"/>
  <c r="P5" i="54" s="1"/>
  <c r="B46" i="63" s="1"/>
  <c r="M38" i="9"/>
  <c r="K27" i="9" s="1"/>
  <c r="L51" i="15"/>
  <c r="C44" i="44" l="1"/>
  <c r="C45" i="44" s="1"/>
  <c r="B2" i="44" s="1"/>
  <c r="B5" i="44" s="1"/>
  <c r="Q68" i="15"/>
  <c r="L57" i="15"/>
  <c r="L60" i="15" s="1"/>
  <c r="Q58" i="15" s="1"/>
  <c r="C43" i="15"/>
  <c r="J42" i="15"/>
  <c r="J43" i="15" s="1"/>
  <c r="Q57" i="15"/>
  <c r="C46" i="15"/>
  <c r="Q66" i="15"/>
  <c r="B2" i="15"/>
  <c r="B3" i="15" s="1"/>
  <c r="K26" i="9"/>
  <c r="D14" i="66"/>
  <c r="F14" i="66" s="1"/>
  <c r="R5" i="54"/>
  <c r="B48" i="63" s="1"/>
  <c r="C44" i="9"/>
  <c r="G14" i="66" s="1"/>
  <c r="N68" i="9"/>
  <c r="D42" i="9"/>
  <c r="Q5" i="54" s="1"/>
  <c r="B47" i="63" s="1"/>
  <c r="C96" i="9"/>
  <c r="C91" i="9" s="1"/>
  <c r="C103" i="9"/>
  <c r="D70" i="9"/>
  <c r="D71" i="9"/>
  <c r="D66" i="9" s="1"/>
  <c r="N72" i="9" s="1"/>
  <c r="C111" i="9"/>
  <c r="C104" i="9" s="1"/>
  <c r="D73" i="9"/>
  <c r="N73" i="9" s="1"/>
  <c r="C90" i="9"/>
  <c r="C82" i="9"/>
  <c r="C81" i="9" s="1"/>
  <c r="C85" i="9" s="1"/>
  <c r="C86" i="9" s="1"/>
  <c r="D72" i="9" s="1"/>
  <c r="B4" i="44" l="1"/>
  <c r="B3" i="44"/>
  <c r="Q67" i="15"/>
  <c r="Q76" i="15" s="1"/>
  <c r="Q63" i="15"/>
  <c r="E14" i="66"/>
  <c r="C97" i="9"/>
  <c r="C98" i="9" s="1"/>
  <c r="E98" i="9" s="1"/>
  <c r="E99" i="9" s="1"/>
  <c r="E44" i="9"/>
  <c r="F44" i="9"/>
  <c r="N69" i="9"/>
  <c r="M84" i="9" s="1"/>
  <c r="N84" i="9" s="1"/>
  <c r="O39" i="9"/>
  <c r="R6" i="54" s="1"/>
  <c r="B50" i="63" s="1"/>
  <c r="D44" i="9"/>
  <c r="C113" i="9"/>
  <c r="K29" i="9" l="1"/>
  <c r="K30" i="9" s="1"/>
  <c r="M87" i="9"/>
  <c r="N87" i="9" s="1"/>
  <c r="M86" i="9"/>
  <c r="N86" i="9" s="1"/>
  <c r="M88" i="9"/>
  <c r="N88" i="9" s="1"/>
  <c r="M85" i="9"/>
  <c r="N85" i="9" s="1"/>
  <c r="M83" i="9"/>
  <c r="N83" i="9" s="1"/>
  <c r="C99" i="9"/>
  <c r="C114" i="9"/>
  <c r="E114" i="9" s="1"/>
  <c r="E115" i="9" s="1"/>
  <c r="N89" i="9" l="1"/>
  <c r="O89" i="9" s="1"/>
  <c r="C115" i="9"/>
  <c r="D76" i="9" s="1"/>
  <c r="D74" i="9" s="1"/>
  <c r="N74" i="9" s="1"/>
  <c r="O77" i="9" s="1"/>
  <c r="O78" i="9" l="1"/>
  <c r="Q77" i="9"/>
  <c r="O79" i="9"/>
  <c r="O80" i="9" l="1"/>
  <c r="C46" i="9"/>
  <c r="O81" i="9"/>
  <c r="E46" i="9" l="1"/>
  <c r="K33" i="9"/>
  <c r="O41" i="9"/>
  <c r="R8" i="54" s="1"/>
  <c r="B54" i="63" s="1"/>
  <c r="D46" i="9"/>
  <c r="I14" i="66"/>
  <c r="F46" i="9"/>
  <c r="K34" i="9" l="1"/>
  <c r="G18" i="66" l="1"/>
  <c r="E18" i="66"/>
  <c r="F18" i="66"/>
  <c r="F17" i="66" l="1"/>
  <c r="G17" i="66"/>
  <c r="E17" i="66"/>
  <c r="E15" i="66" l="1"/>
  <c r="F15" i="66"/>
  <c r="G15" i="66"/>
  <c r="F19" i="66" l="1"/>
  <c r="G19" i="66"/>
  <c r="B6" i="66" s="1"/>
  <c r="E19" i="66"/>
  <c r="B5" i="66"/>
  <c r="D5" i="66" l="1"/>
  <c r="C5" i="66"/>
  <c r="C6" i="66"/>
  <c r="D6" i="66"/>
  <c r="B8" i="66" l="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<sst xmlns="http://schemas.openxmlformats.org/spreadsheetml/2006/main" count="7648" uniqueCount="3329">
  <si>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</si>
  <si>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</si>
  <si>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</si>
  <si>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</si>
  <si>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</si>
  <si>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</si>
  <si>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</si>
  <si>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</si>
  <si>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</si>
  <si>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</si>
  <si>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</si>
  <si>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</si>
  <si>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</si>
  <si>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</si>
  <si>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</si>
  <si>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</si>
  <si>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</si>
  <si>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</si>
  <si>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</si>
  <si>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</si>
  <si>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</si>
  <si>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</si>
  <si>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</si>
  <si>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</si>
  <si>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</si>
  <si>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</si>
  <si>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</si>
  <si>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</si>
  <si>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</si>
  <si>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</si>
  <si>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</si>
  <si>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</si>
  <si>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</si>
  <si>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</si>
  <si>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</si>
  <si>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</si>
  <si>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</si>
  <si>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</si>
  <si>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</si>
  <si>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</si>
  <si>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</si>
  <si>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</si>
  <si>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</si>
  <si>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</si>
  <si>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</si>
  <si>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</si>
  <si>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</si>
  <si>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</si>
  <si>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</si>
  <si>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</si>
  <si>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</si>
  <si>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</si>
  <si>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</si>
  <si>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</si>
  <si>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</si>
  <si>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</si>
  <si>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</si>
  <si>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</si>
  <si>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</si>
  <si>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</si>
  <si>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</si>
  <si>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</si>
  <si>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</si>
  <si>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</si>
  <si>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</si>
  <si>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</si>
  <si>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</si>
  <si>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</si>
  <si>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</si>
  <si>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</si>
  <si>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</si>
  <si>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</si>
  <si>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</si>
  <si>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</si>
  <si>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</si>
  <si>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</si>
  <si>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</si>
  <si>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</si>
  <si>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</si>
  <si>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</si>
  <si>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</si>
  <si>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</si>
  <si>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</si>
  <si>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</si>
  <si>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</si>
  <si>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</si>
  <si>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</si>
  <si>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</si>
  <si>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</si>
  <si>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</si>
  <si>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</si>
  <si>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</si>
  <si>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</si>
  <si>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</si>
  <si>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</si>
  <si>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</si>
  <si>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</si>
  <si>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</si>
  <si>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</si>
  <si>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</si>
  <si>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</si>
  <si>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</si>
  <si>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</si>
  <si>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</si>
  <si>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</si>
  <si>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</si>
  <si>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</si>
  <si>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</si>
  <si>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</si>
  <si>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</si>
  <si>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</si>
  <si>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</si>
  <si>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</si>
  <si>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</si>
  <si>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</si>
  <si>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</si>
  <si>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</si>
  <si>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</si>
  <si>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</si>
  <si>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</si>
  <si>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</si>
  <si>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</si>
  <si>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</si>
  <si>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</si>
  <si>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</si>
  <si>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</si>
  <si>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</si>
  <si>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</si>
  <si>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</si>
  <si>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</si>
  <si>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</si>
  <si>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</si>
  <si>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</si>
  <si>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</si>
  <si>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</si>
  <si>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</si>
  <si>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</si>
  <si>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</si>
  <si>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</si>
  <si>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</si>
  <si>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</si>
  <si>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</si>
  <si>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</si>
  <si>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</si>
  <si>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</si>
  <si>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</si>
  <si>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</si>
  <si>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</si>
  <si>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</si>
  <si>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</si>
  <si>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</si>
  <si>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</si>
  <si>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</si>
  <si>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</si>
  <si>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</si>
  <si>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</si>
  <si>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</si>
  <si>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</si>
  <si>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</si>
  <si>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</si>
  <si>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</si>
  <si>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</si>
  <si>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</si>
  <si>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</si>
  <si>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</si>
  <si>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</si>
  <si>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</si>
  <si>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</si>
  <si>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</si>
  <si>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</si>
  <si>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</si>
  <si>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</si>
  <si>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</si>
  <si>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</si>
  <si>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</si>
  <si>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</si>
  <si>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</si>
  <si>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</si>
  <si>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</si>
  <si>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</si>
  <si>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</si>
  <si>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</si>
  <si>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</si>
  <si>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</si>
  <si>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</si>
  <si>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</si>
  <si>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</si>
  <si>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</si>
  <si>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</si>
  <si>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</si>
  <si>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</si>
  <si>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</si>
  <si>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</si>
  <si>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</si>
  <si>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</si>
  <si>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</si>
  <si>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</si>
  <si>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</si>
  <si>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</si>
  <si>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</si>
  <si>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</si>
  <si>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</si>
  <si>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</si>
  <si>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</si>
  <si>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</si>
  <si>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</si>
  <si>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</si>
  <si>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</si>
  <si>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</si>
  <si>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</si>
  <si>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</si>
  <si>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</si>
  <si>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</si>
  <si>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</si>
  <si>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</si>
  <si>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</si>
  <si>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</si>
  <si>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</si>
  <si>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</si>
  <si>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</si>
  <si>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</si>
  <si>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</si>
  <si>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</si>
  <si>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</si>
  <si>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</si>
  <si>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</si>
  <si>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</si>
  <si>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</si>
  <si>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</si>
  <si>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</si>
  <si>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</si>
  <si>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</si>
  <si>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</si>
  <si>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</si>
  <si>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</si>
  <si>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</si>
  <si>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</si>
  <si>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</si>
  <si>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</si>
  <si>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</si>
  <si>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</si>
  <si>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</si>
  <si>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</si>
  <si>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</si>
  <si>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</si>
  <si>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</si>
  <si>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</si>
  <si>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</si>
  <si>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</si>
  <si>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</si>
  <si>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</si>
  <si>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</si>
  <si>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</si>
  <si>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</si>
  <si>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</si>
  <si>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</si>
  <si>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</si>
  <si>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</si>
  <si>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</si>
  <si>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</si>
  <si>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</si>
  <si>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</si>
  <si>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</si>
  <si>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</si>
  <si>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</si>
  <si>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</si>
  <si>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</si>
  <si>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</si>
  <si>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</si>
  <si>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</si>
  <si>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</si>
  <si>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</si>
  <si>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</si>
  <si>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</si>
  <si>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</si>
  <si>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</si>
  <si>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</si>
  <si>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</si>
  <si>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</si>
  <si>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</si>
  <si>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</si>
  <si>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</si>
  <si>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</si>
  <si>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</si>
  <si>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</si>
  <si>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</si>
  <si>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</si>
  <si>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</si>
  <si>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</si>
  <si>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</si>
  <si>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</si>
  <si>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</si>
  <si>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</si>
  <si>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</si>
  <si>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</si>
  <si>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</si>
  <si>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</si>
  <si>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</si>
  <si>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</si>
  <si>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</si>
  <si>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</si>
  <si>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</si>
  <si>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</si>
  <si>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</si>
  <si>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</si>
  <si>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</si>
  <si>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</si>
  <si>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</si>
  <si>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</si>
  <si>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</si>
  <si>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</si>
  <si>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</si>
  <si>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</si>
  <si>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</si>
  <si>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</si>
  <si>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</si>
  <si>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</si>
  <si>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</si>
  <si>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</si>
  <si>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</si>
  <si>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</si>
  <si>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</si>
  <si>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</si>
  <si>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</si>
  <si>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</si>
  <si>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</si>
  <si>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</si>
  <si>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</si>
  <si>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</si>
  <si>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</si>
  <si>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</si>
  <si>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</si>
  <si>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</si>
  <si>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</si>
  <si>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</si>
  <si>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</si>
  <si>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</si>
  <si>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</si>
  <si>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</si>
  <si>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</si>
  <si>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</si>
  <si>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</si>
  <si>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</si>
  <si>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</si>
  <si>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</si>
  <si>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</si>
  <si>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</si>
  <si>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</si>
  <si>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</si>
  <si>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</si>
  <si>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</si>
  <si>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</si>
  <si>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</si>
  <si>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</si>
  <si>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</si>
  <si>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</si>
  <si>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</si>
  <si>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</si>
  <si>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</si>
  <si>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</si>
  <si>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</si>
  <si>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</si>
  <si>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</si>
  <si>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</si>
  <si>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</si>
  <si>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</si>
  <si>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</si>
  <si>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</si>
  <si>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</si>
  <si>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</si>
  <si>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</si>
  <si>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</si>
  <si>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</si>
  <si>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</si>
  <si>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</si>
  <si>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</si>
  <si>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</si>
  <si>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</si>
  <si>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</si>
  <si>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</si>
  <si>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</si>
  <si>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</si>
  <si>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</si>
  <si>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</si>
  <si>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</si>
  <si>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</si>
  <si>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</si>
  <si>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</si>
  <si>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</si>
  <si>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</si>
  <si>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</si>
  <si>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</si>
  <si>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</si>
  <si>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</si>
  <si>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</si>
  <si>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</si>
  <si>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</si>
  <si>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</si>
  <si>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</si>
  <si>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</si>
  <si>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</si>
  <si>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</si>
  <si>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</si>
  <si>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</si>
  <si>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</si>
  <si>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</si>
  <si>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</si>
  <si>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</si>
  <si>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</si>
  <si>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</si>
  <si>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</si>
  <si>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</si>
  <si>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</si>
  <si>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</si>
  <si>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</si>
  <si>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</si>
  <si>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</si>
  <si>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</si>
  <si>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</si>
  <si>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</si>
  <si>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</si>
  <si>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</si>
  <si>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</si>
  <si>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</si>
  <si>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</si>
  <si>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</si>
  <si>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</si>
  <si>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</si>
  <si>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</si>
  <si>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</si>
  <si>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</si>
  <si>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</si>
  <si>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</si>
  <si>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</si>
  <si>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</si>
  <si>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</si>
  <si>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</si>
  <si>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</si>
  <si>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</si>
  <si>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</si>
  <si>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</si>
  <si>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</si>
  <si>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</si>
  <si>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</si>
  <si>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</si>
  <si>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</si>
  <si>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</si>
  <si>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</si>
  <si>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</si>
  <si>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</si>
  <si>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</si>
  <si>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</si>
  <si>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</si>
  <si>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</si>
  <si>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</si>
  <si>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</si>
  <si>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</si>
  <si>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</si>
  <si>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</si>
  <si>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</si>
  <si>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</si>
  <si>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</si>
  <si>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</si>
  <si>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</si>
  <si>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</si>
  <si>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</si>
  <si>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</si>
  <si>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</si>
  <si>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</si>
  <si>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</si>
  <si>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</si>
  <si>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</si>
  <si>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</si>
  <si>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</si>
  <si>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</si>
  <si>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</si>
  <si>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</si>
  <si>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</si>
  <si>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</si>
  <si>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</si>
  <si>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</si>
  <si>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</si>
  <si>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</si>
  <si>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</si>
  <si>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</si>
  <si>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</si>
  <si>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</si>
  <si>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</si>
  <si>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</si>
  <si>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</si>
  <si>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</si>
  <si>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</si>
  <si>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</si>
  <si>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</si>
  <si>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</si>
  <si>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</si>
  <si>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</si>
  <si>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</si>
  <si>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</si>
  <si>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</si>
  <si>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</si>
  <si>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</si>
  <si>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</si>
  <si>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</si>
  <si>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</si>
  <si>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</si>
  <si>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</si>
  <si>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</si>
  <si>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</si>
  <si>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</si>
  <si>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</si>
  <si>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</si>
  <si>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</si>
  <si>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</si>
  <si>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</si>
  <si>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</si>
  <si>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</si>
  <si>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</si>
  <si>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</si>
  <si>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</si>
  <si>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</si>
  <si>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</si>
  <si>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</si>
  <si>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</si>
  <si>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</si>
  <si>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</si>
  <si>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</si>
  <si>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</si>
  <si>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</si>
  <si>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</si>
  <si>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</si>
  <si>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</si>
  <si>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</si>
  <si>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</si>
  <si>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</si>
  <si>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</si>
  <si>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</si>
  <si>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</si>
  <si>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</si>
  <si>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</si>
  <si>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</si>
  <si>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</si>
  <si>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</si>
  <si>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</si>
  <si>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</si>
  <si>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</si>
  <si>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</si>
  <si>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</si>
  <si>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</si>
  <si>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</si>
  <si>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</si>
  <si>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</si>
  <si>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</si>
  <si>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</si>
  <si>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</si>
  <si>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</si>
  <si>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</si>
  <si>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</si>
  <si>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</si>
  <si>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</si>
  <si>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</si>
  <si>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</si>
  <si>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</si>
  <si>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</si>
  <si>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</si>
  <si>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</si>
  <si>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</si>
  <si>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</si>
  <si>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</si>
  <si>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</si>
  <si>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</si>
  <si>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</si>
  <si>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</si>
  <si>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</si>
  <si>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</si>
  <si>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</si>
  <si>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</si>
  <si>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</si>
  <si>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</si>
  <si>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</si>
  <si>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</si>
  <si>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</si>
  <si>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</si>
  <si>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</si>
  <si>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</si>
  <si>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</si>
  <si>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</si>
  <si>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</si>
  <si>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</si>
  <si>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</si>
  <si>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</si>
  <si>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</si>
  <si>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</si>
  <si>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</si>
  <si>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</si>
  <si>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</si>
  <si>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</si>
  <si>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</si>
  <si>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</si>
  <si>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</si>
  <si>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</si>
  <si>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</si>
  <si>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</si>
  <si>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</si>
  <si>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</si>
  <si>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</si>
  <si>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</si>
  <si>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</si>
  <si>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</si>
  <si>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</si>
  <si>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</si>
  <si>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</si>
  <si>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</si>
  <si>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</si>
  <si>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</si>
  <si>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</si>
  <si>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</si>
  <si>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</si>
  <si>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</si>
  <si>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</si>
  <si>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</si>
  <si>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</si>
  <si>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</si>
  <si>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</si>
  <si>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</si>
  <si>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</si>
  <si>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</si>
  <si>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</si>
  <si>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</si>
  <si>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</si>
  <si>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</si>
  <si>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</si>
  <si>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</si>
  <si>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</si>
  <si>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</si>
  <si>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</si>
  <si>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</si>
  <si>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</si>
  <si>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</si>
  <si>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</si>
  <si>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</si>
  <si>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</si>
  <si>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</si>
  <si>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</si>
  <si>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</si>
  <si>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</si>
  <si>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</si>
  <si>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</si>
  <si>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</si>
  <si>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</si>
  <si>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</si>
  <si>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</si>
  <si>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</si>
  <si>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</si>
  <si>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</si>
  <si>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</si>
  <si>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</si>
  <si>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</si>
  <si>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</si>
  <si>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</si>
  <si>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</si>
  <si>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</si>
  <si>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</si>
  <si>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</si>
  <si>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</si>
  <si>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</si>
  <si>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</si>
  <si>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</si>
  <si>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</si>
  <si>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</si>
  <si>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</si>
  <si>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</si>
  <si>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</si>
  <si>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</si>
  <si>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</si>
  <si>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</si>
  <si>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</si>
  <si>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</si>
  <si>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</si>
  <si>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</si>
  <si>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</si>
  <si>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</si>
  <si>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</si>
  <si>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</si>
  <si>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</si>
  <si>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</si>
  <si>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</si>
  <si>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</si>
  <si>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</si>
  <si>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</si>
  <si>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</si>
  <si>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</si>
  <si>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</si>
  <si>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</si>
  <si>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</si>
  <si>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</si>
  <si>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</si>
  <si>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</si>
  <si>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</si>
  <si>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</si>
  <si>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</si>
  <si>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</si>
  <si>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</si>
  <si>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</si>
  <si>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</si>
  <si>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</si>
  <si>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</si>
  <si>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</si>
  <si>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</si>
  <si>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</si>
  <si>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</si>
  <si>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</si>
  <si>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</si>
  <si>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</si>
  <si>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</si>
  <si>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</si>
  <si>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</si>
  <si>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</si>
  <si>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</si>
  <si>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</si>
  <si>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</si>
  <si>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</si>
  <si>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</si>
  <si>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</si>
  <si>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</si>
  <si>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</si>
  <si>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</si>
  <si>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</si>
  <si>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</si>
  <si>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</si>
  <si>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</si>
  <si>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</si>
  <si>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</si>
  <si>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</si>
  <si>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</si>
  <si>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</si>
  <si>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</si>
  <si>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</si>
  <si>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</si>
  <si>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</si>
  <si>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</si>
  <si>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</si>
  <si>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</si>
  <si>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</si>
  <si>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</si>
  <si>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</si>
  <si>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</si>
  <si>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</si>
  <si>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</si>
  <si>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</si>
  <si>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</si>
  <si>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</si>
  <si>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</si>
  <si>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</si>
  <si>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</si>
  <si>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</si>
  <si>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</si>
  <si>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</si>
  <si>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</si>
  <si>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</si>
  <si>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</si>
  <si>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</si>
  <si>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</si>
  <si>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</si>
  <si>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</si>
  <si>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</si>
  <si>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</si>
  <si>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</si>
  <si>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</si>
  <si>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</si>
  <si>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</si>
  <si>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</si>
  <si>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</si>
  <si>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</si>
  <si>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</si>
  <si>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</si>
  <si>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</si>
  <si>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</si>
  <si>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</si>
  <si>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</si>
  <si>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</si>
  <si>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</si>
  <si>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</si>
  <si>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</si>
  <si>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</si>
  <si>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</si>
  <si>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</si>
  <si>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</si>
  <si>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</si>
  <si>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</si>
  <si>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</si>
  <si>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</si>
  <si>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</si>
  <si>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</si>
  <si>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</si>
  <si>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</si>
  <si>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</si>
  <si>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</si>
  <si>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</si>
  <si>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</si>
  <si>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</si>
  <si>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</si>
  <si>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</si>
  <si>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</si>
  <si>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</si>
  <si>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</si>
  <si>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</si>
  <si>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</si>
  <si>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</si>
  <si>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</si>
  <si>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</si>
  <si>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</si>
  <si>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</si>
  <si>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</si>
  <si>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</si>
  <si>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</si>
  <si>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</si>
  <si>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</si>
  <si>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</si>
  <si>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</si>
  <si>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</si>
  <si>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</si>
  <si>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</si>
  <si>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</si>
  <si>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</si>
  <si>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</si>
  <si>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</si>
  <si>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</si>
  <si>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</si>
  <si>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</si>
  <si>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</si>
  <si>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</si>
  <si>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</si>
  <si>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</si>
  <si>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</si>
  <si>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</si>
  <si>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</si>
  <si>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</si>
  <si>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</si>
  <si>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</si>
  <si>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</si>
  <si>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</si>
  <si>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</si>
  <si>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</si>
  <si>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</si>
  <si>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</si>
  <si>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</si>
  <si>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</si>
  <si>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</si>
  <si>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</si>
  <si>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</si>
  <si>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</si>
  <si>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</si>
  <si>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</si>
  <si>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</si>
  <si>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</si>
  <si>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</si>
  <si>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</si>
  <si>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</si>
  <si>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</si>
  <si>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</si>
  <si>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</si>
  <si>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</si>
  <si>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</si>
  <si>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</si>
  <si>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</si>
  <si>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</si>
  <si>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</si>
  <si>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</si>
  <si>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</si>
  <si>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</si>
  <si>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</si>
  <si>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</si>
  <si>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</si>
  <si>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</si>
  <si>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</si>
  <si>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</si>
  <si>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</si>
  <si>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</si>
  <si>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</si>
  <si>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</si>
  <si>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</si>
  <si>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</si>
  <si>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</si>
  <si>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</si>
  <si>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</si>
  <si>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</si>
  <si>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</si>
  <si>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</si>
  <si>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</si>
  <si>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</si>
  <si>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</si>
  <si>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</si>
  <si>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</si>
  <si>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</si>
  <si>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</si>
  <si>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</si>
  <si>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</si>
  <si>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</si>
  <si>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</si>
  <si>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</si>
  <si>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</si>
  <si>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</si>
  <si>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</si>
  <si>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</si>
  <si>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</si>
  <si>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</si>
  <si>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</si>
  <si>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</si>
  <si>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</si>
  <si>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</si>
  <si>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</si>
  <si>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</si>
  <si>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</si>
  <si>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</si>
  <si>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</si>
  <si>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</si>
  <si>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</si>
  <si>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</si>
  <si>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</si>
  <si>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</si>
  <si>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</si>
  <si>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</si>
  <si>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</si>
  <si>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</si>
  <si>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</si>
  <si>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</si>
  <si>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</si>
  <si>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</si>
  <si>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</si>
  <si>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</si>
  <si>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</si>
  <si>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</si>
  <si>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</si>
  <si>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</si>
  <si>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</si>
  <si>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</si>
  <si>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</si>
  <si>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</si>
  <si>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</si>
  <si>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</si>
  <si>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</si>
  <si>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</si>
  <si>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</si>
  <si>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</si>
  <si>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</si>
  <si>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</si>
  <si>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</si>
  <si>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</si>
  <si>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</si>
  <si>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</si>
  <si>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</si>
  <si>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</si>
  <si>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</si>
  <si>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</si>
  <si>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</si>
  <si>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</si>
  <si>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</si>
  <si>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</si>
  <si>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</si>
  <si>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</si>
  <si>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</si>
  <si>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</si>
  <si>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</si>
  <si>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</si>
  <si>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</si>
  <si>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</si>
  <si>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</si>
  <si>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</si>
  <si>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</si>
  <si>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</si>
  <si>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</si>
  <si>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</si>
  <si>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</si>
  <si>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</si>
  <si>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</si>
  <si>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</si>
  <si>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</si>
  <si>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</si>
  <si>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</si>
  <si>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</si>
  <si>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</si>
  <si>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</si>
  <si>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</si>
  <si>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</si>
  <si>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</si>
  <si>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</si>
  <si>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</si>
  <si>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</si>
  <si>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</si>
  <si>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</si>
  <si>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</si>
  <si>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</si>
  <si>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</si>
  <si>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</si>
  <si>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</si>
  <si>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</si>
  <si>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</si>
  <si>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</si>
  <si>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</si>
  <si>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</si>
  <si>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</si>
  <si>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</si>
  <si>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</si>
  <si>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</si>
  <si>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</si>
  <si>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</si>
  <si>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</si>
  <si>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</si>
  <si>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</si>
  <si>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</si>
  <si>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</si>
  <si>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</si>
  <si>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</si>
  <si>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</si>
  <si>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</si>
  <si>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</si>
  <si>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</si>
  <si>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</si>
  <si>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</si>
  <si>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</si>
  <si>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</si>
  <si>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</si>
  <si>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</si>
  <si>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</si>
  <si>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</si>
  <si>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</si>
  <si>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</si>
  <si>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</si>
  <si>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</si>
  <si>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</si>
  <si>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</si>
  <si>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</si>
  <si>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</si>
  <si>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</si>
  <si>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</si>
  <si>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</si>
  <si>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</si>
  <si>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</si>
  <si>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</si>
  <si>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</si>
  <si>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</si>
  <si>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</si>
  <si>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</si>
  <si>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</si>
  <si>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</si>
  <si>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</si>
  <si>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</si>
  <si>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</si>
  <si>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</si>
  <si>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</si>
  <si>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</si>
  <si>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</si>
  <si>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</si>
  <si>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</si>
  <si>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</si>
  <si>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</si>
  <si>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</si>
  <si>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</si>
  <si>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</si>
  <si>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</si>
  <si>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</si>
  <si>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</si>
  <si>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</si>
  <si>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</si>
  <si>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</si>
  <si>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</si>
  <si>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</si>
  <si>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</si>
  <si>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</si>
  <si>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</si>
  <si>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</si>
  <si>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</si>
  <si>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</si>
  <si>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</si>
  <si>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</si>
  <si>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</si>
  <si>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</si>
  <si>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</si>
  <si>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</si>
  <si>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</si>
  <si>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</si>
  <si>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</si>
  <si>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</si>
  <si>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</si>
  <si>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</si>
  <si>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</si>
  <si>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</si>
  <si>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</si>
  <si>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</si>
  <si>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</si>
  <si>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</si>
  <si>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</si>
  <si>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</si>
  <si>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</si>
  <si>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</si>
  <si>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</si>
  <si>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</si>
  <si>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</si>
  <si>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</si>
  <si>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</si>
  <si>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</si>
  <si>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</si>
  <si>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</si>
  <si>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</si>
  <si>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</si>
  <si>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</si>
  <si>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</si>
  <si>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</si>
  <si>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</si>
  <si>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</si>
  <si>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</si>
  <si>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</si>
  <si>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</si>
  <si>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</si>
  <si>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</si>
  <si>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</si>
  <si>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</si>
  <si>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</si>
  <si>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</si>
  <si>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</si>
  <si>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</si>
  <si>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</si>
  <si>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</si>
  <si>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</si>
  <si>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</si>
  <si>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</si>
  <si>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</si>
  <si>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</si>
  <si>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</si>
  <si>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</si>
  <si>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</si>
  <si>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</si>
  <si>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</si>
  <si>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</si>
  <si>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</si>
  <si>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</si>
  <si>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</si>
  <si>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</si>
  <si>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</si>
  <si>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</si>
  <si>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</si>
  <si>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</si>
  <si>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</si>
  <si>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</si>
  <si>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</si>
  <si>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</si>
  <si>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</si>
  <si>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</si>
  <si>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</si>
  <si>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</si>
  <si>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</si>
  <si>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</si>
  <si>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</si>
  <si>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</si>
  <si>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</si>
  <si>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</si>
  <si>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</si>
  <si>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</si>
  <si>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</si>
  <si>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</si>
  <si>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</si>
  <si>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</si>
  <si>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</si>
  <si>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</si>
  <si>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</si>
  <si>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</si>
  <si>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</si>
  <si>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</si>
  <si>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</si>
  <si>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</si>
  <si>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</si>
  <si>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</si>
  <si>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</si>
  <si>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</si>
  <si>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</si>
  <si>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</si>
  <si>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</si>
  <si>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</si>
  <si>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</si>
  <si>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</si>
  <si>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</si>
  <si>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</si>
  <si>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</si>
  <si>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</si>
  <si>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</si>
  <si>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</si>
  <si>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</si>
  <si>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</si>
  <si>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</si>
  <si>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</si>
  <si>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</si>
  <si>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</si>
  <si>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</si>
  <si>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</si>
  <si>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</si>
  <si>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</si>
  <si>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</si>
  <si>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</si>
  <si>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</si>
  <si>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</si>
  <si>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</si>
  <si>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</si>
  <si>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</si>
  <si>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</si>
  <si>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</si>
  <si>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</si>
  <si>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</si>
  <si>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</si>
  <si>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</si>
  <si>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</si>
  <si>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</si>
  <si>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</si>
  <si>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</si>
  <si>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</si>
  <si>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</si>
  <si>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</si>
  <si>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</si>
  <si>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</si>
  <si>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</si>
  <si>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</si>
  <si>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</si>
  <si>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</si>
  <si>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</si>
  <si>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</si>
  <si>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</si>
  <si>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</si>
  <si>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</si>
  <si>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</si>
  <si>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</si>
  <si>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</si>
  <si>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</si>
  <si>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</si>
  <si>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</si>
  <si>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</si>
  <si>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</si>
  <si>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</si>
  <si>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</si>
  <si>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</si>
  <si>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</si>
  <si>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</si>
  <si>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</si>
  <si>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</si>
  <si>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</si>
  <si>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</si>
  <si>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</si>
  <si>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</si>
  <si>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</si>
  <si>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</si>
  <si>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</si>
  <si>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</si>
  <si>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</si>
  <si>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</si>
  <si>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</si>
  <si>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</si>
  <si>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</si>
  <si>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</si>
  <si>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</si>
  <si>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</si>
  <si>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</si>
  <si>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</si>
  <si>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</si>
  <si>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</si>
  <si>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</si>
  <si>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</si>
  <si>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</si>
  <si>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</si>
  <si>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</si>
  <si>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</si>
  <si>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</si>
  <si>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</si>
  <si>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</si>
  <si>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</si>
  <si>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</si>
  <si>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</si>
  <si>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</si>
  <si>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</si>
  <si>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</si>
  <si>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</si>
  <si>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</si>
  <si>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</si>
  <si>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</si>
  <si>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</si>
  <si>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</si>
  <si>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</si>
  <si>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</si>
  <si>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</si>
  <si>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</si>
  <si>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</si>
  <si>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</si>
  <si>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</si>
  <si>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</si>
  <si>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</si>
  <si>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</si>
  <si>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</si>
  <si>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</si>
  <si>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</si>
  <si>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</si>
  <si>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</si>
  <si>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</si>
  <si>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</si>
  <si>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</si>
  <si>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</si>
  <si>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</si>
  <si>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</si>
  <si>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</si>
  <si>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</si>
  <si>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</si>
  <si>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</si>
  <si>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</si>
  <si>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</si>
  <si>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</si>
  <si>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</si>
  <si>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</si>
  <si>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</si>
  <si>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</si>
  <si>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</si>
  <si>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</si>
  <si>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</si>
  <si>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</si>
  <si>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</si>
  <si>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</si>
  <si>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</si>
  <si>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</si>
  <si>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</si>
  <si>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</si>
  <si>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</si>
  <si>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</si>
  <si>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</si>
  <si>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</si>
  <si>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</si>
  <si>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</si>
  <si>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</si>
  <si>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</si>
  <si>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</si>
  <si>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</si>
  <si>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</si>
  <si>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</si>
  <si>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</si>
  <si>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</si>
  <si>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</si>
  <si>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</si>
  <si>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</si>
  <si>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</si>
  <si>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</si>
  <si>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</si>
  <si>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</si>
  <si>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</si>
  <si>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</si>
  <si>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</si>
  <si>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</si>
  <si>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</si>
  <si>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</si>
  <si>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</si>
  <si>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</si>
  <si>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</si>
  <si>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</si>
  <si>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</si>
  <si>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</si>
  <si>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</si>
  <si>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</si>
  <si>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</si>
  <si>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</si>
  <si>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</si>
  <si>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</si>
  <si>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</si>
  <si>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</si>
  <si>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</si>
  <si>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</si>
  <si>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</si>
  <si>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</si>
  <si>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</si>
  <si>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</si>
  <si>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</si>
  <si>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</si>
  <si>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</si>
  <si>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</si>
  <si>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</si>
  <si>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</si>
  <si>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</si>
  <si>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</si>
  <si>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</si>
  <si>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</si>
  <si>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</si>
  <si>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</si>
  <si>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</si>
  <si>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</si>
  <si>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</si>
  <si>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</si>
  <si>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</si>
  <si>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</si>
  <si>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</si>
  <si>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</si>
  <si>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</si>
  <si>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</si>
  <si>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</si>
  <si>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</si>
  <si>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</si>
  <si>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</si>
  <si>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</si>
  <si>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</si>
  <si>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</si>
  <si>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</si>
  <si>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</si>
  <si>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</si>
  <si>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</si>
  <si>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</si>
  <si>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</si>
  <si>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</si>
  <si>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</si>
  <si>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</si>
  <si>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</si>
  <si>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</si>
  <si>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</si>
  <si>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</si>
  <si>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</si>
  <si>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</si>
  <si>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</si>
  <si>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</si>
  <si>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</si>
  <si>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</si>
  <si>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</si>
  <si>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</si>
  <si>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</si>
  <si>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</si>
  <si>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</si>
  <si>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</si>
  <si>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</si>
  <si>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</si>
  <si>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</si>
  <si>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</si>
  <si>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</si>
  <si>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</si>
  <si>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</si>
  <si>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</si>
  <si>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</si>
  <si>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</si>
  <si>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</si>
  <si>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</si>
  <si>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</si>
  <si>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</si>
  <si>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</si>
  <si>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</si>
  <si>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</si>
  <si>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</si>
  <si>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</si>
  <si>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</si>
  <si>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</si>
  <si>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</si>
  <si>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</si>
  <si>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</si>
  <si>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</si>
  <si>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</si>
  <si>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</si>
  <si>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</si>
  <si>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</si>
  <si>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</si>
  <si>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</si>
  <si>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</si>
  <si>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</si>
  <si>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</si>
  <si>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</si>
  <si>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</si>
  <si>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</si>
  <si>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</si>
  <si>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</si>
  <si>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</si>
  <si>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</si>
  <si>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</si>
  <si>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</si>
  <si>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</si>
  <si>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</si>
  <si>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</si>
  <si>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</si>
  <si>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</si>
  <si>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</si>
  <si>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</si>
  <si>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</si>
  <si>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</si>
  <si>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</si>
  <si>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</si>
  <si>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</si>
  <si>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</si>
  <si>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</si>
  <si>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</si>
  <si>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</si>
  <si>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</si>
  <si>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</si>
  <si>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</si>
  <si>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</si>
  <si>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</si>
  <si>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</si>
  <si>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</si>
  <si>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</si>
  <si>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</si>
  <si>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</si>
  <si>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</si>
  <si>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</si>
  <si>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</si>
  <si>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</si>
  <si>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</si>
  <si>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</si>
  <si>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</si>
  <si>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</si>
  <si>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</si>
  <si>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</si>
  <si>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</si>
  <si>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</si>
  <si>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</si>
  <si>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</si>
  <si>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</si>
  <si>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</si>
  <si>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</si>
  <si>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</si>
  <si>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</si>
  <si>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</si>
  <si>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</si>
  <si>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</si>
  <si>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</si>
  <si>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</si>
  <si>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</si>
  <si>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</si>
  <si>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</si>
  <si>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</si>
  <si>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</si>
  <si>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</si>
  <si>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</si>
  <si>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</si>
  <si>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</si>
  <si>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</si>
  <si>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</si>
  <si>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</si>
  <si>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</si>
  <si>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</si>
  <si>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</si>
  <si>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</si>
  <si>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</si>
  <si>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</si>
  <si>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</si>
  <si>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</si>
  <si>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</si>
  <si>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</si>
  <si>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</si>
  <si>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</si>
  <si>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</si>
  <si>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</si>
  <si>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</si>
  <si>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</si>
  <si>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</si>
  <si>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</si>
  <si>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</si>
  <si>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</si>
  <si>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</si>
  <si>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</si>
  <si>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</si>
  <si>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</si>
  <si>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</si>
  <si>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</si>
  <si>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</si>
  <si>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</si>
  <si>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</si>
  <si>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</si>
  <si>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</si>
  <si>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</si>
  <si>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</si>
  <si>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</si>
  <si>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</si>
  <si>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</si>
  <si>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</si>
  <si>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</si>
  <si>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</si>
  <si>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</si>
  <si>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</si>
  <si>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</si>
  <si>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</si>
  <si>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</si>
  <si>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</si>
  <si>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</si>
  <si>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</si>
  <si>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</si>
  <si>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</si>
  <si>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</si>
  <si>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</si>
  <si>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</si>
  <si>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</si>
  <si>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</si>
  <si>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</si>
  <si>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</si>
  <si>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</si>
  <si>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</si>
  <si>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</si>
  <si>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</si>
  <si>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</si>
  <si>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</si>
  <si>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</si>
  <si>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</si>
  <si>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</si>
  <si>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</si>
  <si>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</si>
  <si>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</si>
  <si>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</si>
  <si>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</si>
  <si>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</si>
  <si>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</si>
  <si>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</si>
  <si>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</si>
  <si>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</si>
  <si>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</si>
  <si>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</si>
  <si>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</si>
  <si>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</si>
  <si>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</si>
  <si>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</si>
  <si>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</si>
  <si>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</si>
  <si>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</si>
  <si>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</si>
  <si>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</si>
  <si>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</si>
  <si>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</si>
  <si>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</si>
  <si>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</si>
  <si>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</si>
  <si>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</si>
  <si>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</si>
  <si>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</si>
  <si>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</si>
  <si>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</si>
  <si>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</si>
  <si>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</si>
  <si>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</si>
  <si>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</si>
  <si>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</si>
  <si>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</si>
  <si>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</si>
  <si>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</si>
  <si>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</si>
  <si>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</si>
  <si>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</si>
  <si>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</si>
  <si>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</si>
  <si>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</si>
  <si>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</si>
  <si>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</si>
  <si>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</si>
  <si>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</si>
  <si>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</si>
  <si>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</si>
  <si>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</si>
  <si>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</si>
  <si>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</si>
  <si>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</si>
  <si>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</si>
  <si>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</si>
  <si>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</si>
  <si>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</si>
  <si>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</si>
  <si>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</si>
  <si>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</si>
  <si>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</si>
  <si>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</si>
  <si>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</si>
  <si>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</si>
  <si>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</si>
  <si>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</si>
  <si>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</si>
  <si>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</si>
  <si>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</si>
  <si>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</si>
  <si>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</si>
  <si>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</si>
  <si>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</si>
  <si>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</si>
  <si>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</si>
  <si>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</si>
  <si>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</si>
  <si>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</si>
  <si>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</si>
  <si>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</si>
  <si>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</si>
  <si>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</si>
  <si>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</si>
  <si>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</si>
  <si>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</si>
  <si>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</si>
  <si>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</si>
  <si>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</si>
  <si>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</si>
  <si>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</si>
  <si>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</si>
  <si>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</si>
  <si>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</si>
  <si>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</si>
  <si>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</si>
  <si>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</si>
  <si>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</si>
  <si>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</si>
  <si>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</si>
  <si>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</si>
  <si>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</si>
  <si>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</si>
  <si>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</si>
  <si>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</si>
  <si>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</si>
  <si>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</si>
  <si>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</si>
  <si>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</si>
  <si>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</si>
  <si>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</si>
  <si>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</si>
  <si>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</si>
  <si>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</si>
  <si>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</si>
  <si>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</si>
  <si>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</si>
  <si>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</si>
  <si>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</si>
  <si>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</si>
  <si>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</si>
  <si>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</si>
  <si>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</si>
  <si>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</si>
  <si>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</si>
  <si>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</si>
  <si>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</si>
  <si>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</si>
  <si>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</si>
  <si>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</si>
  <si>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</si>
  <si>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</si>
  <si>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</si>
  <si>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</si>
  <si>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</si>
  <si>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</si>
  <si>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</si>
  <si>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</si>
  <si>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</si>
  <si>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</si>
  <si>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</si>
  <si>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</si>
  <si>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</si>
  <si>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</si>
  <si>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</si>
  <si>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</si>
  <si>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</si>
  <si>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</si>
  <si>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</si>
  <si>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</si>
  <si>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</si>
  <si>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</si>
  <si>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</si>
  <si>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</si>
  <si>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</si>
  <si>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</si>
  <si>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</si>
  <si>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</si>
  <si>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</si>
  <si>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</si>
  <si>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</si>
  <si>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</si>
  <si>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</si>
  <si>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</si>
  <si>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</si>
  <si>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</si>
  <si>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</si>
  <si>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</si>
  <si>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</si>
  <si>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</si>
  <si>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</si>
  <si>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</si>
  <si>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</si>
  <si>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</si>
  <si>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</si>
  <si>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</si>
  <si>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</si>
  <si>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</si>
  <si>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</si>
  <si>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</si>
  <si>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</si>
  <si>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</si>
  <si>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</si>
  <si>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</si>
  <si>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</si>
  <si>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</si>
  <si>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</si>
  <si>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</si>
  <si>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</si>
  <si>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</si>
  <si>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</si>
  <si>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</si>
  <si>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</si>
  <si>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</si>
  <si>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</si>
  <si>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</si>
  <si>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</si>
  <si>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</si>
  <si>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</si>
  <si>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</si>
  <si>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</si>
  <si>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</si>
  <si>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</si>
  <si>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</si>
  <si>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</si>
  <si>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</si>
  <si>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</si>
  <si>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</si>
  <si>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</si>
  <si>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</si>
  <si>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</si>
  <si>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</si>
  <si>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</si>
  <si>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</si>
  <si>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</si>
  <si>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</si>
  <si>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</si>
  <si>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</si>
  <si>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</si>
  <si>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</si>
  <si>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</si>
  <si>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</si>
  <si>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</si>
  <si>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</si>
  <si>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</si>
  <si>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</si>
  <si>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</si>
  <si>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</si>
  <si>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</si>
  <si>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</si>
  <si>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</si>
  <si>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</si>
  <si>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</si>
  <si>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</si>
  <si>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</si>
  <si>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</si>
  <si>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</si>
  <si>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</si>
  <si>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</si>
  <si>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</si>
  <si>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</si>
  <si>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</si>
  <si>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</si>
  <si>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</si>
  <si>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</si>
  <si>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</si>
  <si>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</si>
  <si>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</si>
  <si>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</si>
  <si>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</si>
  <si>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</si>
  <si>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</si>
  <si>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</si>
  <si>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</si>
  <si>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</si>
  <si>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</si>
  <si>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</si>
  <si>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</si>
  <si>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</si>
  <si>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</si>
  <si>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</si>
  <si>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</si>
  <si>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</si>
  <si>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</si>
  <si>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</si>
  <si>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</si>
  <si>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</si>
  <si>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</si>
  <si>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</si>
  <si>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</si>
  <si>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</si>
  <si>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</si>
  <si>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</si>
  <si>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</si>
  <si>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</si>
  <si>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</si>
  <si>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</si>
  <si>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</si>
  <si>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</si>
  <si>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</si>
  <si>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</si>
  <si>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</si>
  <si>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</si>
  <si>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</si>
  <si>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</si>
  <si>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</si>
  <si>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</si>
  <si>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</si>
  <si>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</si>
  <si>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</si>
  <si>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</si>
  <si>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</si>
  <si>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</si>
  <si>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</si>
  <si>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</si>
  <si>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</si>
  <si>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</si>
  <si>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</si>
  <si>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</si>
  <si>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</si>
  <si>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</si>
  <si>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</si>
  <si>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</si>
  <si>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</si>
  <si>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</si>
  <si>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</si>
  <si>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</si>
  <si>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</si>
  <si>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</si>
  <si>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</si>
  <si>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</si>
  <si>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</si>
  <si>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</si>
  <si>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</si>
  <si>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</si>
  <si>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</si>
  <si>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</si>
  <si>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</si>
  <si>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</si>
  <si>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</si>
  <si>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</si>
  <si>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</si>
  <si>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</si>
  <si>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</si>
  <si>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</si>
  <si>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</si>
  <si>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</si>
  <si>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</si>
  <si>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</si>
  <si>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</si>
  <si>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</si>
  <si>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</si>
  <si>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</si>
  <si>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</si>
  <si>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</si>
  <si>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</si>
  <si>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</si>
  <si>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</si>
  <si>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</si>
  <si>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</si>
  <si>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</si>
  <si>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</si>
  <si>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</si>
  <si>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</si>
  <si>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</si>
  <si>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</si>
  <si>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</si>
  <si>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</si>
  <si>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</si>
  <si>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</si>
  <si>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</si>
  <si>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</si>
  <si>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</si>
  <si>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</si>
  <si>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</si>
  <si>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</si>
  <si>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</si>
  <si>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</si>
  <si>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</si>
  <si>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</si>
  <si>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</si>
  <si>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</si>
  <si>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</si>
  <si>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</si>
  <si>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</si>
  <si>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</si>
  <si>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</si>
  <si>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</si>
  <si>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</si>
  <si>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</si>
  <si>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</si>
  <si>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</si>
  <si>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</si>
  <si>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</si>
  <si>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</si>
  <si>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</si>
  <si>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</si>
  <si>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</si>
  <si>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</si>
  <si>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</si>
  <si>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</si>
  <si>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</si>
  <si>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</si>
  <si>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</si>
  <si>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</si>
  <si>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</si>
  <si>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</si>
  <si>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</si>
  <si>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</si>
  <si>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</si>
  <si>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</si>
  <si>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</si>
  <si>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</si>
  <si>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</si>
  <si>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</si>
  <si>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</si>
  <si>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</si>
  <si>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</si>
  <si>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</si>
  <si>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</si>
  <si>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</si>
  <si>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</si>
  <si>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</si>
  <si>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</si>
  <si>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</si>
  <si>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</si>
  <si>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</si>
  <si>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</si>
  <si>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</si>
  <si>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</si>
  <si>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</si>
  <si>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</si>
  <si>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</si>
  <si>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</si>
  <si>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</si>
  <si>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</si>
  <si>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</si>
  <si>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</si>
  <si>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</si>
  <si>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</si>
  <si>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</si>
  <si>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</si>
  <si>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</si>
  <si>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</si>
  <si>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</si>
  <si>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</si>
  <si>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</si>
  <si>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</si>
  <si>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</si>
  <si>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</si>
  <si>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</si>
  <si>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</si>
  <si>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</si>
  <si>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</si>
  <si>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</si>
  <si>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</si>
  <si>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</si>
  <si>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</si>
  <si>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</si>
  <si>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</si>
  <si>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</si>
  <si>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</si>
  <si>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</si>
  <si>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</si>
  <si>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</si>
  <si>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</si>
  <si>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</si>
  <si>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</si>
  <si>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</si>
  <si>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</si>
  <si>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</si>
  <si>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</si>
  <si>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</si>
  <si>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</si>
  <si>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</si>
  <si>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</si>
  <si>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</si>
  <si>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</si>
  <si>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</si>
  <si>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</si>
  <si>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</si>
  <si>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</si>
  <si>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</si>
  <si>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</si>
  <si>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</si>
  <si>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</si>
  <si>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</si>
  <si>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</si>
  <si>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</si>
  <si>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</si>
  <si>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</si>
  <si>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</si>
  <si>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</si>
  <si>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</si>
  <si>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</si>
  <si>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</si>
  <si>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</si>
  <si>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</si>
  <si>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</si>
  <si>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</si>
  <si>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</si>
  <si>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</si>
  <si>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</si>
  <si>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</si>
  <si>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</si>
  <si>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</si>
  <si>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</si>
  <si>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</si>
  <si>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</si>
  <si>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</si>
  <si>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</si>
  <si>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</si>
  <si>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</si>
  <si>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</si>
  <si>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</si>
  <si>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</si>
  <si>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</si>
  <si>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</si>
  <si>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</si>
  <si>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</si>
  <si>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</si>
  <si>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</si>
  <si>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</si>
  <si>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</si>
  <si>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</si>
  <si>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</si>
  <si>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</si>
  <si>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</si>
  <si>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</si>
  <si>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</si>
  <si>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</si>
  <si>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</si>
  <si>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</si>
  <si>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</si>
  <si>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</si>
  <si>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</si>
  <si>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</si>
  <si>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</si>
  <si>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</si>
  <si>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</si>
  <si>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</si>
  <si>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</si>
  <si>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</si>
  <si>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</si>
  <si>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</si>
  <si>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</si>
  <si>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</si>
  <si>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</si>
  <si>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</si>
  <si>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</si>
  <si>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</si>
  <si>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</si>
  <si>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</si>
  <si>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</si>
  <si>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</si>
  <si>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</si>
  <si>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</si>
  <si>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</si>
  <si>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</si>
  <si>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</si>
  <si>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</si>
  <si>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</si>
  <si>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</si>
  <si>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</si>
  <si>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</si>
  <si>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</si>
  <si>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</si>
  <si>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</si>
  <si>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</si>
  <si>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</si>
  <si>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</si>
  <si>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</si>
  <si>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</si>
  <si>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</si>
  <si>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</si>
  <si>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</si>
  <si>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</si>
  <si>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</si>
  <si>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</si>
  <si>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</si>
  <si>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</si>
  <si>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</si>
  <si>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</si>
  <si>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</si>
  <si>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</si>
  <si>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</si>
  <si>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</si>
  <si>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</si>
  <si>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</si>
  <si>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</si>
  <si>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</si>
  <si>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</si>
  <si>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</si>
  <si>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</si>
  <si>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</si>
  <si>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</si>
  <si>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</si>
  <si>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</si>
  <si>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</si>
  <si>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</si>
  <si>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</si>
  <si>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</si>
  <si>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</si>
  <si>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</si>
  <si>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</si>
  <si>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</si>
  <si>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</si>
  <si>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</si>
  <si>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</si>
  <si>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</si>
  <si>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</si>
  <si>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</si>
  <si>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</si>
  <si>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</si>
  <si>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</si>
  <si>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</si>
  <si>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</si>
  <si>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</si>
  <si>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</si>
  <si>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</si>
  <si>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</si>
  <si>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</si>
  <si>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</si>
  <si>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</si>
  <si>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</si>
  <si>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</si>
  <si>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</si>
  <si>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</si>
  <si>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</si>
  <si>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</si>
  <si>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</si>
  <si>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</si>
  <si>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</si>
  <si>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</si>
  <si>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</si>
  <si>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</si>
  <si>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</si>
  <si>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</si>
  <si>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</si>
  <si>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</si>
  <si>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</si>
  <si>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</si>
  <si>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</si>
  <si>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</si>
  <si>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</si>
  <si>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</si>
  <si>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</si>
  <si>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</si>
  <si>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</si>
  <si>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</si>
  <si>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</si>
  <si>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</si>
  <si>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</si>
  <si>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</si>
  <si>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</si>
  <si>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</si>
  <si>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</si>
  <si>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</si>
  <si>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</si>
  <si>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</si>
  <si>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</si>
  <si>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</si>
  <si>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</si>
  <si>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</si>
  <si>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</si>
  <si>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</si>
  <si>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</si>
  <si>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</si>
  <si>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</si>
  <si>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</si>
  <si>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</si>
  <si>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</si>
  <si>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</si>
  <si>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</si>
  <si>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</si>
  <si>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</si>
  <si>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</si>
  <si>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</si>
  <si>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</si>
  <si>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</si>
  <si>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</si>
  <si>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</si>
  <si>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</si>
  <si>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</si>
  <si>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</si>
  <si>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</si>
  <si>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</si>
  <si>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</si>
  <si>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</si>
  <si>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</si>
  <si>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</si>
  <si>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</si>
  <si>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</si>
  <si>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</si>
  <si>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</si>
  <si>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</si>
  <si>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</si>
  <si>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</si>
  <si>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</si>
  <si>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</si>
  <si>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</si>
  <si>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</si>
  <si>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</si>
  <si>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</si>
  <si>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</si>
  <si>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</si>
  <si>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</si>
  <si>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</si>
  <si>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</si>
  <si>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</si>
  <si>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</si>
  <si>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</si>
  <si>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</si>
  <si>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</si>
  <si>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</si>
  <si>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</si>
  <si>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</si>
  <si>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</si>
  <si>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</si>
  <si>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</si>
  <si>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</si>
  <si>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</si>
  <si>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</si>
  <si>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</si>
  <si>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</si>
  <si>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</si>
  <si>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</si>
  <si>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</si>
  <si>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</si>
  <si>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</si>
  <si>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</si>
  <si>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</si>
  <si>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</si>
  <si>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</si>
  <si>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</si>
  <si>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</si>
  <si>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</si>
  <si>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</si>
  <si>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</si>
  <si>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</si>
  <si>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</si>
  <si>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</si>
  <si>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</si>
  <si>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</si>
  <si>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</si>
  <si>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</si>
  <si>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</si>
  <si>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</si>
  <si>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</si>
  <si>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</si>
  <si>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</si>
  <si>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</si>
  <si>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</si>
  <si>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</si>
  <si>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</si>
  <si>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</si>
  <si>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</si>
  <si>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</si>
  <si>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</si>
  <si>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</si>
  <si>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</si>
  <si>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</si>
  <si>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</si>
  <si>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</si>
  <si>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</si>
  <si>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</si>
  <si>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</si>
  <si>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</si>
  <si>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</si>
  <si>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</si>
  <si>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</si>
  <si>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</si>
  <si>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</si>
  <si>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</si>
  <si>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</si>
  <si>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</si>
  <si>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</si>
  <si>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</si>
  <si>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</si>
  <si>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</si>
  <si>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</si>
  <si>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</si>
  <si>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</si>
  <si>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</si>
  <si>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</si>
  <si>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</si>
  <si>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</si>
  <si>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</si>
  <si>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</si>
  <si>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</si>
  <si>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</si>
  <si>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</si>
  <si>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</si>
  <si>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</si>
  <si>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</si>
  <si>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</si>
  <si>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</si>
  <si>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</si>
  <si>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</si>
  <si>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</si>
  <si>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</si>
  <si>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</si>
  <si>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</si>
  <si>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</si>
  <si>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</si>
  <si>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</si>
  <si>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</si>
  <si>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</si>
  <si>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</si>
  <si>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</si>
  <si>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</si>
  <si>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</si>
  <si>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</si>
  <si>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</si>
  <si>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</si>
  <si>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</si>
  <si>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</si>
  <si>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</si>
  <si>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</si>
  <si>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</si>
  <si>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</si>
  <si>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</si>
  <si>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</si>
  <si>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</si>
  <si>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</si>
  <si>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</si>
  <si>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</si>
  <si>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</si>
  <si>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</si>
  <si>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</si>
  <si>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</si>
  <si>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</si>
  <si>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</si>
  <si>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</si>
  <si>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</si>
  <si>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</si>
  <si>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</si>
  <si>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</si>
  <si>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</si>
  <si>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</si>
  <si>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</si>
  <si>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</si>
  <si>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</si>
  <si>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</si>
  <si>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</si>
  <si>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</si>
  <si>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</si>
  <si>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</si>
  <si>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</si>
  <si>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</si>
  <si>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</si>
  <si>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</si>
  <si>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</si>
  <si>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</si>
  <si>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</si>
  <si>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</si>
  <si>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</si>
  <si>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</si>
  <si>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</si>
  <si>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</si>
  <si>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</si>
  <si>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</si>
  <si>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</si>
  <si>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</si>
  <si>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</si>
  <si>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</si>
  <si>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</si>
  <si>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</si>
  <si>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</si>
  <si>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</si>
  <si>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</si>
  <si>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</si>
  <si>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</si>
  <si>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</si>
  <si>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</si>
  <si>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</si>
  <si>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</si>
  <si>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</si>
  <si>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</si>
  <si>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</si>
  <si>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</si>
  <si>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</si>
  <si>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</si>
  <si>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</si>
  <si>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</si>
  <si>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</si>
  <si>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</si>
  <si>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</si>
  <si>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</si>
  <si>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</si>
  <si>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</si>
  <si>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</si>
  <si>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</si>
  <si>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</si>
  <si>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</si>
  <si>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</si>
  <si>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</si>
  <si>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</si>
  <si>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</si>
  <si>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</si>
  <si>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</si>
  <si>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</si>
  <si>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</si>
  <si>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</si>
  <si>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</si>
  <si>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</si>
  <si>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</si>
  <si>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</si>
  <si>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</si>
  <si>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</si>
  <si>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</si>
  <si>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</si>
  <si>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</si>
  <si>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</si>
  <si>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</si>
  <si>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</si>
  <si>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</si>
  <si>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</si>
  <si>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</si>
  <si>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</si>
  <si>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</si>
  <si>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</si>
  <si>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</si>
  <si>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</si>
  <si>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</si>
  <si>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</si>
  <si>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</si>
  <si>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</si>
  <si>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</si>
  <si>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</si>
  <si>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</si>
  <si>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</si>
  <si>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</si>
  <si>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</si>
  <si>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</si>
  <si>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</si>
  <si>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</si>
  <si>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</si>
  <si>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</si>
  <si>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</si>
  <si>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</si>
  <si>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</si>
  <si>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</si>
  <si>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</si>
  <si>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</si>
  <si>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</si>
  <si>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</si>
  <si>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</si>
  <si>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</si>
  <si>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</si>
  <si>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</si>
  <si>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</si>
  <si>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</si>
  <si>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</si>
  <si>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</si>
  <si>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</si>
  <si>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</si>
  <si>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</si>
  <si>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</si>
  <si>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</si>
  <si>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</si>
  <si>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</si>
  <si>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</si>
  <si>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</si>
  <si>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</si>
  <si>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</si>
  <si>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</si>
  <si>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</si>
  <si>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</si>
  <si>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</si>
  <si>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</si>
  <si>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</si>
  <si>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</si>
  <si>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</si>
  <si>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</si>
  <si>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</si>
  <si>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</si>
  <si>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</si>
  <si>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</si>
  <si>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</si>
  <si>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</si>
  <si>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</si>
  <si>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</si>
  <si>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</si>
  <si>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</si>
  <si>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</si>
  <si>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</si>
  <si>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</si>
  <si>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</si>
  <si>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</si>
  <si>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</si>
  <si>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</si>
  <si>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</si>
  <si>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</si>
  <si>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</si>
  <si>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</si>
  <si>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</si>
  <si>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</si>
  <si>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</si>
  <si>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</si>
  <si>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</si>
  <si>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</si>
  <si>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</si>
  <si>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</si>
  <si>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</si>
  <si>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</si>
  <si>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</si>
  <si>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</si>
  <si>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</si>
  <si>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</si>
  <si>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</si>
  <si>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</si>
  <si>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</si>
  <si>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</si>
  <si>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</si>
  <si>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</si>
  <si>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</si>
  <si>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</si>
  <si>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</si>
  <si>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</si>
  <si>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</si>
  <si>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</si>
  <si>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</si>
  <si>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</si>
  <si>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</si>
  <si>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</si>
  <si>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</si>
  <si>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</si>
  <si>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</si>
  <si>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</si>
  <si>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</si>
  <si>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</si>
  <si>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</si>
  <si>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</si>
  <si>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</si>
  <si>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</si>
  <si>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</si>
  <si>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</si>
  <si>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</si>
  <si>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</si>
  <si>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</si>
  <si>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</si>
  <si>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</si>
  <si>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</si>
  <si>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</si>
  <si>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</si>
  <si>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</si>
  <si>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</si>
  <si>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</si>
  <si>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</si>
  <si>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</si>
  <si>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</si>
  <si>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</si>
  <si>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</si>
  <si>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</si>
  <si>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</si>
  <si>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</si>
  <si>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</si>
  <si>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</si>
  <si>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</si>
  <si>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</si>
  <si>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</si>
  <si>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</si>
  <si>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</si>
  <si>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</si>
  <si>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</si>
  <si>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</si>
  <si>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</si>
  <si>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</si>
  <si>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</si>
  <si>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</si>
  <si>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</si>
  <si>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</si>
  <si>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</si>
  <si>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</si>
  <si>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</si>
  <si>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</si>
  <si>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</si>
  <si>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</si>
  <si>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</si>
  <si>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</si>
  <si>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</si>
  <si>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</si>
  <si>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</si>
  <si>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</si>
  <si>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</si>
  <si>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</si>
  <si>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</si>
  <si>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</si>
  <si>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</si>
  <si>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</si>
  <si>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</si>
  <si>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</si>
  <si>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</si>
  <si>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</si>
  <si>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</si>
  <si>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</si>
  <si>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</si>
  <si>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</si>
  <si>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</si>
  <si>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</si>
  <si>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</si>
  <si>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</si>
  <si>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</si>
  <si>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</si>
  <si>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</si>
  <si>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</si>
  <si>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</si>
  <si>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</si>
  <si>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</si>
  <si>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</si>
  <si>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</si>
  <si>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</si>
  <si>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</si>
  <si>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</si>
  <si>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</si>
  <si>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</si>
  <si>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</si>
  <si>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</si>
  <si>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</si>
  <si>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</si>
  <si>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</si>
  <si>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</si>
  <si>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</si>
  <si>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</si>
  <si>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</si>
  <si>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</si>
  <si>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</si>
  <si>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</si>
  <si>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</si>
  <si>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</si>
  <si>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</si>
  <si>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</si>
  <si>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</si>
  <si>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</si>
  <si>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</si>
  <si>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</si>
  <si>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</si>
  <si>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</si>
  <si>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</si>
  <si>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</si>
  <si>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</si>
  <si>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</si>
  <si>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</si>
  <si>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</si>
  <si>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</si>
  <si>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</si>
  <si>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</si>
  <si>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</si>
  <si>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</si>
  <si>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</si>
  <si>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</si>
  <si>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</si>
  <si>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</si>
  <si>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</si>
  <si>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</si>
  <si>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</si>
  <si>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</si>
  <si>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</si>
  <si>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</si>
  <si>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</si>
  <si>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</si>
  <si>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</si>
  <si>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</si>
  <si>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</si>
  <si>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</si>
  <si>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</si>
  <si>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</si>
  <si>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</si>
  <si>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</si>
  <si>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</si>
  <si>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</si>
  <si>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</si>
  <si>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</si>
  <si>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</si>
  <si>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</si>
  <si>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</si>
  <si>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</si>
  <si>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</si>
  <si>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</si>
  <si>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</si>
  <si>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</si>
  <si>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</si>
  <si>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</si>
  <si>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</si>
  <si>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</si>
  <si>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</si>
  <si>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</si>
  <si>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</si>
  <si>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</si>
  <si>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</si>
  <si>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</si>
  <si>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</si>
  <si>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</si>
  <si>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</si>
  <si>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</si>
  <si>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</si>
  <si>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</si>
  <si>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</si>
  <si>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</si>
  <si>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</si>
  <si>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</si>
  <si>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</si>
  <si>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</si>
  <si>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</si>
  <si>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</si>
  <si>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</si>
  <si>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</si>
  <si>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</si>
  <si>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</si>
  <si>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</si>
  <si>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</si>
  <si>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</si>
  <si>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</si>
  <si>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</si>
  <si>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</si>
  <si>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</si>
  <si>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</si>
  <si>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</si>
  <si>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</si>
  <si>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</si>
  <si>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</si>
  <si>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</si>
  <si>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</si>
  <si>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</si>
  <si>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</si>
  <si>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</si>
  <si>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</si>
  <si>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</si>
  <si>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</si>
  <si>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</si>
  <si>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</si>
  <si>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</si>
  <si>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</si>
  <si>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</si>
  <si>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</si>
  <si>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</si>
  <si>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</si>
  <si>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</si>
  <si>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</si>
  <si>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</si>
  <si>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</si>
  <si>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</si>
  <si>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</si>
  <si>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</si>
  <si>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</si>
  <si>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</si>
  <si>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</si>
  <si>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</si>
  <si>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</si>
  <si>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</si>
  <si>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</si>
  <si>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</si>
  <si>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</si>
  <si>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</si>
  <si>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</si>
  <si>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</si>
  <si>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</si>
  <si>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</si>
  <si>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</si>
  <si>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</si>
  <si>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</si>
  <si>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</si>
  <si>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</si>
  <si>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</si>
  <si>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</si>
  <si>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</si>
  <si>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</si>
  <si>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</si>
  <si>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</si>
  <si>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</si>
  <si>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</si>
  <si>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</si>
  <si>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</si>
  <si>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</si>
  <si>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</si>
  <si>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</si>
  <si>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</si>
  <si>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</si>
  <si>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</si>
  <si>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</si>
  <si>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</si>
  <si>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</si>
  <si>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</si>
  <si>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</si>
  <si>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</si>
  <si>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</si>
  <si>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</si>
  <si>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</si>
  <si>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</si>
  <si>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</si>
  <si>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</si>
  <si>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</si>
  <si>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</si>
  <si>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</si>
  <si>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</si>
  <si>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</si>
  <si>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</si>
  <si>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</si>
  <si>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</si>
  <si>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</si>
  <si>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</si>
  <si>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</si>
  <si>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</si>
  <si>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</si>
  <si>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</si>
  <si>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</si>
  <si>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</si>
  <si>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</si>
  <si>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</si>
  <si>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</si>
  <si>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</si>
  <si>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</si>
  <si>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</si>
  <si>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</si>
  <si>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</si>
  <si>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</si>
  <si>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</si>
  <si>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</si>
  <si>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</si>
  <si>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</si>
  <si>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</si>
  <si>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</si>
  <si>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</si>
  <si>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</si>
  <si>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</si>
  <si>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</si>
  <si>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</si>
  <si>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</si>
  <si>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</si>
  <si>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</si>
  <si>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</si>
  <si>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</si>
  <si>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</si>
  <si>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</si>
  <si>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</si>
  <si>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</si>
  <si>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</si>
  <si>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</si>
  <si>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</si>
  <si>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</si>
  <si>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</si>
  <si>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</si>
  <si>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</si>
  <si>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</si>
  <si>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</si>
  <si>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</si>
  <si>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</si>
  <si>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</si>
  <si>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</si>
  <si>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</si>
  <si>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</si>
  <si>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</si>
  <si>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</si>
  <si>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</si>
  <si>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</si>
  <si>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</si>
  <si>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</si>
  <si>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</si>
  <si>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</si>
  <si>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</si>
  <si>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</si>
  <si>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</si>
  <si>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</si>
  <si>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</si>
  <si>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</si>
  <si>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</si>
  <si>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</si>
  <si>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</si>
  <si>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</si>
  <si>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</si>
  <si>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</si>
  <si>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</si>
  <si>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</si>
  <si>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</si>
  <si>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</si>
  <si>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</si>
  <si>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</si>
  <si>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</si>
  <si>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</si>
  <si>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</si>
  <si>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</si>
  <si>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</si>
  <si>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</si>
  <si>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</si>
  <si>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</si>
  <si>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</si>
  <si>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</si>
  <si>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</si>
  <si>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</si>
  <si>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</si>
  <si>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</si>
  <si>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</si>
  <si>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</si>
  <si>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</si>
  <si>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</si>
  <si>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</si>
  <si>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</si>
  <si>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</si>
  <si>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</si>
  <si>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</si>
  <si>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</si>
  <si>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</si>
  <si>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</si>
  <si>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</si>
  <si>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</si>
  <si>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</si>
  <si>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</si>
  <si>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</si>
  <si>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</si>
  <si>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河南省郑州市</t>
    <phoneticPr fontId="6" type="noConversion"/>
  </si>
  <si>
    <t>管城区</t>
    <phoneticPr fontId="6" type="noConversion"/>
  </si>
  <si>
    <t>企业</t>
  </si>
  <si>
    <t>一致</t>
  </si>
  <si>
    <t>符合</t>
  </si>
  <si>
    <t>商业</t>
  </si>
  <si>
    <t>住宅</t>
    <phoneticPr fontId="3" type="noConversion"/>
  </si>
  <si>
    <t>公寓</t>
  </si>
  <si>
    <t>商业</t>
    <phoneticPr fontId="3" type="noConversion"/>
  </si>
  <si>
    <t>公寓</t>
    <phoneticPr fontId="3" type="noConversion"/>
  </si>
  <si>
    <t>地上</t>
  </si>
  <si>
    <t>平层住宅</t>
  </si>
  <si>
    <t>底商</t>
  </si>
  <si>
    <t>楼幢</t>
    <phoneticPr fontId="228" type="noConversion"/>
  </si>
  <si>
    <t>业态</t>
    <phoneticPr fontId="228" type="noConversion"/>
  </si>
  <si>
    <t>合计</t>
    <phoneticPr fontId="228" type="noConversion"/>
  </si>
  <si>
    <t>已售</t>
    <phoneticPr fontId="228" type="noConversion"/>
  </si>
  <si>
    <t>预计至4月底销售情况</t>
    <phoneticPr fontId="228" type="noConversion"/>
  </si>
  <si>
    <t>剩余货值</t>
    <phoneticPr fontId="228" type="noConversion"/>
  </si>
  <si>
    <t>套数</t>
    <phoneticPr fontId="228" type="noConversion"/>
  </si>
  <si>
    <t>面积</t>
    <phoneticPr fontId="228" type="noConversion"/>
  </si>
  <si>
    <t>销售均价/预计售价</t>
    <phoneticPr fontId="228" type="noConversion"/>
  </si>
  <si>
    <t>货值</t>
    <phoneticPr fontId="228" type="noConversion"/>
  </si>
  <si>
    <t>套数</t>
    <phoneticPr fontId="228" type="noConversion"/>
  </si>
  <si>
    <t>面积</t>
    <phoneticPr fontId="228" type="noConversion"/>
  </si>
  <si>
    <t>货值</t>
    <phoneticPr fontId="228" type="noConversion"/>
  </si>
  <si>
    <t>B07</t>
    <phoneticPr fontId="228" type="noConversion"/>
  </si>
  <si>
    <t>住宅</t>
    <phoneticPr fontId="228" type="noConversion"/>
  </si>
  <si>
    <t>商业</t>
    <phoneticPr fontId="277" type="noConversion"/>
  </si>
  <si>
    <t>B04</t>
    <phoneticPr fontId="228" type="noConversion"/>
  </si>
  <si>
    <t>A06</t>
    <phoneticPr fontId="228" type="noConversion"/>
  </si>
  <si>
    <t>商业</t>
    <phoneticPr fontId="228" type="noConversion"/>
  </si>
  <si>
    <t>公寓</t>
    <phoneticPr fontId="228" type="noConversion"/>
  </si>
  <si>
    <t>A04</t>
    <phoneticPr fontId="228" type="noConversion"/>
  </si>
  <si>
    <t>住宅</t>
    <phoneticPr fontId="277" type="noConversion"/>
  </si>
  <si>
    <t>公寓</t>
    <phoneticPr fontId="277" type="noConversion"/>
  </si>
  <si>
    <t>B02</t>
    <phoneticPr fontId="228" type="noConversion"/>
  </si>
  <si>
    <t>B11</t>
    <phoneticPr fontId="228"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</si>
  <si>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</si>
  <si>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</si>
  <si>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</si>
  <si>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</si>
  <si>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</si>
  <si>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</si>
  <si>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</si>
  <si>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</si>
  <si>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</si>
  <si>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</si>
  <si>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</si>
  <si>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</si>
  <si>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</si>
  <si>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</si>
  <si>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湖西路西、北岗路南</t>
  </si>
  <si>
    <t>郑州市</t>
  </si>
  <si>
    <t>综合用地(含住宅)</t>
  </si>
  <si>
    <t>＞1.1,＜4.2</t>
  </si>
  <si>
    <t>挂牌</t>
  </si>
  <si>
    <t>2020-02-17</t>
  </si>
  <si>
    <t>郑州名兴置业有限公司</t>
  </si>
  <si>
    <t>4星</t>
  </si>
  <si>
    <t>啟福大道南、南四环辅道西</t>
  </si>
  <si>
    <t>＞1.1,＜3.3</t>
  </si>
  <si>
    <t>河南申郑建设开发有限公司</t>
  </si>
  <si>
    <t>北岗路南、支八路西</t>
  </si>
  <si>
    <t>＞1.1,＜4.0</t>
  </si>
  <si>
    <t>西岗路南、湖西路西</t>
  </si>
  <si>
    <t>经南十二路以北、经开第十八大街以东</t>
  </si>
  <si>
    <t>＞1.0,＜2.5</t>
  </si>
  <si>
    <t>2020-02-13</t>
  </si>
  <si>
    <t>中交地产股份有限公司</t>
  </si>
  <si>
    <t>3星</t>
  </si>
  <si>
    <t>经南十二路以北、经开第十九大街以西</t>
  </si>
  <si>
    <t>秦岭路西、汝河路南</t>
  </si>
  <si>
    <t>2020-01-16</t>
  </si>
  <si>
    <t>郑州康平置业有限公司</t>
  </si>
  <si>
    <t>5星</t>
  </si>
  <si>
    <t>学院路东、安宁路南</t>
  </si>
  <si>
    <t>住宅用地</t>
  </si>
  <si>
    <t>＞1.0,＜3</t>
  </si>
  <si>
    <t>郑州中鼎置业有限公司</t>
  </si>
  <si>
    <t>振兴路东、芦庄路南</t>
  </si>
  <si>
    <t>＞1.1,＜3</t>
  </si>
  <si>
    <t>2020-01-15</t>
  </si>
  <si>
    <t>郑州中贯新城置业有限公司</t>
  </si>
  <si>
    <t>永康路南、双铁路西</t>
  </si>
  <si>
    <t>＞1,＜3.5</t>
  </si>
  <si>
    <t>郑州市二七城乡更新建设开发有限公司</t>
  </si>
  <si>
    <t>杓袁中一街西、杓袁北路南</t>
  </si>
  <si>
    <t>郑州保利亨业房地产开发有限公司</t>
  </si>
  <si>
    <t>雪松路东、高铁北路南</t>
  </si>
  <si>
    <t>＞1.1,＜2</t>
  </si>
  <si>
    <t>郑州恒泓置业有限公司</t>
  </si>
  <si>
    <t>经开区经北三路以南、传媒路以西</t>
  </si>
  <si>
    <t>＞1.0,＜3.0</t>
  </si>
  <si>
    <t>2020-01-08</t>
  </si>
  <si>
    <t>经北五路以北、传媒路以西</t>
  </si>
  <si>
    <t>北京润置商业运营管理有限公司</t>
  </si>
  <si>
    <t>岔河西路以东、经北五路以南</t>
  </si>
  <si>
    <t>小李庄路南、祥和路西</t>
  </si>
  <si>
    <t>2019-12-20</t>
  </si>
  <si>
    <t>郑州兴和置业有限公司</t>
  </si>
  <si>
    <t>龙湖内环南路南、众意西路东</t>
  </si>
  <si>
    <t>＞1.0,＜1.7</t>
  </si>
  <si>
    <t>北京丰茂置业有限公司</t>
  </si>
  <si>
    <t>金岱路南、建武路西</t>
  </si>
  <si>
    <t>＞1.1,＜3.0</t>
  </si>
  <si>
    <t>经南八路以南、经开第三十五大街以东、经南九路以北、经开第三十六大街以西</t>
  </si>
  <si>
    <t>2019-12-18</t>
  </si>
  <si>
    <t>郑州经开投资发展有限公司</t>
  </si>
  <si>
    <t>经南八路以南、经开第三十五大街以西、经南九路以北、经开第三十四大街以东</t>
  </si>
  <si>
    <t>市场街南、南三环南辅道东</t>
  </si>
  <si>
    <t>＞1.0,＜3.4</t>
  </si>
  <si>
    <t>2019-12-13</t>
  </si>
  <si>
    <t>郑州商都控股集团有限公司</t>
  </si>
  <si>
    <t>明晖路南、龙腾路西</t>
  </si>
  <si>
    <t>郑州天地康颂置业有限公司</t>
  </si>
  <si>
    <t>经南十三路以南、经南十四路以北、经开第十七大街以东</t>
  </si>
  <si>
    <t>＞1.0,*＜2.5</t>
  </si>
  <si>
    <t>招标</t>
  </si>
  <si>
    <t>2019-12-12</t>
  </si>
  <si>
    <t>郑州铧茂创盛置业有限公司</t>
  </si>
  <si>
    <t>2星</t>
  </si>
  <si>
    <t>2019-08-26</t>
  </si>
  <si>
    <t>郑州盛德房地产开发有限公司</t>
  </si>
  <si>
    <t>2019-07-10</t>
  </si>
  <si>
    <t>2019-07-04</t>
  </si>
  <si>
    <t>河南荣威置业有限公司</t>
  </si>
  <si>
    <t>冉屯北路南、嵩山北路西</t>
  </si>
  <si>
    <t>商业/办公用地</t>
  </si>
  <si>
    <t>＜5.9</t>
  </si>
  <si>
    <t>东站北街南、心怡路东</t>
  </si>
  <si>
    <t>2019-07-29</t>
  </si>
  <si>
    <t>郑州市轨道交通置业有限公司</t>
  </si>
  <si>
    <t>龙湖中环南路北、九如东路东</t>
  </si>
  <si>
    <t>＜2.0</t>
  </si>
  <si>
    <t>北京德得创业科技有限公司</t>
  </si>
  <si>
    <t>鸿宝南路北、鸿中路东</t>
  </si>
  <si>
    <t>＜3.8</t>
  </si>
  <si>
    <t>河南金汇建设投资股份有限公司</t>
  </si>
  <si>
    <t>1星</t>
  </si>
  <si>
    <t>农业路北、姚砦路西</t>
  </si>
  <si>
    <t>＜7.9</t>
  </si>
  <si>
    <t>河南省尚建置业有限公司</t>
  </si>
  <si>
    <t>动力北路北、嘉苑东路西</t>
  </si>
  <si>
    <t>＜5.0</t>
  </si>
  <si>
    <t>2019-06-03</t>
  </si>
  <si>
    <t>河南中原版权保护中心有限公司</t>
  </si>
  <si>
    <t>龙湖中环南路南、龙腾二街东</t>
  </si>
  <si>
    <t>＜1.5</t>
  </si>
  <si>
    <t>河南郑欧丝路建设发展有限公司</t>
  </si>
  <si>
    <t>鸿业路南、农场路西</t>
  </si>
  <si>
    <t>2019-04-15</t>
  </si>
  <si>
    <t>河南协广置业有限公司</t>
  </si>
  <si>
    <t>新城北路南、京水路东</t>
  </si>
  <si>
    <t>＜4.0</t>
  </si>
  <si>
    <t>2019-04-11</t>
  </si>
  <si>
    <t>郑州上尤置业有限公司</t>
  </si>
  <si>
    <t>薛夏南街北、薛岗街东</t>
  </si>
  <si>
    <t>＜4.5</t>
  </si>
  <si>
    <t>2019-04-02</t>
  </si>
  <si>
    <t>河南云湖实业有限公司</t>
  </si>
  <si>
    <t>康宁街(原康宁路)南、心怡路东</t>
  </si>
  <si>
    <t>＜6.8</t>
  </si>
  <si>
    <t>2019-03-11</t>
  </si>
  <si>
    <t>河南新发展亚新实业有限公司</t>
  </si>
  <si>
    <t>中原西路北辅道北、中州路西</t>
  </si>
  <si>
    <t>＜4</t>
  </si>
  <si>
    <t>2019-02-26</t>
  </si>
  <si>
    <t>郑州华侨城文化旅游开发有限公司</t>
  </si>
  <si>
    <t>天泰路东、鼎盛大道北</t>
  </si>
  <si>
    <t>2019-01-22</t>
  </si>
  <si>
    <t>河南睿森置业有限公司</t>
  </si>
  <si>
    <t>二里岗南街北、未来路西</t>
  </si>
  <si>
    <t>＜0.2</t>
  </si>
  <si>
    <t>2019-01-16</t>
  </si>
  <si>
    <t>河南博鼎实业有限公司</t>
  </si>
  <si>
    <t>中原西路北辅道北、杭州路西</t>
  </si>
  <si>
    <t>2018-12-29</t>
  </si>
  <si>
    <t>未来路西、凤凰路北</t>
  </si>
  <si>
    <t>＜5.3</t>
  </si>
  <si>
    <t>拍卖</t>
  </si>
  <si>
    <t>2018-12-26</t>
  </si>
  <si>
    <t>书院街南、紫荆山路西</t>
  </si>
  <si>
    <t>＜1.0</t>
  </si>
  <si>
    <t>2018-12-14</t>
  </si>
  <si>
    <t>郑州商都商业发展有限公司</t>
  </si>
  <si>
    <t>中道东路东、时埂街北</t>
  </si>
  <si>
    <t>＜6.0</t>
  </si>
  <si>
    <t>河南智慧岛投资有限公司</t>
  </si>
  <si>
    <t>中原路南、文化宫路东</t>
  </si>
  <si>
    <t>＜10.7</t>
  </si>
  <si>
    <t>2018-11-23</t>
  </si>
  <si>
    <t>郑州帝景置业有限公司</t>
  </si>
  <si>
    <t>商鼎路南、圃田西路东</t>
  </si>
  <si>
    <t>＜5.8</t>
  </si>
  <si>
    <t>2018-11-05</t>
  </si>
  <si>
    <t>河南新发展楷林实业有限公司</t>
  </si>
  <si>
    <t>东风路北、信息学院路西</t>
  </si>
  <si>
    <t>2018-10-22</t>
  </si>
  <si>
    <t>河南安特瑞置业有限公司</t>
  </si>
  <si>
    <t>金城大道南、经三街西</t>
  </si>
  <si>
    <t>＜2.5</t>
  </si>
  <si>
    <t>2018-10-12</t>
  </si>
  <si>
    <t>河南吉昆置业有限公司</t>
  </si>
  <si>
    <t>冉屯北路东、农业路北</t>
  </si>
  <si>
    <t>＜5.5</t>
  </si>
  <si>
    <t>2018-09-11</t>
  </si>
  <si>
    <t>河南鑫利置业有限公司</t>
  </si>
  <si>
    <t>景怡路北、经三街西</t>
  </si>
  <si>
    <t>2018-08-31</t>
  </si>
  <si>
    <t>河南太极汇生科技产业园发展有限公司</t>
  </si>
  <si>
    <t>莲湖路北、博学路西</t>
  </si>
  <si>
    <t>＜6.3</t>
  </si>
  <si>
    <t>2018-08-29</t>
  </si>
  <si>
    <t>动力南路南、圃田西路东</t>
  </si>
  <si>
    <t>2018-05-31</t>
  </si>
  <si>
    <t>北京润置商业运营管理有限公司*河南省郑州新区建设投资有限公司</t>
  </si>
  <si>
    <t>道东街北、嘉园路西</t>
  </si>
  <si>
    <t>＜6</t>
  </si>
  <si>
    <t>龙湖中环南路北、如意西路西</t>
  </si>
  <si>
    <t>＜1.7</t>
  </si>
  <si>
    <t>道东街北、嘉园路东</t>
  </si>
  <si>
    <t>商鼎路北、嘉园路西</t>
  </si>
  <si>
    <t>＜9</t>
  </si>
  <si>
    <t>动力南路南、嘉园路东</t>
  </si>
  <si>
    <t>＜4.6</t>
  </si>
  <si>
    <t>道东街北、圃田西路东</t>
  </si>
  <si>
    <t>龙湖中环北路北、龙津路东</t>
  </si>
  <si>
    <t>＜3</t>
  </si>
  <si>
    <t>郑州启迪东龙科技发展有限公司</t>
  </si>
  <si>
    <t>如意西路东、如意河西八街南</t>
  </si>
  <si>
    <t>＜3.5</t>
  </si>
  <si>
    <t>河南郑欧思路建设发展有限公司</t>
  </si>
  <si>
    <t>商鼎路北、嘉园路东</t>
  </si>
  <si>
    <t>商鼎路北、嘉园东三街东</t>
  </si>
  <si>
    <t>＜8</t>
  </si>
  <si>
    <t>七里河南路南、圃田西路东</t>
  </si>
  <si>
    <t>2018-05-16</t>
  </si>
  <si>
    <t>河南合泰洒店管理有限公司</t>
  </si>
  <si>
    <t>如意东路西、如意河东三街南</t>
  </si>
  <si>
    <t>郑州润信嘉置业有限公司</t>
  </si>
  <si>
    <t>锦瑞路(规划路名锦绣大道)以南、龙善街以东、嬉雨西路(规划路名嬉雨路)以北</t>
  </si>
  <si>
    <t>郑州市绿勤置业有限公司</t>
  </si>
  <si>
    <t>连云路西、赣江路北</t>
  </si>
  <si>
    <t>2018-05-07</t>
  </si>
  <si>
    <t>河南鑫苑广晟置业有限公司</t>
  </si>
  <si>
    <t>长江路南、丘寨路东</t>
  </si>
  <si>
    <t>2018-04-27</t>
  </si>
  <si>
    <t>玉轩路东、金龙路北</t>
  </si>
  <si>
    <t>2018-04-12</t>
  </si>
  <si>
    <t>金融一街南、青铜西路西</t>
  </si>
  <si>
    <t>＜5</t>
  </si>
  <si>
    <t>2018-03-26</t>
  </si>
  <si>
    <t>郑州昌之盛置业有限公司</t>
  </si>
  <si>
    <t>鼎盛大道北、望桥路西</t>
  </si>
  <si>
    <t>国基路南、渠东路东</t>
  </si>
  <si>
    <t>河南新瀚海置业有限公司</t>
  </si>
  <si>
    <t>金融二街北、青铜东路东</t>
  </si>
  <si>
    <t>金融二街南、青铜西路西</t>
  </si>
  <si>
    <t>高铁南路南、青铜西路西</t>
  </si>
  <si>
    <t>日升路北、河西路西</t>
  </si>
  <si>
    <t>＞1且＜3</t>
  </si>
  <si>
    <t>2018-03-16</t>
  </si>
  <si>
    <t>河南圣鸿置业有限公司</t>
  </si>
  <si>
    <t>三全路北、索凌路西</t>
  </si>
  <si>
    <t>比较法-住宅、综合</t>
  </si>
  <si>
    <t>剩余法-待开发</t>
  </si>
  <si>
    <t>仅含出让金</t>
  </si>
  <si>
    <t>正常</t>
  </si>
  <si>
    <t>情况3</t>
  </si>
  <si>
    <t>否</t>
  </si>
  <si>
    <t>经南十二路以北、经开第十九大街以西</t>
    <phoneticPr fontId="3" type="noConversion"/>
  </si>
  <si>
    <t>住宅</t>
    <phoneticPr fontId="26" type="noConversion"/>
  </si>
  <si>
    <t>是</t>
    <phoneticPr fontId="26" type="noConversion"/>
  </si>
  <si>
    <t>否</t>
    <phoneticPr fontId="26" type="noConversion"/>
  </si>
  <si>
    <t>七通</t>
  </si>
  <si>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</si>
  <si>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</si>
  <si>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</si>
  <si>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</si>
  <si>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</si>
  <si>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</si>
  <si>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较好</t>
  </si>
  <si>
    <t>较好</t>
    <phoneticPr fontId="26" type="noConversion"/>
  </si>
  <si>
    <t>较好</t>
    <phoneticPr fontId="26" type="noConversion"/>
  </si>
  <si>
    <t>较规则</t>
  </si>
  <si>
    <t>较规则</t>
    <phoneticPr fontId="26" type="noConversion"/>
  </si>
  <si>
    <t>一般</t>
  </si>
  <si>
    <t>多面临街</t>
  </si>
  <si>
    <t>是</t>
    <phoneticPr fontId="26" type="noConversion"/>
  </si>
  <si>
    <t>否</t>
    <phoneticPr fontId="26" type="noConversion"/>
  </si>
  <si>
    <t>经开区经北三路以南、传媒路以西</t>
    <phoneticPr fontId="3" type="noConversion"/>
  </si>
  <si>
    <t>经北五路以北、传媒路以西</t>
    <phoneticPr fontId="3" type="noConversion"/>
  </si>
  <si>
    <t>售价</t>
  </si>
  <si>
    <t>60-70（含）</t>
  </si>
  <si>
    <t>住宅</t>
    <phoneticPr fontId="21" type="noConversion"/>
  </si>
  <si>
    <t>高层住宅</t>
  </si>
  <si>
    <t>高层住宅</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</si>
  <si>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</si>
  <si>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</si>
  <si>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</si>
  <si>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</si>
  <si>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</si>
  <si>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</si>
  <si>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</si>
  <si>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</si>
  <si>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</si>
  <si>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普通装修</t>
    <phoneticPr fontId="21" type="noConversion"/>
  </si>
  <si>
    <t>简单装修</t>
    <phoneticPr fontId="21" type="noConversion"/>
  </si>
  <si>
    <t>毛坯</t>
  </si>
  <si>
    <t>毛坯</t>
    <phoneticPr fontId="21" type="noConversion"/>
  </si>
  <si>
    <t>平层</t>
  </si>
  <si>
    <t>平层</t>
    <phoneticPr fontId="21" type="noConversion"/>
  </si>
  <si>
    <t>民安尚郡</t>
    <phoneticPr fontId="3" type="noConversion"/>
  </si>
  <si>
    <t>中博城珑誉园</t>
    <phoneticPr fontId="3" type="noConversion"/>
  </si>
  <si>
    <t>兴忠启程</t>
    <phoneticPr fontId="3" type="noConversion"/>
  </si>
  <si>
    <t>非个人房产</t>
  </si>
  <si>
    <r>
      <t xml:space="preserve">                    </t>
    </r>
    <r>
      <rPr>
        <sz val="9"/>
        <color theme="1"/>
        <rFont val="华文细黑"/>
        <family val="3"/>
        <charset val="134"/>
      </rPr>
      <t>咨询对象</t>
    </r>
  </si>
  <si>
    <t>项目及结果</t>
  </si>
  <si>
    <r>
      <t>咨询对象</t>
    </r>
    <r>
      <rPr>
        <sz val="9"/>
        <color theme="1"/>
        <rFont val="Arial"/>
        <family val="2"/>
      </rPr>
      <t>1</t>
    </r>
  </si>
  <si>
    <r>
      <t>咨询对象</t>
    </r>
    <r>
      <rPr>
        <sz val="9"/>
        <color theme="1"/>
        <rFont val="Arial"/>
        <family val="2"/>
      </rPr>
      <t>2</t>
    </r>
  </si>
  <si>
    <r>
      <t>咨询对象</t>
    </r>
    <r>
      <rPr>
        <sz val="9"/>
        <color theme="1"/>
        <rFont val="Arial"/>
        <family val="2"/>
      </rPr>
      <t>3</t>
    </r>
  </si>
  <si>
    <r>
      <t>咨询对象</t>
    </r>
    <r>
      <rPr>
        <sz val="9"/>
        <color theme="1"/>
        <rFont val="Arial"/>
        <family val="2"/>
      </rPr>
      <t>4</t>
    </r>
  </si>
  <si>
    <r>
      <t>咨询对象</t>
    </r>
    <r>
      <rPr>
        <sz val="9"/>
        <color theme="1"/>
        <rFont val="Arial"/>
        <family val="2"/>
      </rPr>
      <t>5</t>
    </r>
  </si>
  <si>
    <r>
      <t>咨询对象</t>
    </r>
    <r>
      <rPr>
        <sz val="9"/>
        <color theme="1"/>
        <rFont val="Arial"/>
        <family val="2"/>
      </rPr>
      <t>6</t>
    </r>
  </si>
  <si>
    <r>
      <t>咨询对象</t>
    </r>
    <r>
      <rPr>
        <sz val="9"/>
        <color theme="1"/>
        <rFont val="Arial"/>
        <family val="2"/>
      </rPr>
      <t>7</t>
    </r>
  </si>
  <si>
    <t>咨询对象总计</t>
  </si>
  <si>
    <r>
      <t>1.</t>
    </r>
    <r>
      <rPr>
        <sz val="9"/>
        <color theme="1"/>
        <rFont val="华文细黑"/>
        <family val="3"/>
        <charset val="134"/>
      </rPr>
      <t>房地产价值</t>
    </r>
  </si>
  <si>
    <t>大写金额</t>
  </si>
  <si>
    <t>壹拾叁亿陆仟壹佰陆拾肆万元整</t>
  </si>
  <si>
    <t>单价</t>
  </si>
  <si>
    <r>
      <t>2.</t>
    </r>
    <r>
      <rPr>
        <sz val="9"/>
        <color theme="1"/>
        <rFont val="华文细黑"/>
        <family val="3"/>
        <charset val="134"/>
      </rPr>
      <t>估价师知悉的除抵押担保权以外的其他法定优先受偿款</t>
    </r>
  </si>
  <si>
    <t>总额</t>
  </si>
  <si>
    <t>已抵押（未扣减，详见特别提示）</t>
  </si>
  <si>
    <t>零元整</t>
  </si>
  <si>
    <r>
      <t>（</t>
    </r>
    <r>
      <rPr>
        <sz val="9"/>
        <color theme="1"/>
        <rFont val="Arial"/>
        <family val="2"/>
      </rPr>
      <t>1</t>
    </r>
    <r>
      <rPr>
        <sz val="9"/>
        <color theme="1"/>
        <rFont val="华文细黑"/>
        <family val="3"/>
        <charset val="134"/>
      </rPr>
      <t>）已抵押担保的债权数额</t>
    </r>
  </si>
  <si>
    <r>
      <t>（</t>
    </r>
    <r>
      <rPr>
        <sz val="9"/>
        <color theme="1"/>
        <rFont val="Arial"/>
        <family val="2"/>
      </rPr>
      <t>2</t>
    </r>
    <r>
      <rPr>
        <sz val="9"/>
        <color theme="1"/>
        <rFont val="华文细黑"/>
        <family val="3"/>
        <charset val="134"/>
      </rPr>
      <t>）拖欠的建设工程价款</t>
    </r>
  </si>
  <si>
    <r>
      <t>（</t>
    </r>
    <r>
      <rPr>
        <sz val="9"/>
        <color theme="1"/>
        <rFont val="Arial"/>
        <family val="2"/>
      </rPr>
      <t>3</t>
    </r>
    <r>
      <rPr>
        <sz val="9"/>
        <color theme="1"/>
        <rFont val="华文细黑"/>
        <family val="3"/>
        <charset val="134"/>
      </rPr>
      <t>）其他法定优先受偿款</t>
    </r>
  </si>
  <si>
    <r>
      <t>3.</t>
    </r>
    <r>
      <rPr>
        <sz val="9"/>
        <color theme="1"/>
        <rFont val="华文细黑"/>
        <family val="3"/>
        <charset val="134"/>
      </rPr>
      <t>押担保权已注销时的抵押价格</t>
    </r>
  </si>
  <si>
    <r>
      <t>4.</t>
    </r>
    <r>
      <rPr>
        <sz val="9"/>
        <color theme="1"/>
        <rFont val="华文细黑"/>
        <family val="3"/>
        <charset val="134"/>
      </rPr>
      <t>抵押净值</t>
    </r>
  </si>
  <si>
    <t>壹拾壹亿叁仟肆佰玖拾伍万元整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</si>
</sst>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b/>
      <sz val="11"/>
      <color theme="1"/>
      <name val="微软雅黑"/>
      <family val="2"/>
      <charset val="134"/>
    </font>
    <font>
      <sz val="11"/>
      <color theme="1"/>
      <name val="微软雅黑"/>
      <family val="2"/>
      <charset val="134"/>
    </font>
    <font>
      <sz val="9"/>
      <name val="宋体"/>
      <family val="2"/>
      <charset val="134"/>
      <scheme val="minor"/>
    </font>
    <font>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uble">
        <color rgb="FF404040"/>
      </top>
      <bottom style="double">
        <color rgb="FF404040"/>
      </bottom>
      <diagonal/>
    </border>
    <border>
      <left/>
      <right style="dotted">
        <color rgb="FF404040"/>
      </right>
      <top style="double">
        <color rgb="FF404040"/>
      </top>
      <bottom style="double">
        <color rgb="FF404040"/>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176" fontId="274" fillId="0" borderId="0" applyFont="0" applyFill="0" applyBorder="0" applyAlignment="0" applyProtection="0">
      <alignment vertical="center"/>
    </xf>
    <xf numFmtId="0" fontId="86" fillId="0" borderId="0"/>
  </cellStyleXfs>
  <cellXfs count="35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5" fillId="18" borderId="2" xfId="0" applyFont="1" applyFill="1" applyBorder="1" applyAlignment="1">
      <alignment horizontal="center" vertical="center"/>
    </xf>
    <xf numFmtId="185" fontId="275" fillId="18" borderId="2" xfId="0" applyNumberFormat="1" applyFont="1" applyFill="1" applyBorder="1" applyAlignment="1">
      <alignment horizontal="center" vertical="center"/>
    </xf>
    <xf numFmtId="0" fontId="275" fillId="11" borderId="2" xfId="0" applyFont="1" applyFill="1" applyBorder="1" applyAlignment="1">
      <alignment horizontal="center" vertical="center"/>
    </xf>
    <xf numFmtId="195" fontId="276" fillId="11" borderId="2" xfId="16" applyNumberFormat="1" applyFont="1" applyFill="1" applyBorder="1" applyAlignment="1">
      <alignment horizontal="center" vertical="center"/>
    </xf>
    <xf numFmtId="0" fontId="275" fillId="11" borderId="10" xfId="0" applyFont="1" applyFill="1" applyBorder="1" applyAlignment="1">
      <alignment horizontal="center" vertical="center"/>
    </xf>
    <xf numFmtId="0" fontId="275" fillId="0" borderId="2" xfId="0" applyFont="1" applyBorder="1" applyAlignment="1">
      <alignment horizontal="center" vertical="center"/>
    </xf>
    <xf numFmtId="195" fontId="276" fillId="0" borderId="2" xfId="16" applyNumberFormat="1" applyFont="1" applyFill="1" applyBorder="1" applyAlignment="1">
      <alignment horizontal="center" vertical="center"/>
    </xf>
    <xf numFmtId="195" fontId="276" fillId="0" borderId="2" xfId="16" applyNumberFormat="1" applyFont="1" applyBorder="1" applyAlignment="1">
      <alignment horizontal="center" vertical="center"/>
    </xf>
    <xf numFmtId="195" fontId="276" fillId="0" borderId="9" xfId="16" applyNumberFormat="1" applyFont="1" applyFill="1" applyBorder="1" applyAlignment="1">
      <alignment horizontal="center" vertical="center"/>
    </xf>
    <xf numFmtId="0" fontId="86" fillId="0" borderId="0" xfId="17"/>
    <xf numFmtId="0" fontId="86" fillId="9" borderId="0" xfId="17" applyFill="1"/>
    <xf numFmtId="0" fontId="0" fillId="9" borderId="0" xfId="0" applyFill="1">
      <alignment vertical="center"/>
    </xf>
    <xf numFmtId="0" fontId="146" fillId="0" borderId="0" xfId="0" applyFont="1">
      <alignment vertical="center"/>
    </xf>
    <xf numFmtId="0" fontId="86" fillId="0" borderId="0" xfId="17"/>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0" fillId="0" borderId="0" xfId="0" applyNumberForma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75" fillId="11" borderId="10" xfId="0" applyFont="1" applyFill="1" applyBorder="1" applyAlignment="1">
      <alignment horizontal="center" vertical="center"/>
    </xf>
    <xf numFmtId="0" fontId="275" fillId="11" borderId="3" xfId="0" applyFont="1" applyFill="1" applyBorder="1" applyAlignment="1">
      <alignment horizontal="center" vertical="center"/>
    </xf>
    <xf numFmtId="0" fontId="275" fillId="11" borderId="2" xfId="0" applyFont="1" applyFill="1" applyBorder="1" applyAlignment="1">
      <alignment horizontal="center" vertical="center"/>
    </xf>
    <xf numFmtId="0" fontId="275" fillId="0" borderId="10" xfId="0" applyFont="1" applyBorder="1" applyAlignment="1">
      <alignment horizontal="center" vertical="center"/>
    </xf>
    <xf numFmtId="0" fontId="275" fillId="0" borderId="3" xfId="0" applyFont="1" applyBorder="1" applyAlignment="1">
      <alignment horizontal="center" vertical="center"/>
    </xf>
    <xf numFmtId="0" fontId="275" fillId="0" borderId="21" xfId="0" applyFont="1" applyBorder="1" applyAlignment="1">
      <alignment horizontal="center" vertical="center"/>
    </xf>
    <xf numFmtId="0" fontId="275" fillId="0" borderId="2" xfId="0" applyFont="1" applyBorder="1" applyAlignment="1">
      <alignment horizontal="center" vertical="center"/>
    </xf>
    <xf numFmtId="0" fontId="275" fillId="18" borderId="2" xfId="0" applyFont="1" applyFill="1" applyBorder="1" applyAlignment="1">
      <alignment horizontal="center" vertical="center"/>
    </xf>
    <xf numFmtId="0" fontId="275" fillId="18" borderId="4" xfId="0" applyFont="1" applyFill="1" applyBorder="1" applyAlignment="1">
      <alignment horizontal="center" vertical="center"/>
    </xf>
    <xf numFmtId="0" fontId="275" fillId="18" borderId="17"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158"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58" xfId="0" applyFont="1" applyBorder="1" applyAlignment="1">
      <alignment horizontal="justify" vertical="center"/>
    </xf>
    <xf numFmtId="0" fontId="278" fillId="0" borderId="158" xfId="0" applyFont="1" applyBorder="1" applyAlignment="1">
      <alignment horizontal="justify" vertical="center"/>
    </xf>
    <xf numFmtId="0" fontId="278" fillId="0" borderId="159" xfId="0" applyFont="1" applyBorder="1" applyAlignment="1">
      <alignment horizontal="justify" vertical="center"/>
    </xf>
    <xf numFmtId="0" fontId="278" fillId="0" borderId="162" xfId="0" applyFont="1" applyBorder="1" applyAlignment="1">
      <alignment horizontal="justify" vertical="center" wrapText="1"/>
    </xf>
    <xf numFmtId="0" fontId="173" fillId="0" borderId="162" xfId="0" applyFont="1" applyBorder="1" applyAlignment="1">
      <alignment horizontal="justify" vertical="center" wrapText="1"/>
    </xf>
    <xf numFmtId="0" fontId="173" fillId="0" borderId="162" xfId="0" applyFont="1" applyBorder="1" applyAlignment="1">
      <alignment horizontal="justify" vertical="center"/>
    </xf>
    <xf numFmtId="0" fontId="173" fillId="0" borderId="154" xfId="0" applyFont="1" applyBorder="1" applyAlignment="1">
      <alignment horizontal="right" vertical="center"/>
    </xf>
    <xf numFmtId="0" fontId="173" fillId="0" borderId="155" xfId="0" applyFont="1" applyBorder="1" applyAlignment="1">
      <alignment horizontal="right" vertical="center"/>
    </xf>
    <xf numFmtId="0" fontId="278" fillId="0" borderId="156" xfId="0" applyFont="1" applyBorder="1" applyAlignment="1">
      <alignment horizontal="justify" vertical="center"/>
    </xf>
    <xf numFmtId="0" fontId="278" fillId="0" borderId="157" xfId="0" applyFont="1" applyBorder="1" applyAlignment="1">
      <alignment horizontal="justify" vertical="center"/>
    </xf>
    <xf numFmtId="0" fontId="278" fillId="0" borderId="163" xfId="0" applyFont="1" applyBorder="1" applyAlignment="1">
      <alignment horizontal="justify" vertical="center" wrapText="1"/>
    </xf>
    <xf numFmtId="0" fontId="278" fillId="0" borderId="159" xfId="0" applyFont="1" applyBorder="1" applyAlignment="1">
      <alignment horizontal="justify" vertical="center" wrapText="1"/>
    </xf>
    <xf numFmtId="0" fontId="278" fillId="0" borderId="163" xfId="0" applyFont="1" applyBorder="1" applyAlignment="1">
      <alignment horizontal="justify" vertical="center"/>
    </xf>
    <xf numFmtId="0" fontId="278" fillId="0" borderId="159" xfId="0" applyFont="1" applyBorder="1" applyAlignment="1">
      <alignment horizontal="justify" vertical="center"/>
    </xf>
    <xf numFmtId="0" fontId="173" fillId="0" borderId="160" xfId="0" applyFont="1" applyBorder="1" applyAlignment="1">
      <alignment horizontal="justify" vertical="center"/>
    </xf>
    <xf numFmtId="0" fontId="173" fillId="0" borderId="164" xfId="0" applyFont="1" applyBorder="1" applyAlignment="1">
      <alignment horizontal="justify" vertical="center"/>
    </xf>
    <xf numFmtId="0" fontId="173" fillId="0" borderId="159" xfId="0" applyFont="1" applyBorder="1" applyAlignment="1">
      <alignment horizontal="justify" vertical="center"/>
    </xf>
    <xf numFmtId="0" fontId="278" fillId="0" borderId="165" xfId="0" applyFont="1" applyBorder="1" applyAlignment="1">
      <alignment horizontal="justify" vertical="center" wrapText="1"/>
    </xf>
    <xf numFmtId="0" fontId="278" fillId="0" borderId="166" xfId="0" applyFont="1" applyBorder="1" applyAlignment="1">
      <alignment horizontal="justify" vertical="center" wrapText="1"/>
    </xf>
    <xf numFmtId="0" fontId="278" fillId="0" borderId="167" xfId="0" applyFont="1" applyBorder="1" applyAlignment="1">
      <alignment horizontal="justify" vertical="center" wrapText="1"/>
    </xf>
    <xf numFmtId="0" fontId="173" fillId="0" borderId="160" xfId="0" applyFont="1" applyBorder="1" applyAlignment="1">
      <alignment vertical="center" wrapText="1"/>
    </xf>
    <xf numFmtId="0" fontId="173" fillId="0" borderId="164" xfId="0" applyFont="1" applyBorder="1" applyAlignment="1">
      <alignment vertical="center" wrapText="1"/>
    </xf>
    <xf numFmtId="0" fontId="173" fillId="0" borderId="161" xfId="0" applyFont="1" applyBorder="1" applyAlignment="1">
      <alignment vertical="center" wrapText="1"/>
    </xf>
    <xf numFmtId="0" fontId="173" fillId="0" borderId="168" xfId="0" applyFont="1" applyBorder="1" applyAlignment="1">
      <alignment horizontal="justify" vertical="center" wrapText="1"/>
    </xf>
    <xf numFmtId="0" fontId="173" fillId="0" borderId="169" xfId="0" applyFont="1" applyBorder="1" applyAlignment="1">
      <alignment horizontal="justify" vertical="center" wrapText="1"/>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45721</xdr:rowOff>
    </xdr:from>
    <xdr:to>
      <xdr:col>5</xdr:col>
      <xdr:colOff>381000</xdr:colOff>
      <xdr:row>45</xdr:row>
      <xdr:rowOff>173595</xdr:rowOff>
    </xdr:to>
    <xdr:pic>
      <xdr:nvPicPr>
        <xdr:cNvPr id="2" name="图片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4434841"/>
          <a:ext cx="6560820" cy="3968354"/>
        </a:xfrm>
        <a:prstGeom prst="rect">
          <a:avLst/>
        </a:prstGeom>
      </xdr:spPr>
    </xdr:pic>
    <xdr:clientData/>
  </xdr:twoCellAnchor>
  <xdr:twoCellAnchor editAs="oneCell">
    <xdr:from>
      <xdr:col>0</xdr:col>
      <xdr:colOff>1</xdr:colOff>
      <xdr:row>46</xdr:row>
      <xdr:rowOff>1</xdr:rowOff>
    </xdr:from>
    <xdr:to>
      <xdr:col>5</xdr:col>
      <xdr:colOff>373667</xdr:colOff>
      <xdr:row>68</xdr:row>
      <xdr:rowOff>76200</xdr:rowOff>
    </xdr:to>
    <xdr:pic>
      <xdr:nvPicPr>
        <xdr:cNvPr id="3" name="图片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1" y="8412481"/>
          <a:ext cx="6553486" cy="4099559"/>
        </a:xfrm>
        <a:prstGeom prst="rect">
          <a:avLst/>
        </a:prstGeom>
      </xdr:spPr>
    </xdr:pic>
    <xdr:clientData/>
  </xdr:twoCellAnchor>
  <xdr:twoCellAnchor editAs="oneCell">
    <xdr:from>
      <xdr:col>0</xdr:col>
      <xdr:colOff>0</xdr:colOff>
      <xdr:row>69</xdr:row>
      <xdr:rowOff>0</xdr:rowOff>
    </xdr:from>
    <xdr:to>
      <xdr:col>5</xdr:col>
      <xdr:colOff>335280</xdr:colOff>
      <xdr:row>87</xdr:row>
      <xdr:rowOff>15097</xdr:rowOff>
    </xdr:to>
    <xdr:pic>
      <xdr:nvPicPr>
        <xdr:cNvPr id="4" name="图片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0" y="12618720"/>
          <a:ext cx="6515100" cy="3306937"/>
        </a:xfrm>
        <a:prstGeom prst="rect">
          <a:avLst/>
        </a:prstGeom>
      </xdr:spPr>
    </xdr:pic>
    <xdr:clientData/>
  </xdr:twoCellAnchor>
  <xdr:twoCellAnchor editAs="oneCell">
    <xdr:from>
      <xdr:col>5</xdr:col>
      <xdr:colOff>457200</xdr:colOff>
      <xdr:row>25</xdr:row>
      <xdr:rowOff>57150</xdr:rowOff>
    </xdr:from>
    <xdr:to>
      <xdr:col>12</xdr:col>
      <xdr:colOff>1976298</xdr:colOff>
      <xdr:row>46</xdr:row>
      <xdr:rowOff>152400</xdr:rowOff>
    </xdr:to>
    <xdr:pic>
      <xdr:nvPicPr>
        <xdr:cNvPr id="5" name="图片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6629400" y="4819650"/>
          <a:ext cx="7119798" cy="4095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38100</xdr:rowOff>
    </xdr:from>
    <xdr:to>
      <xdr:col>5</xdr:col>
      <xdr:colOff>161524</xdr:colOff>
      <xdr:row>14</xdr:row>
      <xdr:rowOff>175174</xdr:rowOff>
    </xdr:to>
    <xdr:pic>
      <xdr:nvPicPr>
        <xdr:cNvPr id="2" name="图片 1">
          <a:extLst>
            <a:ext uri="{FF2B5EF4-FFF2-40B4-BE49-F238E27FC236}">
              <a16:creationId xmlns=""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2049780"/>
          <a:ext cx="3209524" cy="685714"/>
        </a:xfrm>
        <a:prstGeom prst="rect">
          <a:avLst/>
        </a:prstGeom>
      </xdr:spPr>
    </xdr:pic>
    <xdr:clientData/>
  </xdr:twoCellAnchor>
  <xdr:twoCellAnchor editAs="oneCell">
    <xdr:from>
      <xdr:col>0</xdr:col>
      <xdr:colOff>0</xdr:colOff>
      <xdr:row>14</xdr:row>
      <xdr:rowOff>175261</xdr:rowOff>
    </xdr:from>
    <xdr:to>
      <xdr:col>7</xdr:col>
      <xdr:colOff>448837</xdr:colOff>
      <xdr:row>20</xdr:row>
      <xdr:rowOff>30481</xdr:rowOff>
    </xdr:to>
    <xdr:pic>
      <xdr:nvPicPr>
        <xdr:cNvPr id="5" name="图片 4">
          <a:extLst>
            <a:ext uri="{FF2B5EF4-FFF2-40B4-BE49-F238E27FC236}">
              <a16:creationId xmlns=""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0" y="2735581"/>
          <a:ext cx="4716037" cy="952500"/>
        </a:xfrm>
        <a:prstGeom prst="rect">
          <a:avLst/>
        </a:prstGeom>
      </xdr:spPr>
    </xdr:pic>
    <xdr:clientData/>
  </xdr:twoCellAnchor>
  <xdr:twoCellAnchor editAs="oneCell">
    <xdr:from>
      <xdr:col>0</xdr:col>
      <xdr:colOff>1</xdr:colOff>
      <xdr:row>5</xdr:row>
      <xdr:rowOff>106681</xdr:rowOff>
    </xdr:from>
    <xdr:to>
      <xdr:col>9</xdr:col>
      <xdr:colOff>49669</xdr:colOff>
      <xdr:row>11</xdr:row>
      <xdr:rowOff>7620</xdr:rowOff>
    </xdr:to>
    <xdr:pic>
      <xdr:nvPicPr>
        <xdr:cNvPr id="9" name="图片 8">
          <a:extLst>
            <a:ext uri="{FF2B5EF4-FFF2-40B4-BE49-F238E27FC236}">
              <a16:creationId xmlns="" xmlns:a16="http://schemas.microsoft.com/office/drawing/2014/main" id="{00000000-0008-0000-2400-000009000000}"/>
            </a:ext>
          </a:extLst>
        </xdr:cNvPr>
        <xdr:cNvPicPr>
          <a:picLocks noChangeAspect="1"/>
        </xdr:cNvPicPr>
      </xdr:nvPicPr>
      <xdr:blipFill>
        <a:blip xmlns:r="http://schemas.openxmlformats.org/officeDocument/2006/relationships" r:embed="rId3"/>
        <a:stretch>
          <a:fillRect/>
        </a:stretch>
      </xdr:blipFill>
      <xdr:spPr>
        <a:xfrm>
          <a:off x="1" y="1021081"/>
          <a:ext cx="5536068" cy="998219"/>
        </a:xfrm>
        <a:prstGeom prst="rect">
          <a:avLst/>
        </a:prstGeom>
      </xdr:spPr>
    </xdr:pic>
    <xdr:clientData/>
  </xdr:twoCellAnchor>
  <xdr:twoCellAnchor editAs="oneCell">
    <xdr:from>
      <xdr:col>0</xdr:col>
      <xdr:colOff>0</xdr:colOff>
      <xdr:row>0</xdr:row>
      <xdr:rowOff>0</xdr:rowOff>
    </xdr:from>
    <xdr:to>
      <xdr:col>7</xdr:col>
      <xdr:colOff>494705</xdr:colOff>
      <xdr:row>5</xdr:row>
      <xdr:rowOff>152267</xdr:rowOff>
    </xdr:to>
    <xdr:pic>
      <xdr:nvPicPr>
        <xdr:cNvPr id="13" name="图片 12">
          <a:extLst>
            <a:ext uri="{FF2B5EF4-FFF2-40B4-BE49-F238E27FC236}">
              <a16:creationId xmlns="" xmlns:a16="http://schemas.microsoft.com/office/drawing/2014/main" id="{00000000-0008-0000-2400-00000D000000}"/>
            </a:ext>
          </a:extLst>
        </xdr:cNvPr>
        <xdr:cNvPicPr>
          <a:picLocks noChangeAspect="1"/>
        </xdr:cNvPicPr>
      </xdr:nvPicPr>
      <xdr:blipFill>
        <a:blip xmlns:r="http://schemas.openxmlformats.org/officeDocument/2006/relationships" r:embed="rId4"/>
        <a:stretch>
          <a:fillRect/>
        </a:stretch>
      </xdr:blipFill>
      <xdr:spPr>
        <a:xfrm>
          <a:off x="0" y="0"/>
          <a:ext cx="4761905" cy="1066667"/>
        </a:xfrm>
        <a:prstGeom prst="rect">
          <a:avLst/>
        </a:prstGeom>
      </xdr:spPr>
    </xdr:pic>
    <xdr:clientData/>
  </xdr:twoCellAnchor>
  <xdr:twoCellAnchor editAs="oneCell">
    <xdr:from>
      <xdr:col>0</xdr:col>
      <xdr:colOff>0</xdr:colOff>
      <xdr:row>20</xdr:row>
      <xdr:rowOff>22860</xdr:rowOff>
    </xdr:from>
    <xdr:to>
      <xdr:col>5</xdr:col>
      <xdr:colOff>548640</xdr:colOff>
      <xdr:row>25</xdr:row>
      <xdr:rowOff>106068</xdr:rowOff>
    </xdr:to>
    <xdr:pic>
      <xdr:nvPicPr>
        <xdr:cNvPr id="14" name="图片 13">
          <a:extLst>
            <a:ext uri="{FF2B5EF4-FFF2-40B4-BE49-F238E27FC236}">
              <a16:creationId xmlns="" xmlns:a16="http://schemas.microsoft.com/office/drawing/2014/main" id="{00000000-0008-0000-2400-00000E000000}"/>
            </a:ext>
          </a:extLst>
        </xdr:cNvPr>
        <xdr:cNvPicPr>
          <a:picLocks noChangeAspect="1"/>
        </xdr:cNvPicPr>
      </xdr:nvPicPr>
      <xdr:blipFill>
        <a:blip xmlns:r="http://schemas.openxmlformats.org/officeDocument/2006/relationships" r:embed="rId5"/>
        <a:stretch>
          <a:fillRect/>
        </a:stretch>
      </xdr:blipFill>
      <xdr:spPr>
        <a:xfrm>
          <a:off x="0" y="3680460"/>
          <a:ext cx="3596640" cy="997608"/>
        </a:xfrm>
        <a:prstGeom prst="rect">
          <a:avLst/>
        </a:prstGeom>
      </xdr:spPr>
    </xdr:pic>
    <xdr:clientData/>
  </xdr:twoCellAnchor>
  <xdr:twoCellAnchor editAs="oneCell">
    <xdr:from>
      <xdr:col>0</xdr:col>
      <xdr:colOff>1</xdr:colOff>
      <xdr:row>26</xdr:row>
      <xdr:rowOff>0</xdr:rowOff>
    </xdr:from>
    <xdr:to>
      <xdr:col>9</xdr:col>
      <xdr:colOff>1</xdr:colOff>
      <xdr:row>29</xdr:row>
      <xdr:rowOff>160941</xdr:rowOff>
    </xdr:to>
    <xdr:pic>
      <xdr:nvPicPr>
        <xdr:cNvPr id="15" name="图片 14">
          <a:extLst>
            <a:ext uri="{FF2B5EF4-FFF2-40B4-BE49-F238E27FC236}">
              <a16:creationId xmlns="" xmlns:a16="http://schemas.microsoft.com/office/drawing/2014/main" id="{00000000-0008-0000-2400-00000F000000}"/>
            </a:ext>
          </a:extLst>
        </xdr:cNvPr>
        <xdr:cNvPicPr>
          <a:picLocks noChangeAspect="1"/>
        </xdr:cNvPicPr>
      </xdr:nvPicPr>
      <xdr:blipFill>
        <a:blip xmlns:r="http://schemas.openxmlformats.org/officeDocument/2006/relationships" r:embed="rId6"/>
        <a:stretch>
          <a:fillRect/>
        </a:stretch>
      </xdr:blipFill>
      <xdr:spPr>
        <a:xfrm>
          <a:off x="1" y="4754880"/>
          <a:ext cx="5486400" cy="709581"/>
        </a:xfrm>
        <a:prstGeom prst="rect">
          <a:avLst/>
        </a:prstGeom>
      </xdr:spPr>
    </xdr:pic>
    <xdr:clientData/>
  </xdr:twoCellAnchor>
  <xdr:twoCellAnchor editAs="oneCell">
    <xdr:from>
      <xdr:col>9</xdr:col>
      <xdr:colOff>45720</xdr:colOff>
      <xdr:row>0</xdr:row>
      <xdr:rowOff>0</xdr:rowOff>
    </xdr:from>
    <xdr:to>
      <xdr:col>20</xdr:col>
      <xdr:colOff>66712</xdr:colOff>
      <xdr:row>14</xdr:row>
      <xdr:rowOff>72044</xdr:rowOff>
    </xdr:to>
    <xdr:pic>
      <xdr:nvPicPr>
        <xdr:cNvPr id="16" name="图片 15">
          <a:extLst>
            <a:ext uri="{FF2B5EF4-FFF2-40B4-BE49-F238E27FC236}">
              <a16:creationId xmlns="" xmlns:a16="http://schemas.microsoft.com/office/drawing/2014/main" id="{00000000-0008-0000-2400-000010000000}"/>
            </a:ext>
          </a:extLst>
        </xdr:cNvPr>
        <xdr:cNvPicPr>
          <a:picLocks noChangeAspect="1"/>
        </xdr:cNvPicPr>
      </xdr:nvPicPr>
      <xdr:blipFill>
        <a:blip xmlns:r="http://schemas.openxmlformats.org/officeDocument/2006/relationships" r:embed="rId7"/>
        <a:stretch>
          <a:fillRect/>
        </a:stretch>
      </xdr:blipFill>
      <xdr:spPr>
        <a:xfrm>
          <a:off x="5532120" y="0"/>
          <a:ext cx="6726592" cy="2632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04&#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02&#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11&#20303;&#23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928;&#20540;&#25104;&#26412;&#35745;&#3163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06&#21830;&#19994;-&#22312;&#243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04&#20303;&#23429;-&#22312;&#243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07&#20303;&#23429;-&#29616;&#2515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07&#21830;&#19994;-&#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公寓"/>
      <sheetName val="开发完成后案例"/>
      <sheetName val="不动产收益法"/>
      <sheetName val="租金"/>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29443</v>
          </cell>
          <cell r="C14">
            <v>5889.06</v>
          </cell>
          <cell r="D14">
            <v>16230</v>
          </cell>
          <cell r="I14">
            <v>14004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公寓"/>
      <sheetName val="不动产收益法"/>
      <sheetName val="不动产收益法-地下车库"/>
      <sheetName val="租金"/>
      <sheetName val="开发完成后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101813.25</v>
          </cell>
          <cell r="C14">
            <v>14931.35</v>
          </cell>
          <cell r="D14">
            <v>39314</v>
          </cell>
          <cell r="I14">
            <v>34215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开发完成后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30263.600000000002</v>
          </cell>
          <cell r="C14">
            <v>6531.35</v>
          </cell>
          <cell r="D14">
            <v>19487</v>
          </cell>
          <cell r="I14">
            <v>16229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货值"/>
      <sheetName val="抵押"/>
      <sheetName val="合规性资金缺口"/>
      <sheetName val="Sheet2"/>
      <sheetName val="配资比计算"/>
      <sheetName val="测算"/>
      <sheetName val="Sheet6"/>
    </sheetNames>
    <sheetDataSet>
      <sheetData sheetId="0">
        <row r="5">
          <cell r="I5">
            <v>468</v>
          </cell>
        </row>
        <row r="6">
          <cell r="I6">
            <v>27</v>
          </cell>
        </row>
        <row r="7">
          <cell r="I7">
            <v>720</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系统读取表"/>
      <sheetName val="估价对象房地状况"/>
      <sheetName val="结果表"/>
      <sheetName val="成本法"/>
      <sheetName val="成本法 (元)"/>
      <sheetName val="土地比较法-住宅、综合"/>
      <sheetName val="假设开发法"/>
      <sheetName val="收益法"/>
      <sheetName val="收益法 (元)"/>
      <sheetName val="收益法（汇总）"/>
      <sheetName val="酒店收入计算"/>
      <sheetName val="比较法-公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29959.62</v>
          </cell>
          <cell r="C14">
            <v>6387.46</v>
          </cell>
          <cell r="D14">
            <v>24392</v>
          </cell>
          <cell r="I14">
            <v>22052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6078.82</v>
          </cell>
          <cell r="C14">
            <v>1221.5999999999999</v>
          </cell>
          <cell r="D14">
            <v>7499</v>
          </cell>
          <cell r="I14">
            <v>5918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结果表-净值"/>
      <sheetName val="成本法 (元)"/>
      <sheetName val="土地比较法-住宅、综合"/>
      <sheetName val="假设开发法"/>
      <sheetName val="收益法"/>
      <sheetName val="收益法（汇总）"/>
      <sheetName val="酒店收入计算"/>
      <sheetName val="比较法-住宅"/>
      <sheetName val="收益法 (元)"/>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9">
          <cell r="N59">
            <v>2398</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B22">
            <v>2512.2799999999997</v>
          </cell>
          <cell r="S22">
            <v>3861</v>
          </cell>
        </row>
      </sheetData>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结果表-净值"/>
      <sheetName val="比较法-商业"/>
      <sheetName val="案例"/>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9">
          <cell r="N59">
            <v>11767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2">
          <cell r="B22">
            <v>7422.0700000000006</v>
          </cell>
          <cell r="S22">
            <v>16607</v>
          </cell>
        </row>
      </sheetData>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125" style="2842" customWidth="1"/>
    <col min="3" max="18" width="9" style="2836"/>
    <col min="19" max="19" width="17.75" style="2836" customWidth="1"/>
    <col min="20" max="51" width="9" style="2836"/>
    <col min="52" max="52" width="13.1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2650</v>
      </c>
      <c r="B1" s="2846" t="s">
        <v>2747</v>
      </c>
    </row>
    <row r="2" spans="1:55" s="2850" customFormat="1" ht="15" thickTop="1">
      <c r="A2" s="2848" t="s">
        <v>2654</v>
      </c>
      <c r="B2" s="2849" t="str">
        <f>'预评函-封皮'!B37</f>
        <v>河南省郑州市管城区出让国有建设用地使用权抵押价格预评估</v>
      </c>
      <c r="AX2" s="2851"/>
      <c r="AZ2" s="2851"/>
      <c r="BA2" s="2852"/>
      <c r="BC2" s="2852"/>
    </row>
    <row r="3" spans="1:55" s="2853" customFormat="1">
      <c r="A3" s="2832" t="s">
        <v>2655</v>
      </c>
      <c r="B3" s="2835">
        <f>'预评函-封皮'!B40</f>
        <v>0</v>
      </c>
    </row>
    <row r="4" spans="1:55" s="2834" customFormat="1">
      <c r="A4" s="2832" t="s">
        <v>2656</v>
      </c>
      <c r="B4" s="2833" t="str">
        <f>'预评函-封皮'!B46</f>
        <v>王鹏、郑燚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2657</v>
      </c>
      <c r="B5" s="2855" t="str">
        <f>'预评函-封皮'!B49</f>
        <v>康正预评字号</v>
      </c>
    </row>
    <row r="6" spans="1:55" s="2856" customFormat="1" ht="15" thickTop="1">
      <c r="A6" s="2848" t="s">
        <v>2699</v>
      </c>
      <c r="B6" s="2849" t="str">
        <f>'预评函-1'!A4</f>
        <v>受贵公司委托，我公司对河南省郑州市管城区出让国有建设用地使用权抵押价格进行了预评估。</v>
      </c>
      <c r="AM6" s="2857"/>
    </row>
    <row r="7" spans="1:55" s="2831" customFormat="1">
      <c r="A7" s="2832" t="s">
        <v>2651</v>
      </c>
      <c r="B7" s="2833" t="str">
        <f>'预评函-1'!A6</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8" spans="1:55" s="2831" customFormat="1">
      <c r="A8" s="2832" t="s">
        <v>2652</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2702</v>
      </c>
      <c r="B9" s="2833" t="str">
        <f>'预评函-1'!A9</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2653</v>
      </c>
      <c r="B10" s="2833" t="str">
        <f>'预评函-1'!A11</f>
        <v>2020年5月10日（评估专业人员勘察现场之日）</v>
      </c>
    </row>
    <row r="11" spans="1:55" s="2831" customFormat="1">
      <c r="A11" s="2832" t="s">
        <v>2659</v>
      </c>
      <c r="B11" s="2833" t="str">
        <f>'预评函-1'!A14</f>
        <v>根据《国有土地使用证》[]，本次评估估价对象证载（地类）用途为。</v>
      </c>
    </row>
    <row r="12" spans="1:55" s="2831" customFormat="1">
      <c r="A12" s="2832" t="s">
        <v>2660</v>
      </c>
      <c r="B12" s="2833" t="str">
        <f>'预评函-1'!A15</f>
        <v>本次评估设定用途即为证载用途。</v>
      </c>
    </row>
    <row r="13" spans="1:55" s="2831" customFormat="1">
      <c r="A13" s="2832" t="s">
        <v>2661</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2662</v>
      </c>
      <c r="B14" s="2833" t="str">
        <f>'预评函-1'!A18</f>
        <v>。本次评估设定土地开发程度为红线外市政基础设施达“七通”、宗地红线内场地平整。</v>
      </c>
    </row>
    <row r="15" spans="1:55" s="2831" customFormat="1">
      <c r="A15" s="2832" t="s">
        <v>2658</v>
      </c>
      <c r="B15" s="2833" t="str">
        <f>'预评函-1'!A20</f>
        <v>根据《国有土地使用证》[]，估价对象（分摊）出让国有建设用地使用权面积为817.26平方米。根据《建设工程规划许可证》[]、《出让合同》[]，估价对象规划建筑面积为4086平方米。</v>
      </c>
    </row>
    <row r="16" spans="1:55" s="2831" customFormat="1">
      <c r="A16" s="2832" t="s">
        <v>2663</v>
      </c>
      <c r="B16" s="2833" t="str">
        <f>'预评函-1'!A22</f>
        <v>本次估价对象为出让国有建设用地使用权，《国有土地使用证》[]证载土地终止日期为住宅2083年6月9日、商业2053年6月9日。截至估价期日，出让国有建设用地使用权剩余土地使用年限为。</v>
      </c>
    </row>
    <row r="17" spans="1:48" s="2831" customFormat="1">
      <c r="A17" s="2832" t="s">
        <v>2664</v>
      </c>
      <c r="B17" s="2833" t="str">
        <f>'预评函-1'!A23</f>
        <v>本次评估设定估价对象剩余土地使用年限为。</v>
      </c>
    </row>
    <row r="18" spans="1:48" s="2831" customFormat="1">
      <c r="A18" s="2832" t="s">
        <v>2665</v>
      </c>
      <c r="B18" s="2833" t="str">
        <f>'预评函-1'!A25</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19" spans="1:48" s="2831" customFormat="1">
      <c r="A19" s="2832" t="s">
        <v>2666</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2667</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2668</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2669</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2670</v>
      </c>
      <c r="B23" s="2833" t="str">
        <f>'预评函-2'!K2</f>
        <v>估价期日：2020年5月10日</v>
      </c>
    </row>
    <row r="24" spans="1:48">
      <c r="A24" s="2832" t="s">
        <v>2671</v>
      </c>
      <c r="B24" s="2833" t="str">
        <f>'预评函-2'!R2</f>
        <v>估价期日的国有建设用地使用权性质：出让</v>
      </c>
    </row>
    <row r="25" spans="1:48">
      <c r="A25" s="2832" t="s">
        <v>2727</v>
      </c>
      <c r="B25" s="2833" t="str">
        <f>'预评函-2'!A3</f>
        <v>估价期日土地使用者</v>
      </c>
    </row>
    <row r="26" spans="1:48">
      <c r="A26" s="2832" t="s">
        <v>2703</v>
      </c>
      <c r="B26" s="2833" t="str">
        <f>'预评函-2'!A5</f>
        <v>中信开发</v>
      </c>
    </row>
    <row r="27" spans="1:48">
      <c r="A27" s="2832" t="s">
        <v>2728</v>
      </c>
      <c r="B27" s="2833" t="str">
        <f>'预评函-2'!B3</f>
        <v>宗地编号/不动产单元号</v>
      </c>
    </row>
    <row r="28" spans="1:48">
      <c r="A28" s="2832" t="s">
        <v>2704</v>
      </c>
      <c r="B28" s="2833" t="str">
        <f>'预评函-2'!B5</f>
        <v>11111111111</v>
      </c>
    </row>
    <row r="29" spans="1:48">
      <c r="A29" s="2832" t="s">
        <v>2730</v>
      </c>
      <c r="B29" s="2833">
        <f>'预评函-2'!C5</f>
        <v>22</v>
      </c>
    </row>
    <row r="30" spans="1:48">
      <c r="A30" s="2832" t="s">
        <v>2731</v>
      </c>
      <c r="B30" s="2833" t="str">
        <f>'预评函-2'!D3</f>
        <v>土地使用证编号/不动产权证书编号</v>
      </c>
    </row>
    <row r="31" spans="1:48">
      <c r="A31" s="2832" t="s">
        <v>2705</v>
      </c>
      <c r="B31" s="2833" t="str">
        <f>'预评函-2'!D5</f>
        <v>京国土字第111号</v>
      </c>
    </row>
    <row r="32" spans="1:48">
      <c r="A32" s="2832" t="s">
        <v>2706</v>
      </c>
      <c r="B32" s="2833">
        <f>'预评函-2'!E5</f>
        <v>0</v>
      </c>
      <c r="AV32" s="2837"/>
    </row>
    <row r="33" spans="1:2">
      <c r="A33" s="2832" t="s">
        <v>2707</v>
      </c>
      <c r="B33" s="2833">
        <f>'预评函-2'!F5</f>
        <v>258</v>
      </c>
    </row>
    <row r="34" spans="1:2">
      <c r="A34" s="2832" t="s">
        <v>2708</v>
      </c>
      <c r="B34" s="2833">
        <f>'预评函-2'!G5</f>
        <v>0</v>
      </c>
    </row>
    <row r="35" spans="1:2">
      <c r="A35" s="2832" t="s">
        <v>2709</v>
      </c>
      <c r="B35" s="2833">
        <f>'预评函-2'!H5</f>
        <v>1.5</v>
      </c>
    </row>
    <row r="36" spans="1:2">
      <c r="A36" s="2832" t="s">
        <v>2710</v>
      </c>
      <c r="B36" s="2833">
        <f>'预评函-2'!I5</f>
        <v>1.5</v>
      </c>
    </row>
    <row r="37" spans="1:2">
      <c r="A37" s="2832" t="s">
        <v>2711</v>
      </c>
      <c r="B37" s="2833">
        <f>'预评函-2'!J5</f>
        <v>1.5</v>
      </c>
    </row>
    <row r="38" spans="1:2">
      <c r="A38" s="2832" t="s">
        <v>2712</v>
      </c>
      <c r="B38" s="2833" t="str">
        <f>'预评函-2'!K5</f>
        <v>红线外七通、宗地红线内</v>
      </c>
    </row>
    <row r="39" spans="1:2">
      <c r="A39" s="2832" t="s">
        <v>2713</v>
      </c>
      <c r="B39" s="2833" t="str">
        <f>'预评函-2'!L5</f>
        <v>红线外七通、宗地红线内场地</v>
      </c>
    </row>
    <row r="40" spans="1:2">
      <c r="A40" s="2832" t="s">
        <v>2732</v>
      </c>
      <c r="B40" s="2833" t="str">
        <f>'预评函-2'!M3</f>
        <v>（剩余）土地使用年限/年</v>
      </c>
    </row>
    <row r="41" spans="1:2">
      <c r="A41" s="2832" t="s">
        <v>2714</v>
      </c>
      <c r="B41" s="2833">
        <f>'预评函-2'!M5</f>
        <v>0</v>
      </c>
    </row>
    <row r="42" spans="1:2">
      <c r="A42" s="2832" t="s">
        <v>2733</v>
      </c>
      <c r="B42" s="2833" t="str">
        <f>'预评函-2'!N3</f>
        <v>（分摊）出让国有建设用地使用权面积/㎡</v>
      </c>
    </row>
    <row r="43" spans="1:2">
      <c r="A43" s="2832" t="s">
        <v>2715</v>
      </c>
      <c r="B43" s="2833">
        <f>'预评函-2'!N5</f>
        <v>817.26</v>
      </c>
    </row>
    <row r="44" spans="1:2">
      <c r="A44" s="2832" t="s">
        <v>2734</v>
      </c>
      <c r="B44" s="2833" t="str">
        <f>'预评函-2'!O3</f>
        <v>规划建筑面积/㎡</v>
      </c>
    </row>
    <row r="45" spans="1:2">
      <c r="A45" s="2832" t="s">
        <v>2716</v>
      </c>
      <c r="B45" s="2833">
        <f>'预评函-2'!O5</f>
        <v>4086</v>
      </c>
    </row>
    <row r="46" spans="1:2">
      <c r="A46" s="2832" t="s">
        <v>2717</v>
      </c>
      <c r="B46" s="2833">
        <f ca="1">'预评函-2'!P5</f>
        <v>40159</v>
      </c>
    </row>
    <row r="47" spans="1:2">
      <c r="A47" s="2832" t="s">
        <v>2718</v>
      </c>
      <c r="B47" s="2833">
        <f ca="1">'预评函-2'!Q5</f>
        <v>8032</v>
      </c>
    </row>
    <row r="48" spans="1:2">
      <c r="A48" s="2832" t="s">
        <v>2719</v>
      </c>
      <c r="B48" s="2833">
        <f ca="1">'预评函-2'!R5</f>
        <v>3282</v>
      </c>
    </row>
    <row r="49" spans="1:2">
      <c r="A49" s="2832" t="s">
        <v>2735</v>
      </c>
      <c r="B49" s="2833" t="str">
        <f>'预评函-2'!A6</f>
        <v>抵押价格</v>
      </c>
    </row>
    <row r="50" spans="1:2">
      <c r="A50" s="2832" t="s">
        <v>2720</v>
      </c>
      <c r="B50" s="2833">
        <f ca="1">'预评函-2'!R6</f>
        <v>3282</v>
      </c>
    </row>
    <row r="51" spans="1:2">
      <c r="A51" s="2832" t="s">
        <v>2736</v>
      </c>
      <c r="B51" s="2833" t="str">
        <f>'预评函-2'!A7</f>
        <v>——</v>
      </c>
    </row>
    <row r="52" spans="1:2">
      <c r="A52" s="2832" t="s">
        <v>2721</v>
      </c>
      <c r="B52" s="2833" t="str">
        <f>'预评函-2'!R7</f>
        <v>——</v>
      </c>
    </row>
    <row r="53" spans="1:2">
      <c r="A53" s="2832" t="s">
        <v>2737</v>
      </c>
      <c r="B53" s="2833" t="str">
        <f>'预评函-2'!A8</f>
        <v>抵押净值</v>
      </c>
    </row>
    <row r="54" spans="1:2" s="2847" customFormat="1" ht="15" thickBot="1">
      <c r="A54" s="2854" t="s">
        <v>2722</v>
      </c>
      <c r="B54" s="2855">
        <f ca="1">'预评函-2'!R8</f>
        <v>2533</v>
      </c>
    </row>
    <row r="55" spans="1:2" ht="15" thickTop="1">
      <c r="A55" s="2843" t="s">
        <v>2672</v>
      </c>
      <c r="B55" s="2844" t="str">
        <f>'预评函-3'!A2</f>
        <v>1.权利限制：根据估价对象《不动产权证书》原件、《国有土地使用权》复印件，截至估价期日，估价对象抵押权未见登记。未设定租赁等其他他项权利。</v>
      </c>
    </row>
    <row r="56" spans="1:2">
      <c r="A56" s="2832" t="s">
        <v>2673</v>
      </c>
      <c r="B56" s="2833" t="str">
        <f>'预评函-3'!A3</f>
        <v>2.基础设施条件：估价对象实际开发程度为红线外七通、宗地红线内；本次评估设定开发程度为红线外七通、宗地红线内场地。</v>
      </c>
    </row>
    <row r="57" spans="1:2">
      <c r="A57" s="2832" t="s">
        <v>2674</v>
      </c>
      <c r="B57" s="2833" t="str">
        <f>'预评函-3'!A4</f>
        <v>3.估价规划限制条件：详见《建设工程规划许可证》[]、《出让合同》[]。</v>
      </c>
    </row>
    <row r="58" spans="1:2" s="2847" customFormat="1" ht="15" thickBot="1">
      <c r="A58" s="2854" t="s">
        <v>2723</v>
      </c>
      <c r="B58" s="2855" t="str">
        <f>'预评函-3'!A5</f>
        <v>4.影响价格的其他限定条件：无。</v>
      </c>
    </row>
    <row r="59" spans="1:2" ht="15" thickTop="1">
      <c r="A59" s="2843" t="s">
        <v>2675</v>
      </c>
      <c r="B59" s="2844" t="str">
        <f>'预评函-3'!A8</f>
        <v>2.本《评估意见函》仅供金融机构进行内部审核使用，不做其他目的之用。</v>
      </c>
    </row>
    <row r="60" spans="1:2">
      <c r="A60" s="2832" t="s">
        <v>2676</v>
      </c>
      <c r="B60" s="2833" t="str">
        <f>'预评函-3'!A9</f>
        <v>3.抵押双方在办理抵押登记手续时，应使用本公司出具的正式《土地估价报告》，特提请报告使用者注意。</v>
      </c>
    </row>
    <row r="61" spans="1:2">
      <c r="A61" s="2832" t="s">
        <v>2678</v>
      </c>
      <c r="B61" s="2833" t="str">
        <f>'预评函-3'!A10</f>
        <v>4.估价师所知悉的法定优先受偿款情况为：</v>
      </c>
    </row>
    <row r="62" spans="1:2">
      <c r="A62" s="2832" t="s">
        <v>2677</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2679</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2680</v>
      </c>
      <c r="B64" s="2838" t="str">
        <f>'预评函-3'!A13</f>
        <v>（3）。</v>
      </c>
    </row>
    <row r="65" spans="1:2">
      <c r="A65" s="2832" t="s">
        <v>2681</v>
      </c>
      <c r="B65" s="2839" t="str">
        <f>'预评函-3'!A14</f>
        <v>综上，本次评估不存在估价师知悉的法定优先受偿款</v>
      </c>
    </row>
    <row r="66" spans="1:2">
      <c r="A66" s="2832" t="s">
        <v>2682</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2683</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2686</v>
      </c>
      <c r="B68" s="2858">
        <f>'预评函-3'!D30</f>
        <v>42558</v>
      </c>
    </row>
    <row r="69" spans="1:2" ht="15" thickTop="1">
      <c r="A69" s="2843" t="s">
        <v>2684</v>
      </c>
      <c r="B69" s="2844" t="str">
        <f>'预评函-3'!A20</f>
        <v>王鹏</v>
      </c>
    </row>
    <row r="70" spans="1:2">
      <c r="A70" s="2832" t="s">
        <v>2684</v>
      </c>
      <c r="B70" s="2839">
        <f ca="1">'预评函-3'!B20</f>
        <v>2002110030</v>
      </c>
    </row>
    <row r="71" spans="1:2">
      <c r="A71" s="2832" t="s">
        <v>2685</v>
      </c>
      <c r="B71" s="2833" t="str">
        <f>'预评函-3'!A21</f>
        <v>郑燚</v>
      </c>
    </row>
    <row r="72" spans="1:2" s="2847" customFormat="1" ht="15" thickBot="1">
      <c r="A72" s="2854" t="s">
        <v>2685</v>
      </c>
      <c r="B72" s="2860">
        <f ca="1">'预评函-3'!B21</f>
        <v>2014110011</v>
      </c>
    </row>
    <row r="73" spans="1:2" ht="15" thickTop="1">
      <c r="A73" s="2843" t="s">
        <v>2744</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2745</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2746</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2781</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H8" sqref="H8"/>
    </sheetView>
  </sheetViews>
  <sheetFormatPr defaultColWidth="10" defaultRowHeight="14.25"/>
  <cols>
    <col min="1" max="1" width="15.375" style="1674" customWidth="1"/>
    <col min="2" max="2" width="11.375" style="1674" customWidth="1"/>
    <col min="3" max="3" width="12.625" style="1674" customWidth="1"/>
    <col min="4" max="4" width="11.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1934</v>
      </c>
      <c r="B1" s="3232" t="str">
        <f>IF(B10="北京市","北京市",C10)&amp;F10&amp;B16&amp;"国有建设用地使用权"&amp;B9&amp;"预评估"</f>
        <v>河南省郑州市管城区出让国有建设用地使用权抵押价格预评估</v>
      </c>
      <c r="C1" s="3233"/>
      <c r="D1" s="3233"/>
      <c r="E1" s="3233"/>
      <c r="F1" s="3233"/>
      <c r="G1" s="3233"/>
      <c r="H1" s="3233"/>
      <c r="I1" s="3234"/>
      <c r="J1" s="1677"/>
      <c r="K1" s="2418" t="str">
        <f>IF(B10="北京市","北京市",C10)&amp;F10&amp;B16&amp;"国有建设用地使用权"&amp;B9</f>
        <v>河南省郑州市管城区出让国有建设用地使用权抵押价格</v>
      </c>
      <c r="L1" s="1706"/>
      <c r="M1" s="1706"/>
      <c r="N1" s="1677"/>
      <c r="O1" s="1678"/>
      <c r="P1" s="1677"/>
      <c r="Q1" s="1677"/>
      <c r="R1" s="1677"/>
      <c r="S1" s="1677"/>
      <c r="T1" s="1677"/>
      <c r="U1" s="1677"/>
    </row>
    <row r="2" spans="1:21">
      <c r="A2" s="1643" t="s">
        <v>1935</v>
      </c>
      <c r="B2" s="1825"/>
      <c r="D2" s="1677"/>
      <c r="E2" s="1677"/>
      <c r="F2" s="1677"/>
      <c r="G2" s="1677"/>
      <c r="H2" s="1643"/>
      <c r="I2" s="1678"/>
      <c r="J2" s="1677"/>
      <c r="K2" s="2418" t="str">
        <f>IF(B10="北京市","北京市",C10)&amp;F10&amp;B16&amp;"国有建设用地使用权"</f>
        <v>河南省郑州市管城区出让国有建设用地使用权</v>
      </c>
      <c r="L2" s="1706"/>
      <c r="M2" s="1706"/>
      <c r="N2" s="1677"/>
      <c r="O2" s="1678"/>
      <c r="P2" s="1677"/>
      <c r="Q2" s="1677"/>
      <c r="R2" s="1677"/>
      <c r="S2" s="1677"/>
      <c r="T2" s="1677"/>
      <c r="U2" s="1677"/>
    </row>
    <row r="3" spans="1:21">
      <c r="A3" s="1644" t="s">
        <v>1936</v>
      </c>
      <c r="B3" s="1645">
        <v>43961</v>
      </c>
      <c r="C3" s="1646" t="s">
        <v>1992</v>
      </c>
      <c r="D3" s="1645">
        <v>43961</v>
      </c>
      <c r="E3" s="1677"/>
      <c r="F3" s="1677"/>
      <c r="G3" s="1677"/>
      <c r="H3" s="1643"/>
      <c r="I3" s="1678"/>
      <c r="J3" s="1677"/>
      <c r="K3" s="1757"/>
      <c r="L3" s="1706"/>
      <c r="M3" s="1706"/>
      <c r="N3" s="1677"/>
      <c r="O3" s="1678"/>
      <c r="P3" s="1677"/>
      <c r="Q3" s="1677"/>
      <c r="R3" s="1677"/>
      <c r="S3" s="1677"/>
      <c r="T3" s="1677"/>
      <c r="U3" s="1677"/>
    </row>
    <row r="4" spans="1:21" ht="15" thickBot="1">
      <c r="A4" s="1647" t="s">
        <v>1937</v>
      </c>
      <c r="B4" s="1826" t="s">
        <v>2984</v>
      </c>
      <c r="C4" s="1829">
        <f ca="1">SUMIF(土地估价师,B4,估价师及机构信息!E3:E24)</f>
        <v>2002110030</v>
      </c>
      <c r="D4" s="1826" t="s">
        <v>2985</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5" thickTop="1">
      <c r="A5" s="1648" t="s">
        <v>1938</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2700</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2701</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1939</v>
      </c>
      <c r="B8" s="1653" t="s">
        <v>2976</v>
      </c>
      <c r="C8" s="1654"/>
      <c r="D8" s="3238" t="s">
        <v>1941</v>
      </c>
      <c r="E8" s="1827" t="s">
        <v>2986</v>
      </c>
      <c r="F8" s="1655"/>
      <c r="G8" s="1643"/>
      <c r="H8" s="1643"/>
      <c r="I8" s="1690"/>
      <c r="J8" s="1677"/>
      <c r="K8" s="1757"/>
      <c r="L8" s="1706"/>
      <c r="M8" s="1706"/>
      <c r="N8" s="1677"/>
      <c r="O8" s="1678"/>
      <c r="P8" s="1677"/>
      <c r="Q8" s="1677"/>
      <c r="R8" s="1677"/>
      <c r="S8" s="1677"/>
      <c r="T8" s="1677"/>
      <c r="U8" s="1677"/>
    </row>
    <row r="9" spans="1:21" ht="15" thickBot="1">
      <c r="A9" s="1656" t="s">
        <v>1940</v>
      </c>
      <c r="B9" s="1657" t="s">
        <v>2986</v>
      </c>
      <c r="C9" s="1658"/>
      <c r="D9" s="3239"/>
      <c r="E9" s="1657" t="s">
        <v>2848</v>
      </c>
      <c r="F9" s="1730"/>
      <c r="G9" s="1725"/>
      <c r="H9" s="1725"/>
      <c r="I9" s="1726"/>
      <c r="J9" s="1677"/>
      <c r="K9" s="1757"/>
      <c r="L9" s="1706"/>
      <c r="M9" s="1706"/>
      <c r="N9" s="1677"/>
      <c r="O9" s="1678"/>
      <c r="P9" s="1677"/>
      <c r="Q9" s="1677"/>
      <c r="R9" s="1677"/>
      <c r="S9" s="1677"/>
      <c r="T9" s="1677"/>
      <c r="U9" s="1677"/>
    </row>
    <row r="10" spans="1:21" ht="15" thickTop="1">
      <c r="A10" s="1727" t="s">
        <v>1996</v>
      </c>
      <c r="B10" s="1702" t="s">
        <v>2987</v>
      </c>
      <c r="C10" s="1659" t="s">
        <v>2988</v>
      </c>
      <c r="D10" s="1650"/>
      <c r="E10" s="1660" t="s">
        <v>1943</v>
      </c>
      <c r="F10" s="1661" t="s">
        <v>2989</v>
      </c>
      <c r="G10" s="1728"/>
      <c r="H10" s="1729"/>
      <c r="I10" s="1650"/>
      <c r="J10" s="1677"/>
      <c r="K10" s="1757"/>
      <c r="L10" s="1706"/>
      <c r="M10" s="1706"/>
      <c r="N10" s="1677"/>
      <c r="O10" s="1678"/>
      <c r="P10" s="1677"/>
      <c r="Q10" s="1677"/>
      <c r="R10" s="1677"/>
      <c r="S10" s="1677"/>
      <c r="T10" s="1677"/>
      <c r="U10" s="1677"/>
    </row>
    <row r="11" spans="1:21">
      <c r="A11" s="1680" t="s">
        <v>1997</v>
      </c>
      <c r="B11" s="1681" t="s">
        <v>2990</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2055</v>
      </c>
      <c r="B12" s="3235"/>
      <c r="C12" s="3236"/>
      <c r="D12" s="3237"/>
      <c r="E12" s="1682" t="s">
        <v>2058</v>
      </c>
      <c r="F12" s="3253" t="s">
        <v>2882</v>
      </c>
      <c r="G12" s="3254"/>
      <c r="H12" s="3254"/>
      <c r="I12" s="3255"/>
      <c r="J12" s="1677"/>
      <c r="K12" s="1757"/>
      <c r="L12" s="1706"/>
      <c r="M12" s="1706"/>
      <c r="N12" s="1677"/>
      <c r="O12" s="1678"/>
      <c r="P12" s="1677"/>
      <c r="Q12" s="1677"/>
      <c r="R12" s="1677"/>
      <c r="S12" s="1677"/>
      <c r="T12" s="1677"/>
      <c r="U12" s="1677"/>
    </row>
    <row r="13" spans="1:21">
      <c r="A13" s="1670" t="s">
        <v>2056</v>
      </c>
      <c r="B13" s="3235"/>
      <c r="C13" s="3236"/>
      <c r="D13" s="3237"/>
      <c r="E13" s="1682" t="s">
        <v>2058</v>
      </c>
      <c r="F13" s="3253" t="s">
        <v>2883</v>
      </c>
      <c r="G13" s="3254"/>
      <c r="H13" s="3254"/>
      <c r="I13" s="3255"/>
      <c r="J13" s="1677"/>
      <c r="K13" s="1757"/>
      <c r="L13" s="1706"/>
      <c r="M13" s="1706"/>
      <c r="N13" s="1677"/>
      <c r="O13" s="1678"/>
      <c r="P13" s="1677"/>
      <c r="Q13" s="1677"/>
      <c r="R13" s="1677"/>
      <c r="S13" s="1677"/>
      <c r="T13" s="1677"/>
      <c r="U13" s="1677"/>
    </row>
    <row r="14" spans="1:21">
      <c r="A14" s="1644" t="s">
        <v>2059</v>
      </c>
      <c r="B14" s="1682"/>
      <c r="C14" s="1828" t="s">
        <v>2991</v>
      </c>
      <c r="D14" s="1716" t="str">
        <f>IF(C14="不一致","是否符合证载地类范围","")</f>
        <v/>
      </c>
      <c r="E14" s="1682"/>
      <c r="F14" s="1773" t="s">
        <v>2992</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1946</v>
      </c>
      <c r="E15" s="1749" t="s">
        <v>1947</v>
      </c>
      <c r="F15" s="1749" t="s">
        <v>1948</v>
      </c>
      <c r="G15" s="1669" t="s">
        <v>1949</v>
      </c>
      <c r="H15" s="1669" t="s">
        <v>1950</v>
      </c>
      <c r="I15" s="1669" t="s">
        <v>1951</v>
      </c>
      <c r="J15" s="1677"/>
      <c r="K15" s="1757"/>
      <c r="L15" s="1706"/>
      <c r="M15" s="1706"/>
      <c r="N15" s="1677"/>
      <c r="O15" s="1678"/>
      <c r="P15" s="1677"/>
      <c r="Q15" s="1677"/>
      <c r="R15" s="1677"/>
      <c r="S15" s="1677"/>
      <c r="T15" s="1677"/>
      <c r="U15" s="1677"/>
    </row>
    <row r="16" spans="1:21" ht="28.5">
      <c r="A16" s="1663" t="s">
        <v>1944</v>
      </c>
      <c r="B16" s="1664" t="s">
        <v>2971</v>
      </c>
      <c r="C16" s="1682" t="s">
        <v>1945</v>
      </c>
      <c r="D16" s="2609" t="s">
        <v>1946</v>
      </c>
      <c r="E16" s="1705" t="s">
        <v>2993</v>
      </c>
      <c r="F16" s="1705"/>
      <c r="G16" s="1705"/>
      <c r="H16" s="1705"/>
      <c r="I16" s="1669" t="s">
        <v>1951</v>
      </c>
      <c r="J16" s="1677"/>
      <c r="K16" s="2419" t="str">
        <f>IF(D17="","",D16&amp;TEXT(D17,"yyyy年m月d日;;"))</f>
        <v>住宅2083年6月9日</v>
      </c>
      <c r="L16" s="1682" t="str">
        <f>IF(OR(K16="",M16=""),"","、")</f>
        <v>、</v>
      </c>
      <c r="M16" s="2419" t="str">
        <f>IF(E17="","",E16&amp;TEXT(E17,"yyyy年m月d日;;"))</f>
        <v>商业2053年6月9日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1952</v>
      </c>
      <c r="D17" s="1683">
        <v>67001</v>
      </c>
      <c r="E17" s="1683">
        <v>56044</v>
      </c>
      <c r="F17" s="1683"/>
      <c r="G17" s="1683"/>
      <c r="H17" s="1683"/>
      <c r="I17" s="1683"/>
      <c r="J17" s="1677"/>
      <c r="K17" s="2418" t="str">
        <f>CONCATENATE(K16,L16,M16,N16,O16,P16,Q16,R16,S16,T16,,U16)</f>
        <v>住宅2083年6月9日、商业2053年6月9日</v>
      </c>
      <c r="L17" s="1706"/>
      <c r="M17" s="1706"/>
      <c r="N17" s="1677"/>
      <c r="O17" s="1678"/>
      <c r="P17" s="1677"/>
      <c r="Q17" s="1677"/>
      <c r="R17" s="1677"/>
      <c r="S17" s="1677"/>
      <c r="T17" s="1677"/>
      <c r="U17" s="1677"/>
    </row>
    <row r="18" spans="1:21">
      <c r="A18" s="1746"/>
      <c r="B18" s="1665"/>
      <c r="C18" s="1666" t="s">
        <v>1953</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1954</v>
      </c>
      <c r="D19" s="1741">
        <f>IF(B16="出让",IF(D17="","",ROUNDDOWN(MIN((D17-$D$3)/365,D18),2)),D18)</f>
        <v>63.12</v>
      </c>
      <c r="E19" s="1668">
        <f>IF(B16="出让",IF(E17="","",ROUNDDOWN(MIN((E17-$D$3)/365,E18),2)),E18)</f>
        <v>33.1</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50"/>
      <c r="E20" s="3251"/>
      <c r="F20" s="3251"/>
      <c r="G20" s="3251"/>
      <c r="H20" s="3251"/>
      <c r="I20" s="3252"/>
      <c r="J20" s="1677"/>
      <c r="K20" s="1757"/>
      <c r="L20" s="1706"/>
      <c r="M20" s="1706"/>
      <c r="N20" s="1677"/>
      <c r="O20" s="1678"/>
      <c r="P20" s="1677"/>
      <c r="Q20" s="1677"/>
      <c r="R20" s="1677"/>
      <c r="S20" s="1677"/>
      <c r="T20" s="1677"/>
      <c r="U20" s="1677"/>
    </row>
    <row r="21" spans="1:21">
      <c r="A21" s="1746" t="s">
        <v>1955</v>
      </c>
      <c r="B21" s="1747" t="s">
        <v>1956</v>
      </c>
      <c r="C21" s="1742">
        <f>'数据-汇总表'!E3</f>
        <v>4086</v>
      </c>
      <c r="D21" s="1743" t="s">
        <v>1957</v>
      </c>
      <c r="E21" s="3240" t="s">
        <v>1995</v>
      </c>
      <c r="F21" s="3241"/>
      <c r="G21" s="3241"/>
      <c r="H21" s="3241"/>
      <c r="I21" s="3242"/>
      <c r="J21" s="1677"/>
      <c r="K21" s="1757"/>
      <c r="L21" s="1706"/>
      <c r="M21" s="1706"/>
      <c r="N21" s="1677"/>
      <c r="O21" s="1678"/>
      <c r="P21" s="1677"/>
      <c r="Q21" s="1677"/>
      <c r="R21" s="1677"/>
      <c r="S21" s="1677"/>
      <c r="T21" s="1677"/>
      <c r="U21" s="1677"/>
    </row>
    <row r="22" spans="1:21">
      <c r="A22" s="3095" t="s">
        <v>951</v>
      </c>
      <c r="B22" s="1644" t="s">
        <v>1958</v>
      </c>
      <c r="C22" s="1669">
        <f>'数据-汇总表'!D3</f>
        <v>817.26</v>
      </c>
      <c r="D22" s="1670" t="s">
        <v>1957</v>
      </c>
      <c r="E22" s="3240" t="s">
        <v>2884</v>
      </c>
      <c r="F22" s="3241"/>
      <c r="G22" s="3241"/>
      <c r="H22" s="3241"/>
      <c r="I22" s="3242"/>
      <c r="J22" s="1677"/>
      <c r="K22" s="1757"/>
      <c r="L22" s="1706"/>
      <c r="M22" s="1706"/>
      <c r="N22" s="1677"/>
      <c r="O22" s="1678"/>
      <c r="P22" s="1677"/>
      <c r="Q22" s="1677"/>
      <c r="R22" s="1677"/>
      <c r="S22" s="1677"/>
      <c r="T22" s="1677"/>
      <c r="U22" s="1677"/>
    </row>
    <row r="23" spans="1:21" ht="43.5" thickBot="1">
      <c r="A23" s="1748" t="s">
        <v>1959</v>
      </c>
      <c r="B23" s="1684" t="s">
        <v>1960</v>
      </c>
      <c r="C23" s="1685"/>
      <c r="D23" s="1686" t="s">
        <v>1961</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1962</v>
      </c>
      <c r="B24" s="3243" t="s">
        <v>1963</v>
      </c>
      <c r="C24" s="3244"/>
      <c r="D24" s="3245" t="s">
        <v>1964</v>
      </c>
      <c r="E24" s="3246"/>
      <c r="F24" s="1691" t="s">
        <v>1965</v>
      </c>
      <c r="G24" s="1677"/>
      <c r="H24" s="1677"/>
      <c r="I24" s="1690"/>
      <c r="J24" s="1677"/>
      <c r="K24" s="3231" t="s">
        <v>1966</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2322</v>
      </c>
      <c r="C25" s="1692" t="s">
        <v>1967</v>
      </c>
      <c r="D25" s="1693"/>
      <c r="E25" s="1694" t="s">
        <v>951</v>
      </c>
      <c r="F25" s="1695"/>
      <c r="G25" s="1677"/>
      <c r="H25" s="1677"/>
      <c r="I25" s="1690"/>
      <c r="J25" s="1677"/>
      <c r="K25" s="3231"/>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1968</v>
      </c>
      <c r="C26" s="1692" t="s">
        <v>2323</v>
      </c>
      <c r="D26" s="1643"/>
      <c r="E26" s="1643"/>
      <c r="F26" s="1671"/>
      <c r="G26" s="1677"/>
      <c r="H26" s="1677"/>
      <c r="I26" s="1690"/>
      <c r="J26" s="1677"/>
      <c r="K26" s="3231"/>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5" thickTop="1">
      <c r="A31" s="3258" t="s">
        <v>1998</v>
      </c>
      <c r="B31" s="1747" t="s">
        <v>1999</v>
      </c>
      <c r="C31" s="3256"/>
      <c r="D31" s="3257"/>
      <c r="E31" s="1677"/>
      <c r="F31" s="1677"/>
      <c r="G31" s="1677"/>
      <c r="H31" s="1677"/>
      <c r="I31" s="1690"/>
      <c r="J31" s="1677"/>
      <c r="K31" s="2421"/>
      <c r="L31" s="1677"/>
      <c r="M31" s="1677"/>
      <c r="N31" s="1677"/>
      <c r="O31" s="1677"/>
      <c r="P31" s="1677"/>
      <c r="Q31" s="1677"/>
      <c r="R31" s="1677"/>
      <c r="S31" s="1677"/>
      <c r="T31" s="1677"/>
      <c r="U31" s="1677"/>
    </row>
    <row r="32" spans="1:21">
      <c r="A32" s="3258"/>
      <c r="B32" s="1644" t="s">
        <v>2000</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8"/>
      <c r="B33" s="1644" t="s">
        <v>2001</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9"/>
      <c r="B34" s="1644" t="s">
        <v>2002</v>
      </c>
      <c r="C34" s="3260"/>
      <c r="D34" s="3261"/>
      <c r="E34" s="1677"/>
      <c r="F34" s="1677"/>
      <c r="G34" s="1677"/>
      <c r="H34" s="1677"/>
      <c r="I34" s="1690"/>
      <c r="J34" s="1677"/>
      <c r="K34" s="2421"/>
      <c r="L34" s="1677"/>
      <c r="M34" s="1677"/>
      <c r="N34" s="1677"/>
      <c r="O34" s="1677"/>
      <c r="P34" s="1677"/>
      <c r="Q34" s="1677"/>
      <c r="R34" s="1677"/>
      <c r="S34" s="1677"/>
      <c r="T34" s="1677"/>
      <c r="U34" s="1677"/>
    </row>
    <row r="35" spans="1:21">
      <c r="A35" s="3262" t="s">
        <v>846</v>
      </c>
      <c r="B35" s="1705"/>
      <c r="C35" s="1759" t="str">
        <f>IF(B35="场地平整","——","具体情况：")</f>
        <v>具体情况：</v>
      </c>
      <c r="D35" s="3264"/>
      <c r="E35" s="3265"/>
      <c r="F35" s="3265"/>
      <c r="G35" s="3265"/>
      <c r="H35" s="3265"/>
      <c r="I35" s="3266"/>
      <c r="J35" s="1677"/>
      <c r="K35" s="1758"/>
      <c r="L35" s="1706"/>
      <c r="M35" s="1706"/>
      <c r="N35" s="1677"/>
      <c r="O35" s="1678"/>
      <c r="P35" s="1677"/>
      <c r="Q35" s="1677"/>
      <c r="R35" s="1677"/>
      <c r="S35" s="1677"/>
      <c r="T35" s="1677"/>
      <c r="U35" s="1677"/>
    </row>
    <row r="36" spans="1:21">
      <c r="A36" s="3258"/>
      <c r="B36" s="3267" t="s">
        <v>2051</v>
      </c>
      <c r="C36" s="3268"/>
      <c r="D36" s="1775"/>
      <c r="E36" s="3269"/>
      <c r="F36" s="3269"/>
      <c r="G36" s="1670" t="str">
        <f>IF(B35="场地未平整","估价结果处理","")</f>
        <v/>
      </c>
      <c r="H36" s="3270"/>
      <c r="I36" s="3270"/>
      <c r="J36" s="1677"/>
      <c r="K36" s="1758"/>
      <c r="L36" s="1706"/>
      <c r="M36" s="1706"/>
      <c r="N36" s="1677"/>
      <c r="O36" s="1678"/>
      <c r="P36" s="1677"/>
      <c r="Q36" s="1677"/>
      <c r="R36" s="1677"/>
      <c r="S36" s="1677"/>
      <c r="T36" s="1677"/>
      <c r="U36" s="1677"/>
    </row>
    <row r="37" spans="1:21" ht="28.5">
      <c r="A37" s="3258"/>
      <c r="B37" s="3247"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58"/>
      <c r="B38" s="3248"/>
      <c r="C38" s="1652" t="s">
        <v>849</v>
      </c>
      <c r="D38" s="1774">
        <f>ROUNDDOWN(MIN(('数据-取费表'!$B$2-D37)/365,D34),1)</f>
        <v>120.4</v>
      </c>
      <c r="E38" s="1710" t="s">
        <v>850</v>
      </c>
      <c r="F38" s="1677"/>
      <c r="G38" s="1677"/>
      <c r="H38" s="1677"/>
      <c r="I38" s="1690"/>
      <c r="J38" s="1677"/>
      <c r="K38" s="1758"/>
      <c r="L38" s="1677"/>
      <c r="M38" s="1677"/>
      <c r="N38" s="1677"/>
      <c r="O38" s="1677"/>
      <c r="P38" s="1677"/>
      <c r="Q38" s="1677"/>
      <c r="R38" s="1677"/>
      <c r="S38" s="1677"/>
      <c r="T38" s="1677"/>
      <c r="U38" s="1677"/>
    </row>
    <row r="39" spans="1:21">
      <c r="A39" s="3259"/>
      <c r="B39" s="3249"/>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c r="C40" s="1673"/>
      <c r="D40" s="1673"/>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230" t="s">
        <v>1982</v>
      </c>
      <c r="T40" s="1714" t="str">
        <f>NUMBERSTRING(7-K40,1)&amp;"通"</f>
        <v>七通</v>
      </c>
      <c r="U40" s="1677"/>
    </row>
    <row r="41" spans="1:21" ht="28.5">
      <c r="A41" s="1646"/>
      <c r="B41" s="3263" t="s">
        <v>1720</v>
      </c>
      <c r="C41" s="3263"/>
      <c r="D41" s="3263"/>
      <c r="E41" s="3263"/>
      <c r="F41" s="1715" t="str">
        <f>C10</f>
        <v>河南省郑州市</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0"/>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4" sqref="I24"/>
    </sheetView>
  </sheetViews>
  <sheetFormatPr defaultColWidth="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5" style="15" bestFit="1" customWidth="1"/>
    <col min="14" max="14" width="9.5" style="15" customWidth="1"/>
    <col min="15" max="16" width="9.75" style="15" customWidth="1"/>
    <col min="17" max="17" width="9.375" style="15" customWidth="1"/>
    <col min="18" max="18" width="9.125" style="15" customWidth="1"/>
    <col min="19" max="28" width="10.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6706.32</v>
      </c>
      <c r="B3" s="22">
        <f>IF(C3="否",G5-AT5,G5)</f>
        <v>33529</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33529</v>
      </c>
      <c r="H5" s="27">
        <f t="shared" ref="H5:AT5" si="0">SUM(H13:H641)</f>
        <v>33529</v>
      </c>
      <c r="I5" s="27">
        <f t="shared" si="0"/>
        <v>4086</v>
      </c>
      <c r="J5" s="27">
        <f t="shared" si="0"/>
        <v>0</v>
      </c>
      <c r="K5" s="27">
        <f t="shared" si="0"/>
        <v>4315</v>
      </c>
      <c r="L5" s="27">
        <f t="shared" si="0"/>
        <v>0</v>
      </c>
      <c r="M5" s="27">
        <f t="shared" si="0"/>
        <v>25128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4086</v>
      </c>
      <c r="BA5" s="29">
        <f t="shared" si="1"/>
        <v>4086</v>
      </c>
      <c r="BB5" s="29">
        <f t="shared" si="1"/>
        <v>4086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6706.32</v>
      </c>
      <c r="F6" s="27" t="s">
        <v>1</v>
      </c>
      <c r="G6" s="27" t="s">
        <v>2</v>
      </c>
      <c r="H6" s="33">
        <f>SUMIF(I$12:AB$12,"总值",I6:AB6)</f>
        <v>6706.32</v>
      </c>
      <c r="I6" s="27">
        <f t="shared" ref="I6:AB6" si="2">ROUND($A$3*I5/$B$3,2)</f>
        <v>817.26</v>
      </c>
      <c r="J6" s="27">
        <f t="shared" si="2"/>
        <v>0</v>
      </c>
      <c r="K6" s="27">
        <f t="shared" si="2"/>
        <v>863.07</v>
      </c>
      <c r="L6" s="27">
        <f t="shared" si="2"/>
        <v>0</v>
      </c>
      <c r="M6" s="27">
        <f t="shared" si="2"/>
        <v>5025.99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817.26</v>
      </c>
      <c r="AZ6" s="27" t="s">
        <v>3</v>
      </c>
      <c r="BA6" s="27">
        <f>ROUND($AY$6*BA5/$AZ$5,2)</f>
        <v>817.26</v>
      </c>
      <c r="BB6" s="27">
        <f>ROUND($AY$6*BB5/$AZ$5,2)</f>
        <v>817.26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2998</v>
      </c>
      <c r="J9" s="51"/>
      <c r="K9" s="2970" t="s">
        <v>2998</v>
      </c>
      <c r="L9" s="51"/>
      <c r="M9" s="2970" t="s">
        <v>2998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922</v>
      </c>
      <c r="J10" s="51"/>
      <c r="K10" s="2972" t="s">
        <v>2993</v>
      </c>
      <c r="L10" s="51"/>
      <c r="M10" s="2972" t="s">
        <v>2993</v>
      </c>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2999</v>
      </c>
      <c r="J11" s="71"/>
      <c r="K11" s="2971" t="s">
        <v>3000</v>
      </c>
      <c r="L11" s="71"/>
      <c r="M11" s="70" t="s">
        <v>2995</v>
      </c>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底商</v>
      </c>
      <c r="BD12" s="79" t="str">
        <f>M11</f>
        <v>公寓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t="s">
        <v>2994</v>
      </c>
      <c r="D13" s="2966" t="s">
        <v>1677</v>
      </c>
      <c r="E13" s="27">
        <f t="shared" ref="E13:E20" si="6">IF($C$3="是",ROUND($A$3*G13/$B$3,2),ROUND($A$3*(G13-AT13)/$B$3,2))</f>
        <v>817.26</v>
      </c>
      <c r="F13" s="81"/>
      <c r="G13" s="82">
        <f t="shared" ref="G13:G20" si="7">H13+AC13+AT13</f>
        <v>4086</v>
      </c>
      <c r="H13" s="33">
        <f t="shared" ref="H13:H20" si="8">SUMIF(I$12:AB$12,"总值",I13:AB13)</f>
        <v>4086</v>
      </c>
      <c r="I13" s="2969">
        <f>面积!N8</f>
        <v>4086</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住宅</v>
      </c>
      <c r="AY13" s="995">
        <f t="shared" ref="AY13:AY20" si="11">ROUND($AY$6*AZ13/$AZ$5,2)</f>
        <v>817.26</v>
      </c>
      <c r="AZ13" s="27">
        <f t="shared" ref="AZ13:AZ20" si="12">BA13+BL13</f>
        <v>4086</v>
      </c>
      <c r="BA13" s="27">
        <f t="shared" ref="BA13:BA20" si="13">SUM(BB13:BK13)</f>
        <v>4086</v>
      </c>
      <c r="BB13" s="27">
        <f t="shared" ref="BB13:BB20" si="14">IF($D13="是",I13-J13,0)</f>
        <v>4086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5" t="s">
        <v>2996</v>
      </c>
      <c r="D14" s="2966" t="s">
        <v>3258</v>
      </c>
      <c r="E14" s="27">
        <f t="shared" si="6"/>
        <v>863.07</v>
      </c>
      <c r="F14" s="81"/>
      <c r="G14" s="82">
        <f t="shared" si="7"/>
        <v>4315</v>
      </c>
      <c r="H14" s="33">
        <f t="shared" si="8"/>
        <v>4315</v>
      </c>
      <c r="I14" s="2969"/>
      <c r="J14" s="2969"/>
      <c r="K14" s="2969">
        <f>面积!D9</f>
        <v>4315</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商业</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5" t="s">
        <v>2997</v>
      </c>
      <c r="D15" s="2966" t="s">
        <v>3258</v>
      </c>
      <c r="E15" s="27">
        <f t="shared" si="6"/>
        <v>5025.99</v>
      </c>
      <c r="F15" s="81"/>
      <c r="G15" s="82">
        <f t="shared" si="7"/>
        <v>25128</v>
      </c>
      <c r="H15" s="33">
        <f t="shared" si="8"/>
        <v>25128</v>
      </c>
      <c r="I15" s="2969"/>
      <c r="J15" s="2969"/>
      <c r="K15" s="2969"/>
      <c r="L15" s="2969"/>
      <c r="M15" s="2969">
        <f>面积!N10</f>
        <v>25128</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公寓</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9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workbookViewId="0">
      <selection activeCell="R38" sqref="R38"/>
    </sheetView>
  </sheetViews>
  <sheetFormatPr defaultColWidth="8.75" defaultRowHeight="13.5"/>
  <cols>
    <col min="1" max="2" width="5.5" bestFit="1" customWidth="1"/>
    <col min="3" max="3" width="8" hidden="1" customWidth="1"/>
    <col min="4" max="4" width="9.125" hidden="1" customWidth="1"/>
    <col min="5" max="5" width="19.375" hidden="1" customWidth="1"/>
    <col min="6" max="6" width="10.5" hidden="1" customWidth="1"/>
    <col min="7" max="7" width="6.375" hidden="1" customWidth="1"/>
    <col min="8" max="8" width="9.125" hidden="1" customWidth="1"/>
    <col min="9" max="9" width="10.5" hidden="1" customWidth="1"/>
    <col min="10" max="10" width="5.5" hidden="1" customWidth="1"/>
    <col min="11" max="12" width="8" hidden="1" customWidth="1"/>
    <col min="13" max="13" width="8" bestFit="1" customWidth="1"/>
    <col min="14" max="15" width="9.125" bestFit="1" customWidth="1"/>
  </cols>
  <sheetData>
    <row r="1" spans="1:17" ht="15">
      <c r="A1" s="3278" t="s">
        <v>3001</v>
      </c>
      <c r="B1" s="3279" t="s">
        <v>3002</v>
      </c>
      <c r="C1" s="3278" t="s">
        <v>3003</v>
      </c>
      <c r="D1" s="3278"/>
      <c r="E1" s="3278"/>
      <c r="F1" s="3278"/>
      <c r="G1" s="3278" t="s">
        <v>3004</v>
      </c>
      <c r="H1" s="3278"/>
      <c r="I1" s="3278"/>
      <c r="J1" s="3278" t="s">
        <v>3005</v>
      </c>
      <c r="K1" s="3278"/>
      <c r="L1" s="3278"/>
      <c r="M1" s="3278" t="s">
        <v>3006</v>
      </c>
      <c r="N1" s="3278"/>
      <c r="O1" s="3278"/>
    </row>
    <row r="2" spans="1:17" ht="15">
      <c r="A2" s="3278"/>
      <c r="B2" s="3280"/>
      <c r="C2" s="3181" t="s">
        <v>3007</v>
      </c>
      <c r="D2" s="3181" t="s">
        <v>3008</v>
      </c>
      <c r="E2" s="3181" t="s">
        <v>3009</v>
      </c>
      <c r="F2" s="3181" t="s">
        <v>3010</v>
      </c>
      <c r="G2" s="3181" t="s">
        <v>3011</v>
      </c>
      <c r="H2" s="3181" t="s">
        <v>3008</v>
      </c>
      <c r="I2" s="3181" t="s">
        <v>3010</v>
      </c>
      <c r="J2" s="3182" t="s">
        <v>3011</v>
      </c>
      <c r="K2" s="3182" t="s">
        <v>3012</v>
      </c>
      <c r="L2" s="3182" t="s">
        <v>3013</v>
      </c>
      <c r="M2" s="3182" t="s">
        <v>3007</v>
      </c>
      <c r="N2" s="3182" t="s">
        <v>3008</v>
      </c>
      <c r="O2" s="3182" t="s">
        <v>3013</v>
      </c>
    </row>
    <row r="3" spans="1:17" ht="16.5">
      <c r="A3" s="3271" t="s">
        <v>3014</v>
      </c>
      <c r="B3" s="3183" t="s">
        <v>3015</v>
      </c>
      <c r="C3" s="3184">
        <v>1086</v>
      </c>
      <c r="D3" s="3184">
        <v>96052</v>
      </c>
      <c r="E3" s="3184">
        <v>15000</v>
      </c>
      <c r="F3" s="3184">
        <f>D3*E3/10000</f>
        <v>144078</v>
      </c>
      <c r="G3" s="3184">
        <v>860</v>
      </c>
      <c r="H3" s="3184">
        <v>82981.289999999994</v>
      </c>
      <c r="I3" s="3184">
        <v>122849</v>
      </c>
      <c r="J3" s="3184">
        <v>20</v>
      </c>
      <c r="K3" s="3184">
        <v>1918</v>
      </c>
      <c r="L3" s="3184">
        <f>K3*E3/10000</f>
        <v>2877</v>
      </c>
      <c r="M3" s="3184">
        <f>C3-G3-J3</f>
        <v>206</v>
      </c>
      <c r="N3" s="3184">
        <f>D3-H3-K3</f>
        <v>11152.710000000006</v>
      </c>
      <c r="O3" s="3184">
        <f>N3*E3/10000</f>
        <v>16729.06500000001</v>
      </c>
      <c r="Q3" s="3201">
        <f>O3/N3*10000</f>
        <v>15000</v>
      </c>
    </row>
    <row r="4" spans="1:17" ht="16.5">
      <c r="A4" s="3272"/>
      <c r="B4" s="3185" t="s">
        <v>3016</v>
      </c>
      <c r="C4" s="3184">
        <v>156</v>
      </c>
      <c r="D4" s="3184">
        <v>9145</v>
      </c>
      <c r="E4" s="3184">
        <v>23800</v>
      </c>
      <c r="F4" s="3184">
        <f>D4*E4/10000</f>
        <v>21765.1</v>
      </c>
      <c r="G4" s="3184">
        <v>0</v>
      </c>
      <c r="H4" s="3184">
        <v>0</v>
      </c>
      <c r="I4" s="3184">
        <f>E4*H4/10000</f>
        <v>0</v>
      </c>
      <c r="J4" s="3184">
        <v>1</v>
      </c>
      <c r="K4" s="3184">
        <v>132</v>
      </c>
      <c r="L4" s="3184">
        <f>K4*E4/10000</f>
        <v>314.16000000000003</v>
      </c>
      <c r="M4" s="3184">
        <f t="shared" ref="M4:N14" si="0">C4-G4-J4</f>
        <v>155</v>
      </c>
      <c r="N4" s="3184">
        <f t="shared" si="0"/>
        <v>9013</v>
      </c>
      <c r="O4" s="3184">
        <f>N4*E4/10000</f>
        <v>21450.94</v>
      </c>
      <c r="Q4" s="3201">
        <f t="shared" ref="Q4:Q14" si="1">O4/N4*10000</f>
        <v>23800</v>
      </c>
    </row>
    <row r="5" spans="1:17" ht="16.5">
      <c r="A5" s="3185" t="s">
        <v>3017</v>
      </c>
      <c r="B5" s="3183" t="s">
        <v>3015</v>
      </c>
      <c r="C5" s="3184">
        <v>449</v>
      </c>
      <c r="D5" s="3184">
        <v>50800.23</v>
      </c>
      <c r="E5" s="3184">
        <v>15000</v>
      </c>
      <c r="F5" s="3184">
        <f>D5*E5/10000</f>
        <v>76200.345000000001</v>
      </c>
      <c r="G5" s="3184">
        <v>329</v>
      </c>
      <c r="H5" s="3184">
        <v>34380.620000000003</v>
      </c>
      <c r="I5" s="3184">
        <v>50394.53</v>
      </c>
      <c r="J5" s="3184">
        <v>10</v>
      </c>
      <c r="K5" s="3184">
        <v>1480</v>
      </c>
      <c r="L5" s="3184">
        <f>K5*E5/10000</f>
        <v>2220</v>
      </c>
      <c r="M5" s="3184">
        <f t="shared" si="0"/>
        <v>110</v>
      </c>
      <c r="N5" s="3184">
        <f t="shared" si="0"/>
        <v>14939.61</v>
      </c>
      <c r="O5" s="3184">
        <f t="shared" ref="O5:O14" si="2">N5*E5/10000</f>
        <v>22409.415000000001</v>
      </c>
      <c r="Q5" s="3201">
        <f t="shared" si="1"/>
        <v>15000</v>
      </c>
    </row>
    <row r="6" spans="1:17" ht="16.5">
      <c r="A6" s="3273" t="s">
        <v>3018</v>
      </c>
      <c r="B6" s="3183" t="s">
        <v>3019</v>
      </c>
      <c r="C6" s="3184">
        <v>32</v>
      </c>
      <c r="D6" s="3184">
        <v>1116.26</v>
      </c>
      <c r="E6" s="3184">
        <v>23800</v>
      </c>
      <c r="F6" s="3184">
        <f t="shared" ref="F6:F14" si="3">D6*E6/10000</f>
        <v>2656.6988000000001</v>
      </c>
      <c r="G6" s="3184">
        <v>0</v>
      </c>
      <c r="H6" s="3184">
        <v>0</v>
      </c>
      <c r="I6" s="3184">
        <f>E6*H6/10000</f>
        <v>0</v>
      </c>
      <c r="J6" s="3184">
        <v>0</v>
      </c>
      <c r="K6" s="3184">
        <v>0</v>
      </c>
      <c r="L6" s="3184">
        <f>K6*E6/10000</f>
        <v>0</v>
      </c>
      <c r="M6" s="3184">
        <f t="shared" si="0"/>
        <v>32</v>
      </c>
      <c r="N6" s="3184">
        <f t="shared" si="0"/>
        <v>1116.26</v>
      </c>
      <c r="O6" s="3184">
        <f t="shared" si="2"/>
        <v>2656.6988000000001</v>
      </c>
      <c r="Q6" s="3201">
        <f t="shared" si="1"/>
        <v>23800.000000000004</v>
      </c>
    </row>
    <row r="7" spans="1:17" ht="16.5">
      <c r="A7" s="3273"/>
      <c r="B7" s="3183" t="s">
        <v>3020</v>
      </c>
      <c r="C7" s="3184">
        <v>966</v>
      </c>
      <c r="D7" s="3184">
        <v>35024.339999999997</v>
      </c>
      <c r="E7" s="3184">
        <v>12000</v>
      </c>
      <c r="F7" s="3184">
        <f t="shared" si="3"/>
        <v>42029.207999999991</v>
      </c>
      <c r="G7" s="3184">
        <v>12</v>
      </c>
      <c r="H7" s="3184">
        <v>361.95</v>
      </c>
      <c r="I7" s="3184">
        <v>398</v>
      </c>
      <c r="J7" s="3184">
        <v>10</v>
      </c>
      <c r="K7" s="3184">
        <v>350</v>
      </c>
      <c r="L7" s="3184">
        <f>K7*E7/10000</f>
        <v>420</v>
      </c>
      <c r="M7" s="3184">
        <f t="shared" si="0"/>
        <v>944</v>
      </c>
      <c r="N7" s="3184">
        <f t="shared" si="0"/>
        <v>34312.39</v>
      </c>
      <c r="O7" s="3184">
        <f t="shared" si="2"/>
        <v>41174.868000000002</v>
      </c>
      <c r="Q7" s="3201">
        <f t="shared" si="1"/>
        <v>12000.000000000002</v>
      </c>
    </row>
    <row r="8" spans="1:17" ht="16.5">
      <c r="A8" s="3274" t="s">
        <v>3021</v>
      </c>
      <c r="B8" s="3186" t="s">
        <v>3022</v>
      </c>
      <c r="C8" s="3187">
        <v>78</v>
      </c>
      <c r="D8" s="3187">
        <v>4086</v>
      </c>
      <c r="E8" s="3187">
        <v>15000</v>
      </c>
      <c r="F8" s="3187">
        <f t="shared" si="3"/>
        <v>6129</v>
      </c>
      <c r="G8" s="3187">
        <v>0</v>
      </c>
      <c r="H8" s="3187">
        <v>0</v>
      </c>
      <c r="I8" s="3187">
        <f t="shared" ref="I8:I10" si="4">H8*E8/10000</f>
        <v>0</v>
      </c>
      <c r="J8" s="3187">
        <v>0</v>
      </c>
      <c r="K8" s="3187">
        <v>0</v>
      </c>
      <c r="L8" s="3187">
        <f t="shared" ref="L8:L10" si="5">K8*E8/10000</f>
        <v>0</v>
      </c>
      <c r="M8" s="3188">
        <f t="shared" si="0"/>
        <v>78</v>
      </c>
      <c r="N8" s="3188">
        <f>D8-H8-K8</f>
        <v>4086</v>
      </c>
      <c r="O8" s="3188">
        <f>N8*E8/10000</f>
        <v>6129</v>
      </c>
      <c r="Q8" s="3201">
        <f t="shared" si="1"/>
        <v>15000</v>
      </c>
    </row>
    <row r="9" spans="1:17" ht="16.5">
      <c r="A9" s="3275"/>
      <c r="B9" s="3186" t="s">
        <v>3019</v>
      </c>
      <c r="C9" s="3189">
        <v>93</v>
      </c>
      <c r="D9" s="3187">
        <v>4315</v>
      </c>
      <c r="E9" s="3187">
        <v>25000</v>
      </c>
      <c r="F9" s="3187">
        <f t="shared" si="3"/>
        <v>10787.5</v>
      </c>
      <c r="G9" s="3187">
        <v>0</v>
      </c>
      <c r="H9" s="3187">
        <v>0</v>
      </c>
      <c r="I9" s="3187">
        <f t="shared" si="4"/>
        <v>0</v>
      </c>
      <c r="J9" s="3187">
        <v>0</v>
      </c>
      <c r="K9" s="3187">
        <v>0</v>
      </c>
      <c r="L9" s="3187">
        <f t="shared" si="5"/>
        <v>0</v>
      </c>
      <c r="M9" s="3188">
        <f t="shared" si="0"/>
        <v>93</v>
      </c>
      <c r="N9" s="3188">
        <f t="shared" si="0"/>
        <v>4315</v>
      </c>
      <c r="O9" s="3188">
        <f t="shared" si="2"/>
        <v>10787.5</v>
      </c>
      <c r="Q9" s="3201">
        <f t="shared" si="1"/>
        <v>25000</v>
      </c>
    </row>
    <row r="10" spans="1:17" ht="16.5">
      <c r="A10" s="3276"/>
      <c r="B10" s="3186" t="s">
        <v>3023</v>
      </c>
      <c r="C10" s="3187">
        <v>751</v>
      </c>
      <c r="D10" s="3187">
        <v>25128</v>
      </c>
      <c r="E10" s="3187">
        <v>12000</v>
      </c>
      <c r="F10" s="3187">
        <f t="shared" si="3"/>
        <v>30153.599999999999</v>
      </c>
      <c r="G10" s="3187">
        <v>0</v>
      </c>
      <c r="H10" s="3187">
        <v>0</v>
      </c>
      <c r="I10" s="3187">
        <f t="shared" si="4"/>
        <v>0</v>
      </c>
      <c r="J10" s="3187">
        <v>0</v>
      </c>
      <c r="K10" s="3187">
        <v>0</v>
      </c>
      <c r="L10" s="3187">
        <f t="shared" si="5"/>
        <v>0</v>
      </c>
      <c r="M10" s="3188">
        <f t="shared" si="0"/>
        <v>751</v>
      </c>
      <c r="N10" s="3188">
        <f t="shared" si="0"/>
        <v>25128</v>
      </c>
      <c r="O10" s="3188">
        <f t="shared" si="2"/>
        <v>30153.599999999999</v>
      </c>
      <c r="Q10" s="3201">
        <f t="shared" si="1"/>
        <v>12000</v>
      </c>
    </row>
    <row r="11" spans="1:17" ht="16.5">
      <c r="A11" s="3277" t="s">
        <v>3024</v>
      </c>
      <c r="B11" s="3186" t="s">
        <v>3019</v>
      </c>
      <c r="C11" s="3187">
        <v>534</v>
      </c>
      <c r="D11" s="3187">
        <v>30615</v>
      </c>
      <c r="E11" s="3187">
        <v>25000</v>
      </c>
      <c r="F11" s="3187">
        <f t="shared" si="3"/>
        <v>76537.5</v>
      </c>
      <c r="G11" s="3187">
        <v>0</v>
      </c>
      <c r="H11" s="3187">
        <v>0</v>
      </c>
      <c r="I11" s="3187">
        <f>E11*H11/10000</f>
        <v>0</v>
      </c>
      <c r="J11" s="3187">
        <v>0</v>
      </c>
      <c r="K11" s="3187">
        <v>0</v>
      </c>
      <c r="L11" s="3187">
        <f>K11*E11/10000</f>
        <v>0</v>
      </c>
      <c r="M11" s="3188">
        <f t="shared" si="0"/>
        <v>534</v>
      </c>
      <c r="N11" s="3188">
        <f t="shared" si="0"/>
        <v>30615</v>
      </c>
      <c r="O11" s="3188">
        <f t="shared" si="2"/>
        <v>76537.5</v>
      </c>
      <c r="Q11" s="3201">
        <f t="shared" si="1"/>
        <v>25000</v>
      </c>
    </row>
    <row r="12" spans="1:17" ht="16.5">
      <c r="A12" s="3277"/>
      <c r="B12" s="3186" t="s">
        <v>3023</v>
      </c>
      <c r="C12" s="3187">
        <v>1561</v>
      </c>
      <c r="D12" s="3187">
        <v>52040</v>
      </c>
      <c r="E12" s="3187">
        <v>14000</v>
      </c>
      <c r="F12" s="3187">
        <f t="shared" si="3"/>
        <v>72856</v>
      </c>
      <c r="G12" s="3187">
        <v>0</v>
      </c>
      <c r="H12" s="3187">
        <v>0</v>
      </c>
      <c r="I12" s="3187">
        <f>E12*H12/10000</f>
        <v>0</v>
      </c>
      <c r="J12" s="3187">
        <v>0</v>
      </c>
      <c r="K12" s="3187">
        <v>0</v>
      </c>
      <c r="L12" s="3187">
        <f>K12*E12/10000</f>
        <v>0</v>
      </c>
      <c r="M12" s="3188">
        <f t="shared" si="0"/>
        <v>1561</v>
      </c>
      <c r="N12" s="3188">
        <f>D12-H12-K12</f>
        <v>52040</v>
      </c>
      <c r="O12" s="3188">
        <f t="shared" si="2"/>
        <v>72856</v>
      </c>
      <c r="Q12" s="3201">
        <f t="shared" si="1"/>
        <v>14000</v>
      </c>
    </row>
    <row r="13" spans="1:17" ht="16.5">
      <c r="A13" s="3274" t="s">
        <v>3025</v>
      </c>
      <c r="B13" s="3186" t="s">
        <v>3015</v>
      </c>
      <c r="C13" s="3187">
        <v>440</v>
      </c>
      <c r="D13" s="3187">
        <v>26813</v>
      </c>
      <c r="E13" s="3187">
        <v>16000</v>
      </c>
      <c r="F13" s="3187">
        <f t="shared" si="3"/>
        <v>42900.800000000003</v>
      </c>
      <c r="G13" s="3187">
        <v>0</v>
      </c>
      <c r="H13" s="3187">
        <v>0</v>
      </c>
      <c r="I13" s="3187">
        <f>H13*E13/10000</f>
        <v>0</v>
      </c>
      <c r="J13" s="3187">
        <v>0</v>
      </c>
      <c r="K13" s="3187">
        <v>0</v>
      </c>
      <c r="L13" s="3187">
        <f>K13*E13/10000</f>
        <v>0</v>
      </c>
      <c r="M13" s="3188">
        <f t="shared" si="0"/>
        <v>440</v>
      </c>
      <c r="N13" s="3188">
        <f t="shared" si="0"/>
        <v>26813</v>
      </c>
      <c r="O13" s="3188">
        <f t="shared" si="2"/>
        <v>42900.800000000003</v>
      </c>
      <c r="Q13" s="3201">
        <f t="shared" si="1"/>
        <v>16000</v>
      </c>
    </row>
    <row r="14" spans="1:17" ht="16.5">
      <c r="A14" s="3276"/>
      <c r="B14" s="3186" t="s">
        <v>3019</v>
      </c>
      <c r="C14" s="3189">
        <f>ROUND(C9/D9*D14,0)</f>
        <v>76</v>
      </c>
      <c r="D14" s="3187">
        <v>3544</v>
      </c>
      <c r="E14" s="3187">
        <f>E11</f>
        <v>25000</v>
      </c>
      <c r="F14" s="3187">
        <f t="shared" si="3"/>
        <v>8860</v>
      </c>
      <c r="G14" s="3187">
        <v>0</v>
      </c>
      <c r="H14" s="3187">
        <v>0</v>
      </c>
      <c r="I14" s="3187">
        <v>0</v>
      </c>
      <c r="J14" s="3187">
        <v>0</v>
      </c>
      <c r="K14" s="3187">
        <v>0</v>
      </c>
      <c r="L14" s="3187">
        <v>0</v>
      </c>
      <c r="M14" s="3188">
        <f t="shared" si="0"/>
        <v>76</v>
      </c>
      <c r="N14" s="3187">
        <f t="shared" si="0"/>
        <v>3544</v>
      </c>
      <c r="O14" s="3188">
        <f t="shared" si="2"/>
        <v>8860</v>
      </c>
      <c r="Q14" s="3201">
        <f t="shared" si="1"/>
        <v>25000</v>
      </c>
    </row>
  </sheetData>
  <mergeCells count="11">
    <mergeCell ref="M1:O1"/>
    <mergeCell ref="A1:A2"/>
    <mergeCell ref="B1:B2"/>
    <mergeCell ref="C1:F1"/>
    <mergeCell ref="G1:I1"/>
    <mergeCell ref="J1:L1"/>
    <mergeCell ref="A3:A4"/>
    <mergeCell ref="A6:A7"/>
    <mergeCell ref="A8:A10"/>
    <mergeCell ref="A11:A12"/>
    <mergeCell ref="A13:A14"/>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17" sqref="B17:G27"/>
    </sheetView>
  </sheetViews>
  <sheetFormatPr defaultColWidth="9.125" defaultRowHeight="14.25"/>
  <cols>
    <col min="1" max="1" width="8.125" style="1969" customWidth="1"/>
    <col min="2" max="2" width="10.1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125" style="1969"/>
  </cols>
  <sheetData>
    <row r="1" spans="1:16" ht="18.75">
      <c r="A1" s="104" t="s">
        <v>202</v>
      </c>
      <c r="B1" s="1968"/>
      <c r="C1" s="1968"/>
      <c r="D1" s="1968"/>
      <c r="E1" s="1968"/>
      <c r="F1" s="1968"/>
      <c r="G1" s="1968"/>
      <c r="H1" s="1968"/>
      <c r="I1" s="1968"/>
      <c r="J1" s="1968"/>
      <c r="K1" s="1968"/>
      <c r="L1" s="1968"/>
    </row>
    <row r="2" spans="1:16" ht="15">
      <c r="A2" s="3292" t="s">
        <v>203</v>
      </c>
      <c r="B2" s="3292"/>
      <c r="C2" s="3292"/>
      <c r="D2" s="1959" t="s">
        <v>204</v>
      </c>
      <c r="E2" s="106" t="s">
        <v>205</v>
      </c>
      <c r="F2" s="1968"/>
      <c r="G2" s="1193"/>
      <c r="H2" s="1194"/>
      <c r="I2" s="1195" t="s">
        <v>856</v>
      </c>
      <c r="J2" s="1968"/>
      <c r="K2" s="1968"/>
      <c r="L2" s="1968"/>
    </row>
    <row r="3" spans="1:16" ht="15.75" thickBot="1">
      <c r="A3" s="3293" t="s">
        <v>206</v>
      </c>
      <c r="B3" s="3293"/>
      <c r="C3" s="3293"/>
      <c r="D3" s="107">
        <f>'数据-基础表'!AY6</f>
        <v>817.26</v>
      </c>
      <c r="E3" s="107">
        <f>'数据-基础表'!AZ5</f>
        <v>4086</v>
      </c>
      <c r="F3" s="1968"/>
      <c r="G3" s="280" t="s">
        <v>857</v>
      </c>
      <c r="H3" s="275" t="s">
        <v>858</v>
      </c>
      <c r="I3" s="1960">
        <f>ROUND('数据-基础表'!B3/'数据-基础表'!A3,2)</f>
        <v>5</v>
      </c>
      <c r="J3" s="1968"/>
      <c r="K3" s="1968"/>
      <c r="L3" s="1968"/>
    </row>
    <row r="4" spans="1:16" ht="15">
      <c r="A4" s="3294"/>
      <c r="B4" s="3295"/>
      <c r="C4" s="3296"/>
      <c r="D4" s="108" t="s">
        <v>204</v>
      </c>
      <c r="E4" s="109" t="s">
        <v>205</v>
      </c>
      <c r="F4" s="1968"/>
      <c r="G4" s="1196"/>
      <c r="H4" s="275" t="s">
        <v>859</v>
      </c>
      <c r="I4" s="1960">
        <f>ROUND(SUMIF('数据-基础表'!I9:AS9,"地上",'数据-基础表'!I5:AS5)/'数据-基础表'!A3,2)</f>
        <v>5</v>
      </c>
      <c r="J4" s="1968"/>
      <c r="K4" s="1968"/>
      <c r="L4" s="1968"/>
    </row>
    <row r="5" spans="1:16">
      <c r="A5" s="110" t="s">
        <v>207</v>
      </c>
      <c r="B5" s="3297" t="s">
        <v>230</v>
      </c>
      <c r="C5" s="3297"/>
      <c r="D5" s="111">
        <f>ROUND($D$3*E5/$E$3,2)</f>
        <v>817.26</v>
      </c>
      <c r="E5" s="112">
        <f>SUMIF('数据-基础表'!$11:$11,"住宅",'数据-基础表'!$5:$5)</f>
        <v>4086</v>
      </c>
      <c r="F5" s="1968"/>
      <c r="G5" s="280" t="s">
        <v>860</v>
      </c>
      <c r="H5" s="275" t="s">
        <v>858</v>
      </c>
      <c r="I5" s="1960">
        <f>ROUND(E31/D31,2)</f>
        <v>5</v>
      </c>
      <c r="J5" s="1968"/>
      <c r="K5" s="1968"/>
      <c r="L5" s="1968"/>
    </row>
    <row r="6" spans="1:16" ht="15" thickBot="1">
      <c r="A6" s="113"/>
      <c r="B6" s="3297" t="s">
        <v>208</v>
      </c>
      <c r="C6" s="3297"/>
      <c r="D6" s="111">
        <f>ROUND($D$3*E6/$E$3,2)</f>
        <v>0</v>
      </c>
      <c r="E6" s="112">
        <f>E3-E5</f>
        <v>0</v>
      </c>
      <c r="F6" s="1968"/>
      <c r="G6" s="1196"/>
      <c r="H6" s="275" t="s">
        <v>859</v>
      </c>
      <c r="I6" s="1960">
        <f>ROUND(F31/D31,2)</f>
        <v>5</v>
      </c>
      <c r="J6" s="1968"/>
      <c r="K6" s="1968"/>
      <c r="L6" s="1968"/>
    </row>
    <row r="7" spans="1:16" ht="15">
      <c r="A7" s="3289"/>
      <c r="B7" s="3290"/>
      <c r="C7" s="3291"/>
      <c r="D7" s="108" t="s">
        <v>204</v>
      </c>
      <c r="E7" s="114" t="s">
        <v>231</v>
      </c>
      <c r="F7" s="1968"/>
      <c r="G7" s="1151" t="s">
        <v>1644</v>
      </c>
      <c r="H7" s="1152"/>
      <c r="I7" s="1830">
        <v>4</v>
      </c>
      <c r="J7" s="1968"/>
      <c r="K7" s="1968"/>
      <c r="L7" s="1968"/>
    </row>
    <row r="8" spans="1:16">
      <c r="A8" s="110" t="s">
        <v>209</v>
      </c>
      <c r="B8" s="115" t="s">
        <v>210</v>
      </c>
      <c r="C8" s="111" t="s">
        <v>211</v>
      </c>
      <c r="D8" s="111">
        <f t="shared" ref="D8:D15" si="0">ROUND($D$3*E8/$E$3,2)</f>
        <v>817.26</v>
      </c>
      <c r="E8" s="116">
        <f>SUMIF('数据-基础表'!BB10:BK10,"地上",'数据-基础表'!BB5:BK5)</f>
        <v>4086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817.26</v>
      </c>
      <c r="E16" s="120">
        <f>SUM(E8:E15)</f>
        <v>4086</v>
      </c>
      <c r="F16" s="1968"/>
      <c r="G16" s="1970"/>
      <c r="H16" s="967" t="s">
        <v>219</v>
      </c>
      <c r="I16" s="968"/>
      <c r="J16" s="1968"/>
      <c r="K16" s="3283" t="s">
        <v>2561</v>
      </c>
      <c r="L16" s="3284"/>
      <c r="M16" s="3284"/>
      <c r="N16" s="3284"/>
      <c r="O16" s="3284"/>
      <c r="P16" s="3285"/>
    </row>
    <row r="17" spans="1:19" ht="15">
      <c r="A17" s="121" t="s">
        <v>216</v>
      </c>
      <c r="B17" s="122" t="s">
        <v>217</v>
      </c>
      <c r="C17" s="2282" t="s">
        <v>2310</v>
      </c>
      <c r="D17" s="108" t="s">
        <v>204</v>
      </c>
      <c r="E17" s="124" t="s">
        <v>205</v>
      </c>
      <c r="F17" s="125"/>
      <c r="G17" s="1361"/>
      <c r="H17" s="969" t="s">
        <v>218</v>
      </c>
      <c r="I17" s="970" t="s">
        <v>2309</v>
      </c>
      <c r="J17" s="1968"/>
      <c r="K17" s="3286" t="s">
        <v>2562</v>
      </c>
      <c r="L17" s="3287"/>
      <c r="M17" s="3288"/>
      <c r="N17" s="3286" t="s">
        <v>2563</v>
      </c>
      <c r="O17" s="3287"/>
      <c r="P17" s="3288"/>
      <c r="R17" s="2283" t="s">
        <v>2308</v>
      </c>
      <c r="S17" s="144"/>
    </row>
    <row r="18" spans="1:19" ht="15">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2306</v>
      </c>
      <c r="S18" s="2284" t="s">
        <v>2307</v>
      </c>
    </row>
    <row r="19" spans="1:19">
      <c r="A19" s="133"/>
      <c r="B19" s="115" t="s">
        <v>225</v>
      </c>
      <c r="C19" s="2976" t="str">
        <f>'数据-基础表'!C13</f>
        <v>住宅</v>
      </c>
      <c r="D19" s="111">
        <f t="shared" ref="D19:D26" si="1">ROUND($D$3*E19/$E$3,2)</f>
        <v>817.26</v>
      </c>
      <c r="E19" s="134">
        <f t="shared" ref="E19:E26" si="2">SUM(F19:G19)</f>
        <v>4086</v>
      </c>
      <c r="F19" s="135">
        <f>'数据-基础表'!I13</f>
        <v>4086</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817.26</v>
      </c>
      <c r="S19" s="2285">
        <f t="shared" si="5"/>
        <v>4086</v>
      </c>
    </row>
    <row r="20" spans="1:19" hidden="1">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hidden="1">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idden="1">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idden="1">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idden="1">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idden="1">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idden="1">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817.26</v>
      </c>
      <c r="E27" s="143">
        <f>IF(SUM(E19:E26)='数据-基础表'!BA5,SUM(E19:E26),IF(F27="地上面积有误","面积有误","地下面积有误"))</f>
        <v>4086</v>
      </c>
      <c r="F27" s="134">
        <f>IF(SUM(F19:F26)=E8,SUM(F19:F26),"地上面积有误")</f>
        <v>4086</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817.26</v>
      </c>
      <c r="S27" s="275">
        <f>IF(SUM(S19:S26)=$E$3,SUM(S19:S26),SUM(S19:S26)&amp;"误差"&amp;ROUND(SUM(S19:S26)-E3,2))</f>
        <v>4086</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2319</v>
      </c>
      <c r="D31" s="1367">
        <f>D27+D30</f>
        <v>817.26</v>
      </c>
      <c r="E31" s="1367">
        <f>E27+E30</f>
        <v>4086</v>
      </c>
      <c r="F31" s="1368">
        <f>F27+F30</f>
        <v>4086</v>
      </c>
      <c r="G31" s="1369">
        <f>G27+G30</f>
        <v>0</v>
      </c>
      <c r="H31" s="1968"/>
      <c r="I31" s="1968"/>
      <c r="J31" s="1968"/>
      <c r="K31" s="1968"/>
      <c r="L31" s="1968"/>
    </row>
    <row r="32" spans="1:19">
      <c r="A32" s="1968"/>
      <c r="B32" s="2326" t="s">
        <v>2318</v>
      </c>
      <c r="C32" s="2610"/>
      <c r="D32" s="1196"/>
      <c r="E32" s="1196">
        <f>SUMIF(C19:C26,"*住宅*",E19:E26)</f>
        <v>4086</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7" sqref="N27"/>
    </sheetView>
  </sheetViews>
  <sheetFormatPr defaultColWidth="13.75" defaultRowHeight="12.75"/>
  <cols>
    <col min="1" max="1" width="20.75" style="1211" customWidth="1"/>
    <col min="2" max="3" width="12" style="1198" customWidth="1"/>
    <col min="4" max="4" width="9.125" style="1212" customWidth="1"/>
    <col min="5" max="5" width="15" style="1198" bestFit="1" customWidth="1"/>
    <col min="6" max="10" width="8.75" style="1198" customWidth="1"/>
    <col min="11" max="12" width="12.375" style="1213" customWidth="1"/>
    <col min="13" max="13" width="8.625" style="1198" customWidth="1"/>
    <col min="14" max="14" width="9.75" style="1198" customWidth="1"/>
    <col min="15" max="16" width="9.625" style="1198" customWidth="1"/>
    <col min="17" max="17" width="10.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1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43961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2822</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67001</v>
      </c>
      <c r="F6" s="174">
        <f>SUMIF(项目基本情况!D$15:I$15,C6,项目基本情况!D$19:I$19)</f>
        <v>63.12</v>
      </c>
      <c r="G6" s="175">
        <f>IF(ISERROR(ROUND(POWER(1+H6,D6-F6)*(POWER(1+H6,F6)-1)/(POWER(1+H6,D6)-1),3)),0,ROUND(POWER(1+H6,D6-F6)*(POWER(1+H6,F6)-1)/(POWER(1+H6,D6)-1),3))</f>
        <v>0.98599999999999999</v>
      </c>
      <c r="H6" s="2977">
        <v>0.05</v>
      </c>
      <c r="I6" s="2977">
        <v>5.5E-2</v>
      </c>
      <c r="J6" s="176">
        <v>8.5000000000000006E-2</v>
      </c>
      <c r="K6" s="179">
        <f>SUMIF('数据-汇总表'!C$19:C$33,'数据-取费表'!A6,'数据-汇总表'!E$19:E$33)</f>
        <v>4086</v>
      </c>
      <c r="L6" s="2978">
        <v>2500</v>
      </c>
      <c r="M6" s="177">
        <f t="shared" ref="M6:M14" si="0">ROUND(K6*L6/10000,0)</f>
        <v>1022</v>
      </c>
      <c r="N6" s="2979">
        <v>0</v>
      </c>
      <c r="O6" s="177">
        <f>IF($N$5="成新度","——",ROUND(M6*N6,0))</f>
        <v>0</v>
      </c>
      <c r="P6" s="178">
        <f>IF($N$5="成新度","——",M6-O6)</f>
        <v>1022</v>
      </c>
      <c r="Q6" s="2980">
        <v>0.15</v>
      </c>
      <c r="R6" s="179">
        <f>SUMIF('数据-汇总表'!C$19:C$33,A6,'数据-汇总表'!R$19:R$33)</f>
        <v>817.26</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0.95399999999999996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hidden="1">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hidden="1">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hidden="1">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hidden="1">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hidden="1">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hidden="1">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hidden="1">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2311</v>
      </c>
      <c r="B14" s="2290" t="s">
        <v>1678</v>
      </c>
      <c r="C14" s="2291" t="s">
        <v>2311</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2313</v>
      </c>
      <c r="B15" s="2290" t="s">
        <v>1678</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0.98599999999999999</v>
      </c>
      <c r="H16" s="203">
        <f>ROUND(SUMPRODUCT(H6:H13,K6:K13)/SUMPRODUCT((H6:H13&gt;0)*(K6:K13)),3)</f>
        <v>0.05</v>
      </c>
      <c r="I16" s="204"/>
      <c r="J16" s="204"/>
      <c r="K16" s="205">
        <f>SUM(K6:K15)</f>
        <v>4086</v>
      </c>
      <c r="L16" s="206">
        <f>ROUND(M16*10000/SUM(K6:K14),0)</f>
        <v>2501</v>
      </c>
      <c r="M16" s="206">
        <f>SUM(M6:M14)</f>
        <v>1022</v>
      </c>
      <c r="N16" s="207">
        <f>ROUND(SUMPRODUCT(M6:M14,N6:N14)/M16,3)</f>
        <v>0</v>
      </c>
      <c r="O16" s="206">
        <f>SUM(O6:O14)</f>
        <v>0</v>
      </c>
      <c r="P16" s="206">
        <f>SUM(P6:P14)</f>
        <v>1022</v>
      </c>
      <c r="Q16" s="208">
        <f>ROUND(SUMPRODUCT(Q6:Q13,K6:K13)/SUMPRODUCT((Q6:Q13&gt;0)*(K6:K13)),2)</f>
        <v>0.15</v>
      </c>
      <c r="R16" s="2295">
        <f>SUM(R6:R13)</f>
        <v>817.26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0.95399999999999996</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2335</v>
      </c>
      <c r="B27" s="227">
        <v>170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2336</v>
      </c>
      <c r="B28" s="229">
        <v>170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2334</v>
      </c>
      <c r="B29" s="232">
        <v>0</v>
      </c>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0.05</v>
      </c>
      <c r="C33" s="2328" t="s">
        <v>2886</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2887</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2888</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2889</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0.03</v>
      </c>
      <c r="C37" s="2328" t="s">
        <v>2890</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0.03</v>
      </c>
      <c r="C38" s="2328" t="s">
        <v>2890</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2451</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2891</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2892</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2893</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4" t="s">
        <v>2894</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0.04</v>
      </c>
      <c r="C48" s="3025" t="s">
        <v>2895</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2896</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1095</v>
      </c>
      <c r="C53" s="3026" t="s">
        <v>2897</v>
      </c>
      <c r="D53" s="3027" t="s">
        <v>2898</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2899</v>
      </c>
      <c r="B54" s="186">
        <v>18</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2900</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2901</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2902</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2903</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2904</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2905</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2906</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2907</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2908</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75" style="2009" customWidth="1"/>
    <col min="6" max="6" width="27" style="2007" customWidth="1"/>
    <col min="7" max="7" width="27" style="2008" customWidth="1"/>
    <col min="8" max="8" width="11.75" style="2007" customWidth="1"/>
    <col min="9" max="9" width="16.75" style="2008" customWidth="1"/>
    <col min="10" max="10" width="2.625" style="2009" customWidth="1"/>
    <col min="11" max="11" width="11.75" style="2007" customWidth="1"/>
    <col min="12" max="12" width="16.75" style="2008" customWidth="1"/>
    <col min="13" max="13" width="2.625" style="2009" customWidth="1"/>
    <col min="14" max="14" width="11.75" style="2007" customWidth="1"/>
    <col min="15" max="15" width="16.75" style="2008" customWidth="1"/>
    <col min="16" max="16" width="2.625" style="2009" customWidth="1"/>
    <col min="17" max="17" width="11.75" style="2007" customWidth="1"/>
    <col min="18" max="18" width="16.75" style="2010" customWidth="1"/>
    <col min="19" max="16384" width="9" style="1992"/>
  </cols>
  <sheetData>
    <row r="1" spans="1:18" s="1991" customFormat="1" ht="19.5" thickBot="1">
      <c r="A1" s="3298" t="s">
        <v>1662</v>
      </c>
      <c r="B1" s="3299"/>
      <c r="C1" s="3299"/>
      <c r="D1" s="3299"/>
      <c r="E1" s="3299"/>
      <c r="F1" s="3299"/>
      <c r="G1" s="3299"/>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27">
      <c r="A3" s="1222" t="s">
        <v>1665</v>
      </c>
      <c r="B3" s="1223" t="s">
        <v>1652</v>
      </c>
      <c r="C3" s="3031"/>
      <c r="D3" s="1993"/>
      <c r="E3" s="1224" t="s">
        <v>1665</v>
      </c>
      <c r="F3" s="1225" t="s">
        <v>1653</v>
      </c>
      <c r="G3" s="3035"/>
      <c r="H3" s="1992"/>
      <c r="I3" s="1992"/>
      <c r="J3" s="1992"/>
      <c r="K3" s="1992"/>
      <c r="L3" s="1992"/>
      <c r="M3" s="1992"/>
      <c r="N3" s="1992"/>
      <c r="O3" s="1992"/>
      <c r="P3" s="1992"/>
      <c r="Q3" s="1992"/>
      <c r="R3" s="1992"/>
    </row>
    <row r="4" spans="1:18" ht="14.25">
      <c r="A4" s="1224"/>
      <c r="B4" s="1226" t="s">
        <v>1666</v>
      </c>
      <c r="C4" s="3032"/>
      <c r="D4" s="1993"/>
      <c r="E4" s="1227"/>
      <c r="F4" s="1228" t="s">
        <v>1667</v>
      </c>
      <c r="G4" s="3033"/>
      <c r="H4" s="1992"/>
      <c r="I4" s="1992"/>
      <c r="J4" s="1992"/>
      <c r="K4" s="1992"/>
      <c r="L4" s="1992"/>
      <c r="M4" s="1992"/>
      <c r="N4" s="1992"/>
      <c r="O4" s="1992"/>
      <c r="P4" s="1992"/>
      <c r="Q4" s="1992"/>
      <c r="R4" s="1992"/>
    </row>
    <row r="5" spans="1:18" ht="14.25">
      <c r="A5" s="1224"/>
      <c r="B5" s="1226" t="s">
        <v>1668</v>
      </c>
      <c r="C5" s="3032"/>
      <c r="D5" s="1993"/>
      <c r="E5" s="1227"/>
      <c r="F5" s="1226" t="s">
        <v>2541</v>
      </c>
      <c r="G5" s="3033"/>
      <c r="H5" s="1992"/>
      <c r="I5" s="1992"/>
      <c r="J5" s="1992"/>
      <c r="K5" s="1992"/>
      <c r="L5" s="1992"/>
      <c r="M5" s="1992"/>
      <c r="N5" s="1992"/>
      <c r="O5" s="1992"/>
      <c r="P5" s="1992"/>
      <c r="Q5" s="1992"/>
      <c r="R5" s="1992"/>
    </row>
    <row r="6" spans="1:18" ht="14.25">
      <c r="A6" s="1224"/>
      <c r="B6" s="1226" t="s">
        <v>1654</v>
      </c>
      <c r="C6" s="3033"/>
      <c r="D6" s="1993"/>
      <c r="E6" s="1227"/>
      <c r="F6" s="1226" t="s">
        <v>2542</v>
      </c>
      <c r="G6" s="3033"/>
      <c r="H6" s="1992"/>
      <c r="I6" s="1992"/>
      <c r="J6" s="1992"/>
      <c r="K6" s="1992"/>
      <c r="L6" s="1992"/>
      <c r="M6" s="1992"/>
      <c r="N6" s="1992"/>
      <c r="O6" s="1992"/>
      <c r="P6" s="1992"/>
      <c r="Q6" s="1992"/>
      <c r="R6" s="1992"/>
    </row>
    <row r="7" spans="1:18" ht="15" thickBot="1">
      <c r="A7" s="1224"/>
      <c r="B7" s="1226" t="s">
        <v>2541</v>
      </c>
      <c r="C7" s="3033"/>
      <c r="D7" s="1994"/>
      <c r="E7" s="1229"/>
      <c r="F7" s="1230" t="s">
        <v>1669</v>
      </c>
      <c r="G7" s="3036"/>
      <c r="H7" s="1992"/>
      <c r="I7" s="1992"/>
      <c r="J7" s="1992"/>
      <c r="K7" s="1992"/>
      <c r="L7" s="1992"/>
      <c r="M7" s="1992"/>
      <c r="N7" s="1992"/>
      <c r="O7" s="1992"/>
      <c r="P7" s="1992"/>
      <c r="Q7" s="1992"/>
      <c r="R7" s="1992"/>
    </row>
    <row r="8" spans="1:18" ht="14.25">
      <c r="A8" s="1224"/>
      <c r="B8" s="1226" t="s">
        <v>2542</v>
      </c>
      <c r="C8" s="3033"/>
      <c r="D8" s="1994"/>
      <c r="E8" s="1994"/>
      <c r="F8" s="1539"/>
      <c r="G8" s="1539"/>
      <c r="H8" s="1992"/>
      <c r="I8" s="1992"/>
      <c r="J8" s="1992"/>
      <c r="K8" s="1992"/>
      <c r="L8" s="1992"/>
      <c r="M8" s="1992"/>
      <c r="N8" s="1992"/>
      <c r="O8" s="1992"/>
      <c r="P8" s="1992"/>
      <c r="Q8" s="1992"/>
      <c r="R8" s="1992"/>
    </row>
    <row r="9" spans="1:18" ht="14.25">
      <c r="A9" s="1224"/>
      <c r="B9" s="1226" t="s">
        <v>1655</v>
      </c>
      <c r="C9" s="3032"/>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19"/>
      <c r="E13" s="2541"/>
      <c r="F13" s="2541"/>
      <c r="G13" s="2541"/>
    </row>
    <row r="14" spans="1:18" ht="14.25" thickBot="1">
      <c r="A14" s="1233"/>
      <c r="B14" s="1234"/>
      <c r="C14" s="1235" t="s">
        <v>1663</v>
      </c>
      <c r="D14" s="1993"/>
      <c r="E14" s="1236"/>
      <c r="F14" s="1236"/>
      <c r="G14" s="1218" t="s">
        <v>1664</v>
      </c>
    </row>
    <row r="15" spans="1:18" ht="27">
      <c r="A15" s="2551" t="s">
        <v>1656</v>
      </c>
      <c r="B15" s="1237" t="s">
        <v>1652</v>
      </c>
      <c r="C15" s="1238">
        <f>C3</f>
        <v>0</v>
      </c>
      <c r="D15" s="1993"/>
      <c r="E15" s="2548" t="s">
        <v>1657</v>
      </c>
      <c r="F15" s="1237" t="s">
        <v>1672</v>
      </c>
      <c r="G15" s="1239">
        <f>G3</f>
        <v>0</v>
      </c>
    </row>
    <row r="16" spans="1:18">
      <c r="A16" s="2552"/>
      <c r="B16" s="1240" t="s">
        <v>1666</v>
      </c>
      <c r="C16" s="1241">
        <f>C4</f>
        <v>0</v>
      </c>
      <c r="D16" s="1993"/>
      <c r="E16" s="2549"/>
      <c r="F16" s="1242" t="s">
        <v>1667</v>
      </c>
      <c r="G16" s="1004">
        <f>G4</f>
        <v>0</v>
      </c>
    </row>
    <row r="17" spans="1:7" ht="14.25">
      <c r="A17" s="2552"/>
      <c r="B17" s="1240" t="s">
        <v>1668</v>
      </c>
      <c r="C17" s="1241">
        <f>C5</f>
        <v>0</v>
      </c>
      <c r="D17" s="1994"/>
      <c r="E17" s="2549"/>
      <c r="F17" s="1242" t="s">
        <v>1673</v>
      </c>
      <c r="G17" s="2749"/>
    </row>
    <row r="18" spans="1:7">
      <c r="A18" s="2552"/>
      <c r="B18" s="1242" t="s">
        <v>1654</v>
      </c>
      <c r="C18" s="1004">
        <f>C6</f>
        <v>0</v>
      </c>
      <c r="D18" s="1994"/>
      <c r="E18" s="2549"/>
      <c r="F18" s="1242" t="s">
        <v>1669</v>
      </c>
      <c r="G18" s="1004">
        <f>G7</f>
        <v>0</v>
      </c>
    </row>
    <row r="19" spans="1:7" ht="14.25">
      <c r="A19" s="2552"/>
      <c r="B19" s="1242" t="s">
        <v>1658</v>
      </c>
      <c r="C19" s="2749"/>
      <c r="D19" s="1993"/>
      <c r="E19" s="2549"/>
      <c r="F19" s="1226" t="s">
        <v>2541</v>
      </c>
      <c r="G19" s="1004">
        <f>G5</f>
        <v>0</v>
      </c>
    </row>
    <row r="20" spans="1:7">
      <c r="A20" s="2552"/>
      <c r="B20" s="1242" t="s">
        <v>1659</v>
      </c>
      <c r="C20" s="1241">
        <f>C9</f>
        <v>0</v>
      </c>
      <c r="D20" s="1994"/>
      <c r="E20" s="2549"/>
      <c r="F20" s="1226" t="s">
        <v>2542</v>
      </c>
      <c r="G20" s="1004">
        <f>G6</f>
        <v>0</v>
      </c>
    </row>
    <row r="21" spans="1:7" ht="14.25">
      <c r="A21" s="2552"/>
      <c r="B21" s="1226" t="s">
        <v>2541</v>
      </c>
      <c r="C21" s="1004">
        <f>C7</f>
        <v>0</v>
      </c>
      <c r="D21" s="1993"/>
      <c r="E21" s="2549"/>
      <c r="F21" s="1242" t="s">
        <v>1660</v>
      </c>
      <c r="G21" s="3037"/>
    </row>
    <row r="22" spans="1:7" ht="14.25">
      <c r="A22" s="2552"/>
      <c r="B22" s="1226" t="s">
        <v>2542</v>
      </c>
      <c r="C22" s="1004">
        <f>C8</f>
        <v>0</v>
      </c>
      <c r="D22" s="1993"/>
      <c r="E22" s="2549"/>
      <c r="F22" s="1242" t="s">
        <v>1670</v>
      </c>
      <c r="G22" s="2749"/>
    </row>
    <row r="23" spans="1:7" ht="15" thickBot="1">
      <c r="A23" s="2552"/>
      <c r="B23" s="1242" t="s">
        <v>1660</v>
      </c>
      <c r="C23" s="3037"/>
      <c r="E23" s="2550"/>
      <c r="F23" s="1243" t="s">
        <v>1674</v>
      </c>
      <c r="G23" s="3038"/>
    </row>
    <row r="24" spans="1:7" ht="14.2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7"/>
  <sheetViews>
    <sheetView zoomScale="101" zoomScaleNormal="70" workbookViewId="0">
      <selection activeCell="G20" sqref="G20"/>
    </sheetView>
  </sheetViews>
  <sheetFormatPr defaultColWidth="8.75" defaultRowHeight="13.5"/>
  <cols>
    <col min="1" max="1" width="18.75" style="1778" customWidth="1"/>
    <col min="2" max="2" width="7.5" style="1778" bestFit="1" customWidth="1"/>
    <col min="3" max="10" width="10.125" style="1778" customWidth="1"/>
    <col min="11" max="12" width="5.375" style="1778" bestFit="1" customWidth="1"/>
    <col min="13" max="16384" width="8.75" style="1778"/>
  </cols>
  <sheetData>
    <row r="1" spans="1:10" ht="14.25" thickTop="1">
      <c r="A1" s="3519" t="s">
        <v>3305</v>
      </c>
      <c r="B1" s="3520"/>
      <c r="C1" s="3523" t="s">
        <v>3307</v>
      </c>
      <c r="D1" s="3523" t="s">
        <v>3308</v>
      </c>
      <c r="E1" s="3523" t="s">
        <v>3309</v>
      </c>
      <c r="F1" s="3523" t="s">
        <v>3310</v>
      </c>
      <c r="G1" s="3523" t="s">
        <v>3311</v>
      </c>
      <c r="H1" s="3523" t="s">
        <v>3312</v>
      </c>
      <c r="I1" s="3523" t="s">
        <v>3313</v>
      </c>
      <c r="J1" s="3525" t="s">
        <v>3314</v>
      </c>
    </row>
    <row r="2" spans="1:10">
      <c r="A2" s="3521" t="s">
        <v>3306</v>
      </c>
      <c r="B2" s="3522"/>
      <c r="C2" s="3524"/>
      <c r="D2" s="3524"/>
      <c r="E2" s="3524"/>
      <c r="F2" s="3524"/>
      <c r="G2" s="3524"/>
      <c r="H2" s="3524"/>
      <c r="I2" s="3524"/>
      <c r="J2" s="3526"/>
    </row>
    <row r="3" spans="1:10">
      <c r="A3" s="3528" t="s">
        <v>3315</v>
      </c>
      <c r="B3" s="3511" t="s">
        <v>2928</v>
      </c>
      <c r="C3" s="3512">
        <v>19512</v>
      </c>
      <c r="D3" s="3512">
        <v>39314</v>
      </c>
      <c r="E3" s="3512">
        <v>19487</v>
      </c>
      <c r="F3" s="3512">
        <v>24392</v>
      </c>
      <c r="G3" s="3512">
        <v>7499</v>
      </c>
      <c r="H3" s="3512">
        <v>3861</v>
      </c>
      <c r="I3" s="3512">
        <v>16607</v>
      </c>
      <c r="J3" s="3513">
        <f>SUM(C3:I3)</f>
        <v>130672</v>
      </c>
    </row>
    <row r="4" spans="1:10">
      <c r="A4" s="3527"/>
      <c r="B4" s="3511" t="s">
        <v>3316</v>
      </c>
      <c r="C4" s="3530" t="s">
        <v>3317</v>
      </c>
      <c r="D4" s="3531"/>
      <c r="E4" s="3531"/>
      <c r="F4" s="3531"/>
      <c r="G4" s="3531"/>
      <c r="H4" s="3531"/>
      <c r="I4" s="3531"/>
      <c r="J4" s="3532"/>
    </row>
    <row r="5" spans="1:10">
      <c r="A5" s="3529"/>
      <c r="B5" s="3511" t="s">
        <v>3318</v>
      </c>
      <c r="C5" s="3511" t="s">
        <v>951</v>
      </c>
      <c r="D5" s="3512">
        <v>3861</v>
      </c>
      <c r="E5" s="3512">
        <v>6439</v>
      </c>
      <c r="F5" s="3512">
        <v>8142</v>
      </c>
      <c r="G5" s="3512">
        <v>12336</v>
      </c>
      <c r="H5" s="3512">
        <v>15369</v>
      </c>
      <c r="I5" s="3512">
        <v>22375</v>
      </c>
      <c r="J5" s="3514" t="s">
        <v>951</v>
      </c>
    </row>
    <row r="6" spans="1:10" ht="38.25">
      <c r="A6" s="3528" t="s">
        <v>3319</v>
      </c>
      <c r="B6" s="3511" t="s">
        <v>3320</v>
      </c>
      <c r="C6" s="3511" t="s">
        <v>3321</v>
      </c>
      <c r="D6" s="3511" t="s">
        <v>3321</v>
      </c>
      <c r="E6" s="3511" t="s">
        <v>3321</v>
      </c>
      <c r="F6" s="3511" t="s">
        <v>3321</v>
      </c>
      <c r="G6" s="3511" t="s">
        <v>3321</v>
      </c>
      <c r="H6" s="3511" t="s">
        <v>3321</v>
      </c>
      <c r="I6" s="3511" t="s">
        <v>3321</v>
      </c>
      <c r="J6" s="3514" t="s">
        <v>3321</v>
      </c>
    </row>
    <row r="7" spans="1:10">
      <c r="A7" s="3529"/>
      <c r="B7" s="3511" t="s">
        <v>3316</v>
      </c>
      <c r="C7" s="3530" t="s">
        <v>3322</v>
      </c>
      <c r="D7" s="3531"/>
      <c r="E7" s="3531"/>
      <c r="F7" s="3531"/>
      <c r="G7" s="3531"/>
      <c r="H7" s="3531"/>
      <c r="I7" s="3531"/>
      <c r="J7" s="3532"/>
    </row>
    <row r="8" spans="1:10" ht="63.75">
      <c r="A8" s="3515" t="s">
        <v>3323</v>
      </c>
      <c r="B8" s="3511" t="s">
        <v>3320</v>
      </c>
      <c r="C8" s="3511" t="s">
        <v>3321</v>
      </c>
      <c r="D8" s="3511" t="s">
        <v>3321</v>
      </c>
      <c r="E8" s="3511" t="s">
        <v>3321</v>
      </c>
      <c r="F8" s="3511" t="s">
        <v>3321</v>
      </c>
      <c r="G8" s="3511" t="s">
        <v>3321</v>
      </c>
      <c r="H8" s="3511" t="s">
        <v>3321</v>
      </c>
      <c r="I8" s="3511" t="s">
        <v>3321</v>
      </c>
      <c r="J8" s="3514" t="s">
        <v>3321</v>
      </c>
    </row>
    <row r="9" spans="1:10" ht="51">
      <c r="A9" s="3515" t="s">
        <v>3324</v>
      </c>
      <c r="B9" s="3511" t="s">
        <v>3320</v>
      </c>
      <c r="C9" s="3512">
        <v>0</v>
      </c>
      <c r="D9" s="3512">
        <v>0</v>
      </c>
      <c r="E9" s="3512">
        <v>0</v>
      </c>
      <c r="F9" s="3512">
        <v>0</v>
      </c>
      <c r="G9" s="3512">
        <v>0</v>
      </c>
      <c r="H9" s="3512">
        <v>0</v>
      </c>
      <c r="I9" s="3512">
        <v>0</v>
      </c>
      <c r="J9" s="3513">
        <v>0</v>
      </c>
    </row>
    <row r="10" spans="1:10" ht="51">
      <c r="A10" s="3515" t="s">
        <v>3325</v>
      </c>
      <c r="B10" s="3511" t="s">
        <v>3320</v>
      </c>
      <c r="C10" s="3512">
        <v>0</v>
      </c>
      <c r="D10" s="3512">
        <v>0</v>
      </c>
      <c r="E10" s="3512">
        <v>0</v>
      </c>
      <c r="F10" s="3512">
        <v>0</v>
      </c>
      <c r="G10" s="3512">
        <v>0</v>
      </c>
      <c r="H10" s="3512">
        <v>0</v>
      </c>
      <c r="I10" s="3512">
        <v>0</v>
      </c>
      <c r="J10" s="3513">
        <v>0</v>
      </c>
    </row>
    <row r="11" spans="1:10">
      <c r="A11" s="3528" t="s">
        <v>3326</v>
      </c>
      <c r="B11" s="3511" t="s">
        <v>2928</v>
      </c>
      <c r="C11" s="3512">
        <v>19512</v>
      </c>
      <c r="D11" s="3512">
        <v>39314</v>
      </c>
      <c r="E11" s="3512">
        <v>19487</v>
      </c>
      <c r="F11" s="3512">
        <v>24392</v>
      </c>
      <c r="G11" s="3512">
        <v>7499</v>
      </c>
      <c r="H11" s="3512">
        <v>3861</v>
      </c>
      <c r="I11" s="3512">
        <v>16607</v>
      </c>
      <c r="J11" s="3513">
        <f>SUM(C11:I11)</f>
        <v>130672</v>
      </c>
    </row>
    <row r="12" spans="1:10">
      <c r="A12" s="3527"/>
      <c r="B12" s="3511" t="s">
        <v>3316</v>
      </c>
      <c r="C12" s="3530" t="s">
        <v>3317</v>
      </c>
      <c r="D12" s="3531"/>
      <c r="E12" s="3531"/>
      <c r="F12" s="3531"/>
      <c r="G12" s="3531"/>
      <c r="H12" s="3531"/>
      <c r="I12" s="3531"/>
      <c r="J12" s="3532"/>
    </row>
    <row r="13" spans="1:10" ht="14.25" thickBot="1">
      <c r="A13" s="3529"/>
      <c r="B13" s="3511" t="s">
        <v>3318</v>
      </c>
      <c r="C13" s="3511" t="s">
        <v>951</v>
      </c>
      <c r="D13" s="3512">
        <v>3861</v>
      </c>
      <c r="E13" s="3512">
        <v>6439</v>
      </c>
      <c r="F13" s="3512">
        <v>8142</v>
      </c>
      <c r="G13" s="3512">
        <v>12336</v>
      </c>
      <c r="H13" s="3512">
        <v>15369</v>
      </c>
      <c r="I13" s="3512">
        <v>22375</v>
      </c>
      <c r="J13" s="3514" t="s">
        <v>951</v>
      </c>
    </row>
    <row r="14" spans="1:10" ht="15" thickTop="1" thickBot="1">
      <c r="A14" s="3534" t="s">
        <v>3327</v>
      </c>
      <c r="B14" s="3511" t="s">
        <v>2928</v>
      </c>
      <c r="C14" s="3536">
        <v>16537</v>
      </c>
      <c r="D14" s="3537">
        <v>34215</v>
      </c>
      <c r="E14" s="3537">
        <v>16229</v>
      </c>
      <c r="F14" s="3537">
        <v>22052</v>
      </c>
      <c r="G14" s="3537">
        <v>5918</v>
      </c>
      <c r="H14" s="3537">
        <v>2398</v>
      </c>
      <c r="I14" s="3537">
        <v>11767</v>
      </c>
      <c r="J14" s="3513">
        <f>SUM(C14:I14)</f>
        <v>109116</v>
      </c>
    </row>
    <row r="15" spans="1:10" ht="13.5" customHeight="1" thickTop="1">
      <c r="A15" s="3533"/>
      <c r="B15" s="3511" t="s">
        <v>3316</v>
      </c>
      <c r="C15" s="3530" t="s">
        <v>3328</v>
      </c>
      <c r="D15" s="3531"/>
      <c r="E15" s="3531"/>
      <c r="F15" s="3531"/>
      <c r="G15" s="3531"/>
      <c r="H15" s="3531"/>
      <c r="I15" s="3531"/>
      <c r="J15" s="3532"/>
    </row>
    <row r="16" spans="1:10" ht="14.25" thickBot="1">
      <c r="A16" s="3535"/>
      <c r="B16" s="3516" t="s">
        <v>3318</v>
      </c>
      <c r="C16" s="3517" t="s">
        <v>951</v>
      </c>
      <c r="D16" s="3517">
        <v>3361</v>
      </c>
      <c r="E16" s="3517">
        <v>5363</v>
      </c>
      <c r="F16" s="3517">
        <v>7361</v>
      </c>
      <c r="G16" s="3517">
        <v>9735</v>
      </c>
      <c r="H16" s="3517">
        <v>9545</v>
      </c>
      <c r="I16" s="3517">
        <v>15854</v>
      </c>
      <c r="J16" s="3518" t="s">
        <v>951</v>
      </c>
    </row>
    <row r="17" ht="14.25" thickTop="1"/>
  </sheetData>
  <mergeCells count="18">
    <mergeCell ref="A11:A13"/>
    <mergeCell ref="C12:J12"/>
    <mergeCell ref="A14:A16"/>
    <mergeCell ref="C15:J15"/>
    <mergeCell ref="A1:B1"/>
    <mergeCell ref="A2:B2"/>
    <mergeCell ref="C1:C2"/>
    <mergeCell ref="D1:D2"/>
    <mergeCell ref="E1:E2"/>
    <mergeCell ref="F1:F2"/>
    <mergeCell ref="G1:G2"/>
    <mergeCell ref="H1:H2"/>
    <mergeCell ref="I1:I2"/>
    <mergeCell ref="J1:J2"/>
    <mergeCell ref="A3:A5"/>
    <mergeCell ref="C4:J4"/>
    <mergeCell ref="A6:A7"/>
    <mergeCell ref="C7:J7"/>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7" sqref="E27"/>
    </sheetView>
  </sheetViews>
  <sheetFormatPr defaultColWidth="14.625" defaultRowHeight="13.5"/>
  <cols>
    <col min="1" max="1" width="24.375" customWidth="1"/>
  </cols>
  <sheetData>
    <row r="1" spans="1:9" ht="16.5">
      <c r="A1" s="2996" t="s">
        <v>2838</v>
      </c>
      <c r="B1" s="2996">
        <f>SUM(B14:B23)</f>
        <v>211578.64</v>
      </c>
      <c r="C1" s="2997"/>
      <c r="D1" s="2997"/>
      <c r="E1" s="2997"/>
      <c r="F1" s="2997"/>
    </row>
    <row r="2" spans="1:9" ht="16.5">
      <c r="A2" s="2996" t="s">
        <v>2839</v>
      </c>
      <c r="B2" s="2996">
        <f>SUM(C14:C23)</f>
        <v>35778.080000000002</v>
      </c>
      <c r="C2" s="2997"/>
      <c r="D2" s="2997"/>
      <c r="E2" s="2997"/>
      <c r="F2" s="2997"/>
    </row>
    <row r="3" spans="1:9" ht="16.5">
      <c r="A3" s="2996" t="s">
        <v>2840</v>
      </c>
      <c r="B3" s="2998">
        <f>项目基本情况!D3</f>
        <v>43961</v>
      </c>
      <c r="C3" s="2997"/>
      <c r="D3" s="2997"/>
      <c r="E3" s="2997"/>
      <c r="F3" s="2997"/>
    </row>
    <row r="4" spans="1:9" ht="33">
      <c r="A4" s="2996" t="s">
        <v>2841</v>
      </c>
      <c r="B4" s="2996" t="s">
        <v>2842</v>
      </c>
      <c r="C4" s="2996" t="s">
        <v>2843</v>
      </c>
      <c r="D4" s="2996" t="s">
        <v>2844</v>
      </c>
      <c r="E4" s="2997"/>
      <c r="F4" s="2997"/>
    </row>
    <row r="5" spans="1:9" ht="16.5">
      <c r="A5" s="2996" t="s">
        <v>2845</v>
      </c>
      <c r="B5" s="2996">
        <f ca="1">SUM(D14:D23)</f>
        <v>130672</v>
      </c>
      <c r="C5" s="2996">
        <f ca="1">ROUND(B5*10000/$B$1,0)</f>
        <v>6176</v>
      </c>
      <c r="D5" s="2996">
        <f ca="1">ROUND(B5*10000/$B$2,0)</f>
        <v>36523</v>
      </c>
      <c r="E5" s="2997"/>
      <c r="F5" s="2997"/>
    </row>
    <row r="6" spans="1:9" ht="16.5">
      <c r="A6" s="2996" t="s">
        <v>2846</v>
      </c>
      <c r="B6" s="2996">
        <f ca="1">SUM(G14:G23)</f>
        <v>130672</v>
      </c>
      <c r="C6" s="2996">
        <f t="shared" ref="C6:C8" ca="1" si="0">ROUND(B6*10000/$B$1,0)</f>
        <v>6176</v>
      </c>
      <c r="D6" s="2996">
        <f t="shared" ref="D6:D8" ca="1" si="1">ROUND(B6*10000/$B$2,0)</f>
        <v>36523</v>
      </c>
      <c r="E6" s="2997"/>
      <c r="F6" s="2997"/>
    </row>
    <row r="7" spans="1:9" ht="16.5">
      <c r="A7" s="2996" t="s">
        <v>2847</v>
      </c>
      <c r="B7" s="2996">
        <f>SUM(H14:H23)</f>
        <v>0</v>
      </c>
      <c r="C7" s="2996">
        <f t="shared" si="0"/>
        <v>0</v>
      </c>
      <c r="D7" s="2996">
        <f t="shared" si="1"/>
        <v>0</v>
      </c>
      <c r="E7" s="2997"/>
      <c r="F7" s="2997"/>
    </row>
    <row r="8" spans="1:9" ht="16.5">
      <c r="A8" s="2996" t="s">
        <v>2848</v>
      </c>
      <c r="B8" s="2996">
        <f ca="1">SUM(I14:I23)</f>
        <v>109116</v>
      </c>
      <c r="C8" s="2996">
        <f t="shared" ca="1" si="0"/>
        <v>5157</v>
      </c>
      <c r="D8" s="2996">
        <f t="shared" ca="1" si="1"/>
        <v>30498</v>
      </c>
      <c r="E8" s="2997"/>
      <c r="F8" s="2997"/>
    </row>
    <row r="9" spans="1:9" ht="16.5">
      <c r="A9" s="2996" t="s">
        <v>2849</v>
      </c>
      <c r="B9" s="2999"/>
      <c r="C9" s="2997"/>
      <c r="D9" s="2997"/>
      <c r="E9" s="2997"/>
      <c r="F9" s="2997"/>
    </row>
    <row r="10" spans="1:9" ht="16.5">
      <c r="A10" s="2996" t="s">
        <v>2850</v>
      </c>
      <c r="B10" s="2999"/>
      <c r="C10" s="2997"/>
      <c r="D10" s="2997"/>
      <c r="E10" s="2997"/>
      <c r="F10" s="2997"/>
    </row>
    <row r="11" spans="1:9" ht="16.5">
      <c r="A11" s="2996" t="s">
        <v>2867</v>
      </c>
      <c r="B11" s="2999"/>
      <c r="C11" s="2997"/>
      <c r="D11" s="2997"/>
      <c r="E11" s="2997"/>
      <c r="F11" s="2997"/>
    </row>
    <row r="12" spans="1:9" ht="16.5">
      <c r="A12" s="2997"/>
      <c r="B12" s="2997"/>
      <c r="C12" s="2997"/>
      <c r="D12" s="2997"/>
      <c r="E12" s="2997"/>
      <c r="F12" s="2997"/>
    </row>
    <row r="13" spans="1:9" ht="33">
      <c r="A13" s="3001" t="s">
        <v>2866</v>
      </c>
      <c r="B13" s="3000" t="s">
        <v>2838</v>
      </c>
      <c r="C13" s="3000" t="s">
        <v>2839</v>
      </c>
      <c r="D13" s="3000" t="s">
        <v>2851</v>
      </c>
      <c r="E13" s="2996" t="s">
        <v>2865</v>
      </c>
      <c r="F13" s="2996" t="s">
        <v>2844</v>
      </c>
      <c r="G13" s="3000" t="s">
        <v>2852</v>
      </c>
      <c r="H13" s="3000" t="s">
        <v>2853</v>
      </c>
      <c r="I13" s="3000" t="s">
        <v>2854</v>
      </c>
    </row>
    <row r="14" spans="1:9" ht="16.5">
      <c r="A14" s="3002" t="s">
        <v>2864</v>
      </c>
      <c r="B14" s="3000">
        <f>结果表!L38</f>
        <v>4086</v>
      </c>
      <c r="C14" s="3000">
        <f>结果表!K38</f>
        <v>817.26</v>
      </c>
      <c r="D14" s="3000">
        <f ca="1">结果表!C42</f>
        <v>3282</v>
      </c>
      <c r="E14" s="3000">
        <f ca="1">ROUND(D14*10000/B14,0)</f>
        <v>8032</v>
      </c>
      <c r="F14" s="3000">
        <f ca="1">ROUND(D14*10000/C14,0)</f>
        <v>40159</v>
      </c>
      <c r="G14" s="3000">
        <f ca="1">结果表!C44</f>
        <v>3282</v>
      </c>
      <c r="H14" s="3000" t="str">
        <f>结果表!C45</f>
        <v>——</v>
      </c>
      <c r="I14" s="3000">
        <f ca="1">结果表!C46</f>
        <v>2533</v>
      </c>
    </row>
    <row r="15" spans="1:9" ht="16.5">
      <c r="A15" s="3002" t="s">
        <v>2855</v>
      </c>
      <c r="B15" s="3199">
        <f>[1]系统读取表!$B$14</f>
        <v>29443</v>
      </c>
      <c r="C15" s="3199">
        <f>[1]系统读取表!$C$14</f>
        <v>5889.06</v>
      </c>
      <c r="D15" s="3199">
        <f ca="1">[1]系统读取表!$D$14</f>
        <v>16230</v>
      </c>
      <c r="E15" s="3200">
        <f t="shared" ref="E15:E23" ca="1" si="2">ROUND(D15*10000/B15,0)</f>
        <v>5512</v>
      </c>
      <c r="F15" s="3200">
        <f t="shared" ref="F15:F23" ca="1" si="3">ROUND(D15*10000/C15,0)</f>
        <v>27560</v>
      </c>
      <c r="G15" s="3199">
        <f t="shared" ref="G15:G21" ca="1" si="4">D15</f>
        <v>16230</v>
      </c>
      <c r="H15" s="3199"/>
      <c r="I15" s="3199">
        <f ca="1">[1]系统读取表!$I$14</f>
        <v>14004</v>
      </c>
    </row>
    <row r="16" spans="1:9" ht="16.5">
      <c r="A16" s="3002" t="s">
        <v>2856</v>
      </c>
      <c r="B16" s="3199">
        <f>[2]系统读取表!$B$14</f>
        <v>101813.25</v>
      </c>
      <c r="C16" s="3199">
        <f>[2]系统读取表!$C$14</f>
        <v>14931.35</v>
      </c>
      <c r="D16" s="3199">
        <f ca="1">[2]系统读取表!$D$14</f>
        <v>39314</v>
      </c>
      <c r="E16" s="3200">
        <f t="shared" ca="1" si="2"/>
        <v>3861</v>
      </c>
      <c r="F16" s="3200">
        <f t="shared" ca="1" si="3"/>
        <v>26330</v>
      </c>
      <c r="G16" s="3199">
        <f t="shared" ca="1" si="4"/>
        <v>39314</v>
      </c>
      <c r="H16" s="3199"/>
      <c r="I16" s="3199">
        <f ca="1">[2]系统读取表!$I$14</f>
        <v>34215</v>
      </c>
    </row>
    <row r="17" spans="1:9" ht="16.5">
      <c r="A17" s="3002" t="s">
        <v>2857</v>
      </c>
      <c r="B17" s="3199">
        <f>[3]系统读取表!$B$14</f>
        <v>30263.600000000002</v>
      </c>
      <c r="C17" s="3199">
        <f>[3]系统读取表!$C$14</f>
        <v>6531.35</v>
      </c>
      <c r="D17" s="3199">
        <f ca="1">[3]系统读取表!$D$14</f>
        <v>19487</v>
      </c>
      <c r="E17" s="3200">
        <f t="shared" ca="1" si="2"/>
        <v>6439</v>
      </c>
      <c r="F17" s="3200">
        <f t="shared" ca="1" si="3"/>
        <v>29836</v>
      </c>
      <c r="G17" s="3199">
        <f t="shared" ca="1" si="4"/>
        <v>19487</v>
      </c>
      <c r="H17" s="3199"/>
      <c r="I17" s="3199">
        <f ca="1">[3]系统读取表!$I$14</f>
        <v>16229</v>
      </c>
    </row>
    <row r="18" spans="1:9" ht="16.5">
      <c r="A18" s="3002" t="s">
        <v>2858</v>
      </c>
      <c r="B18" s="3199">
        <f>[5]系统读取表!$B$14</f>
        <v>29959.62</v>
      </c>
      <c r="C18" s="3199">
        <f>[5]系统读取表!$C$14</f>
        <v>6387.46</v>
      </c>
      <c r="D18" s="3199">
        <f ca="1">[5]系统读取表!$D$14</f>
        <v>24392</v>
      </c>
      <c r="E18" s="3200">
        <f t="shared" ca="1" si="2"/>
        <v>8142</v>
      </c>
      <c r="F18" s="3200">
        <f t="shared" ca="1" si="3"/>
        <v>38187</v>
      </c>
      <c r="G18" s="3199">
        <f t="shared" ca="1" si="4"/>
        <v>24392</v>
      </c>
      <c r="H18" s="3199"/>
      <c r="I18" s="3199">
        <f ca="1">[5]系统读取表!$I$14</f>
        <v>22052</v>
      </c>
    </row>
    <row r="19" spans="1:9" ht="16.5">
      <c r="A19" s="3002" t="s">
        <v>2859</v>
      </c>
      <c r="B19" s="3199">
        <f>[6]系统读取表!$B$14</f>
        <v>6078.82</v>
      </c>
      <c r="C19" s="3199">
        <f>[6]系统读取表!$C$14</f>
        <v>1221.5999999999999</v>
      </c>
      <c r="D19" s="3199">
        <f ca="1">[6]系统读取表!$D$14</f>
        <v>7499</v>
      </c>
      <c r="E19" s="3200">
        <f t="shared" ca="1" si="2"/>
        <v>12336</v>
      </c>
      <c r="F19" s="3200">
        <f t="shared" ca="1" si="3"/>
        <v>61387</v>
      </c>
      <c r="G19" s="3199">
        <f t="shared" ca="1" si="4"/>
        <v>7499</v>
      </c>
      <c r="H19" s="3199"/>
      <c r="I19" s="3199">
        <f ca="1">[6]系统读取表!$I$14</f>
        <v>5918</v>
      </c>
    </row>
    <row r="20" spans="1:9" ht="16.5">
      <c r="A20" s="3002" t="s">
        <v>2860</v>
      </c>
      <c r="B20" s="3199">
        <f>[7]典型户型修正!$B$22</f>
        <v>2512.2799999999997</v>
      </c>
      <c r="C20" s="3199"/>
      <c r="D20" s="3199">
        <f ca="1">[7]典型户型修正!$S$22</f>
        <v>3861</v>
      </c>
      <c r="E20" s="3200">
        <f t="shared" ca="1" si="2"/>
        <v>15369</v>
      </c>
      <c r="F20" s="3200" t="e">
        <f t="shared" ca="1" si="3"/>
        <v>#DIV/0!</v>
      </c>
      <c r="G20" s="3199">
        <f t="shared" ca="1" si="4"/>
        <v>3861</v>
      </c>
      <c r="H20" s="3199"/>
      <c r="I20" s="3199">
        <f ca="1">'[7]结果表-净值'!$N$59</f>
        <v>2398</v>
      </c>
    </row>
    <row r="21" spans="1:9" ht="16.5">
      <c r="A21" s="3002" t="s">
        <v>2861</v>
      </c>
      <c r="B21" s="3199">
        <f>[8]典型户型修正!$B$22</f>
        <v>7422.0700000000006</v>
      </c>
      <c r="C21" s="3199"/>
      <c r="D21" s="3199">
        <f ca="1">[8]典型户型修正!$S$22</f>
        <v>16607</v>
      </c>
      <c r="E21" s="3200">
        <f t="shared" ca="1" si="2"/>
        <v>22375</v>
      </c>
      <c r="F21" s="3200" t="e">
        <f t="shared" ca="1" si="3"/>
        <v>#DIV/0!</v>
      </c>
      <c r="G21" s="3199">
        <f t="shared" ca="1" si="4"/>
        <v>16607</v>
      </c>
      <c r="H21" s="3199"/>
      <c r="I21" s="3199">
        <f ca="1">'[8]结果表-净值'!$N$59</f>
        <v>11767</v>
      </c>
    </row>
    <row r="22" spans="1:9" ht="16.5">
      <c r="A22" s="3002" t="s">
        <v>2862</v>
      </c>
      <c r="B22" s="3003"/>
      <c r="C22" s="3003"/>
      <c r="D22" s="3003"/>
      <c r="E22" s="3000" t="e">
        <f t="shared" si="2"/>
        <v>#DIV/0!</v>
      </c>
      <c r="F22" s="3000" t="e">
        <f t="shared" si="3"/>
        <v>#DIV/0!</v>
      </c>
      <c r="G22" s="3003"/>
      <c r="H22" s="3003"/>
      <c r="I22" s="3003"/>
    </row>
    <row r="23" spans="1:9" ht="16.5">
      <c r="A23" s="3002" t="s">
        <v>2863</v>
      </c>
      <c r="B23" s="3003"/>
      <c r="C23" s="3003"/>
      <c r="D23" s="3003"/>
      <c r="E23" s="2996" t="e">
        <f t="shared" si="2"/>
        <v>#DIV/0!</v>
      </c>
      <c r="F23" s="2996"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9" zoomScaleNormal="100" zoomScaleSheetLayoutView="100" zoomScalePageLayoutView="80" workbookViewId="0">
      <selection activeCell="F120" sqref="F12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1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2052</v>
      </c>
      <c r="B1" s="1761"/>
      <c r="C1" s="1789" t="s">
        <v>2053</v>
      </c>
      <c r="D1" s="1790"/>
      <c r="E1" s="1789" t="s">
        <v>2054</v>
      </c>
      <c r="F1" s="1791"/>
      <c r="G1" s="311"/>
      <c r="H1" s="311"/>
      <c r="I1" s="311"/>
      <c r="J1" s="2013"/>
      <c r="K1" s="2013"/>
      <c r="L1" s="2013"/>
      <c r="M1" s="2013"/>
      <c r="N1" s="2013"/>
      <c r="O1" s="2013"/>
      <c r="P1" s="2013"/>
      <c r="Q1" s="2013"/>
      <c r="R1" s="2013"/>
      <c r="S1" s="2013"/>
      <c r="T1" s="2013"/>
      <c r="U1" s="2013"/>
      <c r="V1" s="2013"/>
    </row>
    <row r="2" spans="1:22" ht="21.75" customHeight="1" thickBot="1">
      <c r="A2" s="3345" t="str">
        <f>项目基本情况!K2</f>
        <v>河南省郑州市管城区出让国有建设用地使用权</v>
      </c>
      <c r="B2" s="3346"/>
      <c r="C2" s="3347"/>
      <c r="D2" s="3347"/>
      <c r="E2" s="3347"/>
      <c r="F2" s="3347"/>
      <c r="G2" s="3346"/>
      <c r="H2" s="3346"/>
      <c r="I2" s="3348"/>
      <c r="J2" s="2014"/>
      <c r="K2" s="2013"/>
      <c r="L2" s="2013"/>
      <c r="M2" s="2013"/>
      <c r="N2" s="2013"/>
      <c r="O2" s="2013"/>
      <c r="P2" s="2013"/>
      <c r="Q2" s="2013"/>
      <c r="R2" s="2013"/>
      <c r="S2" s="2013"/>
      <c r="T2" s="2013"/>
      <c r="U2" s="2013"/>
      <c r="V2" s="2013"/>
    </row>
    <row r="3" spans="1:22" ht="14.25">
      <c r="A3" s="3356" t="s">
        <v>298</v>
      </c>
      <c r="B3" s="3357"/>
      <c r="C3" s="3357"/>
      <c r="D3" s="3357"/>
      <c r="E3" s="3357"/>
      <c r="F3" s="3357"/>
      <c r="G3" s="3357"/>
      <c r="H3" s="3357"/>
      <c r="I3" s="3357"/>
      <c r="J3" s="2014"/>
      <c r="K3" s="2013"/>
      <c r="L3" s="2013"/>
      <c r="M3" s="2013"/>
      <c r="N3" s="2013"/>
      <c r="O3" s="2013"/>
      <c r="P3" s="2013"/>
      <c r="Q3" s="2013"/>
      <c r="R3" s="2013"/>
      <c r="S3" s="2013"/>
      <c r="T3" s="2013"/>
      <c r="U3" s="2013"/>
      <c r="V3" s="2013"/>
    </row>
    <row r="4" spans="1:22" ht="14.25">
      <c r="A4" s="258" t="s">
        <v>299</v>
      </c>
      <c r="B4" s="259" t="s">
        <v>300</v>
      </c>
      <c r="C4" s="260" t="s">
        <v>3253</v>
      </c>
      <c r="D4" s="260" t="s">
        <v>3254</v>
      </c>
      <c r="E4" s="3320" t="s">
        <v>301</v>
      </c>
      <c r="F4" s="3362"/>
      <c r="G4" s="3362"/>
      <c r="H4" s="3362"/>
      <c r="I4" s="3321"/>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9" t="s">
        <v>302</v>
      </c>
      <c r="B5" s="3350">
        <v>25</v>
      </c>
      <c r="C5" s="3358"/>
      <c r="D5" s="3361"/>
      <c r="E5" s="261" t="s">
        <v>303</v>
      </c>
      <c r="F5" s="262"/>
      <c r="G5" s="262"/>
      <c r="H5" s="262"/>
      <c r="I5" s="263"/>
      <c r="J5" s="2014"/>
      <c r="K5" s="2013"/>
      <c r="L5" s="2013"/>
      <c r="M5" s="2013"/>
      <c r="N5" s="2013"/>
      <c r="O5" s="2013"/>
      <c r="P5" s="2013"/>
      <c r="Q5" s="2013"/>
      <c r="R5" s="2013"/>
      <c r="S5" s="2013"/>
      <c r="T5" s="2013"/>
      <c r="U5" s="2013"/>
      <c r="V5" s="2013"/>
    </row>
    <row r="6" spans="1:22" ht="14.25">
      <c r="A6" s="3349"/>
      <c r="B6" s="3350"/>
      <c r="C6" s="3359"/>
      <c r="D6" s="3361"/>
      <c r="E6" s="261" t="s">
        <v>304</v>
      </c>
      <c r="F6" s="262"/>
      <c r="G6" s="262"/>
      <c r="H6" s="262"/>
      <c r="I6" s="263"/>
      <c r="J6" s="2014"/>
      <c r="K6" s="2013"/>
      <c r="L6" s="2013"/>
      <c r="M6" s="2013"/>
      <c r="N6" s="2013"/>
      <c r="O6" s="2013"/>
      <c r="P6" s="2013"/>
      <c r="Q6" s="2013"/>
      <c r="R6" s="2013"/>
      <c r="S6" s="2013"/>
      <c r="T6" s="2013"/>
      <c r="U6" s="2013"/>
      <c r="V6" s="2013"/>
    </row>
    <row r="7" spans="1:22" ht="14.25">
      <c r="A7" s="3349"/>
      <c r="B7" s="3350"/>
      <c r="C7" s="3360"/>
      <c r="D7" s="3361"/>
      <c r="E7" s="261" t="s">
        <v>305</v>
      </c>
      <c r="F7" s="262"/>
      <c r="G7" s="262"/>
      <c r="H7" s="262"/>
      <c r="I7" s="263"/>
      <c r="J7" s="2014"/>
      <c r="K7" s="2013"/>
      <c r="L7" s="2013"/>
      <c r="M7" s="2013"/>
      <c r="N7" s="2013"/>
      <c r="O7" s="2013"/>
      <c r="P7" s="2013"/>
      <c r="Q7" s="2013"/>
      <c r="R7" s="2013"/>
      <c r="S7" s="2013"/>
      <c r="T7" s="2013"/>
      <c r="U7" s="2013"/>
      <c r="V7" s="2013"/>
    </row>
    <row r="8" spans="1:22" ht="14.25">
      <c r="A8" s="3349" t="s">
        <v>306</v>
      </c>
      <c r="B8" s="3350">
        <v>15</v>
      </c>
      <c r="C8" s="3358"/>
      <c r="D8" s="3361"/>
      <c r="E8" s="261" t="s">
        <v>307</v>
      </c>
      <c r="F8" s="262"/>
      <c r="G8" s="262"/>
      <c r="H8" s="262"/>
      <c r="I8" s="263"/>
      <c r="J8" s="2014"/>
      <c r="K8" s="2013"/>
      <c r="L8" s="2013"/>
      <c r="M8" s="2013"/>
      <c r="N8" s="2013"/>
      <c r="O8" s="2013"/>
      <c r="P8" s="2013"/>
      <c r="Q8" s="2013"/>
      <c r="R8" s="2013"/>
      <c r="S8" s="2013"/>
      <c r="T8" s="2013"/>
      <c r="U8" s="2013"/>
      <c r="V8" s="2013"/>
    </row>
    <row r="9" spans="1:22" ht="14.25">
      <c r="A9" s="3349"/>
      <c r="B9" s="3350"/>
      <c r="C9" s="3360"/>
      <c r="D9" s="3361"/>
      <c r="E9" s="261" t="s">
        <v>308</v>
      </c>
      <c r="F9" s="262"/>
      <c r="G9" s="262"/>
      <c r="H9" s="262"/>
      <c r="I9" s="263"/>
      <c r="J9" s="2014"/>
      <c r="K9" s="2013"/>
      <c r="L9" s="2013"/>
      <c r="M9" s="2013"/>
      <c r="N9" s="2013"/>
      <c r="O9" s="2013"/>
      <c r="P9" s="2013"/>
      <c r="Q9" s="2013"/>
      <c r="R9" s="2013"/>
      <c r="S9" s="2013"/>
      <c r="T9" s="2013"/>
      <c r="U9" s="2013"/>
      <c r="V9" s="2013"/>
    </row>
    <row r="10" spans="1:22" ht="14.25">
      <c r="A10" s="3349" t="s">
        <v>309</v>
      </c>
      <c r="B10" s="3350">
        <v>15</v>
      </c>
      <c r="C10" s="3358"/>
      <c r="D10" s="3361"/>
      <c r="E10" s="261" t="s">
        <v>310</v>
      </c>
      <c r="F10" s="262"/>
      <c r="G10" s="262"/>
      <c r="H10" s="262"/>
      <c r="I10" s="263"/>
      <c r="J10" s="2014"/>
      <c r="K10" s="2013"/>
      <c r="L10" s="2013"/>
      <c r="M10" s="2013"/>
      <c r="N10" s="2013"/>
      <c r="O10" s="2013"/>
      <c r="P10" s="2013"/>
      <c r="Q10" s="2013"/>
      <c r="R10" s="2013"/>
      <c r="S10" s="2013"/>
      <c r="T10" s="2013"/>
      <c r="U10" s="2013"/>
      <c r="V10" s="2013"/>
    </row>
    <row r="11" spans="1:22" ht="14.25">
      <c r="A11" s="3349"/>
      <c r="B11" s="3350"/>
      <c r="C11" s="3360"/>
      <c r="D11" s="3361"/>
      <c r="E11" s="261" t="s">
        <v>311</v>
      </c>
      <c r="F11" s="262"/>
      <c r="G11" s="262"/>
      <c r="H11" s="262"/>
      <c r="I11" s="263"/>
      <c r="J11" s="2014"/>
      <c r="K11" s="2013"/>
      <c r="L11" s="2013"/>
      <c r="M11" s="2013"/>
      <c r="N11" s="2013"/>
      <c r="O11" s="2013"/>
      <c r="P11" s="2013"/>
      <c r="Q11" s="2013"/>
      <c r="R11" s="2013"/>
      <c r="S11" s="2013"/>
      <c r="T11" s="2013"/>
      <c r="U11" s="2013"/>
      <c r="V11" s="2013"/>
    </row>
    <row r="12" spans="1:22" ht="14.25">
      <c r="A12" s="3349" t="s">
        <v>312</v>
      </c>
      <c r="B12" s="3350">
        <v>15</v>
      </c>
      <c r="C12" s="3358"/>
      <c r="D12" s="3361"/>
      <c r="E12" s="261" t="s">
        <v>313</v>
      </c>
      <c r="F12" s="262"/>
      <c r="G12" s="262"/>
      <c r="H12" s="262"/>
      <c r="I12" s="263"/>
      <c r="J12" s="2014"/>
      <c r="K12" s="2013"/>
      <c r="L12" s="2013"/>
      <c r="M12" s="2013"/>
      <c r="N12" s="2013"/>
      <c r="O12" s="2013"/>
      <c r="P12" s="2013"/>
      <c r="Q12" s="2013"/>
      <c r="R12" s="2013"/>
      <c r="S12" s="2013"/>
      <c r="T12" s="2013"/>
      <c r="U12" s="2013"/>
      <c r="V12" s="2013"/>
    </row>
    <row r="13" spans="1:22" ht="14.25">
      <c r="A13" s="3349"/>
      <c r="B13" s="3350"/>
      <c r="C13" s="3360"/>
      <c r="D13" s="3361"/>
      <c r="E13" s="261" t="s">
        <v>314</v>
      </c>
      <c r="F13" s="262"/>
      <c r="G13" s="262"/>
      <c r="H13" s="262"/>
      <c r="I13" s="263"/>
      <c r="J13" s="2014"/>
      <c r="K13" s="2013"/>
      <c r="L13" s="2013"/>
      <c r="M13" s="2013"/>
      <c r="N13" s="2013"/>
      <c r="O13" s="2013"/>
      <c r="P13" s="2013"/>
      <c r="Q13" s="2013"/>
      <c r="R13" s="2013"/>
      <c r="S13" s="2013"/>
      <c r="T13" s="2013"/>
      <c r="U13" s="2013"/>
      <c r="V13" s="2013"/>
    </row>
    <row r="14" spans="1:22" ht="14.25">
      <c r="A14" s="3349" t="s">
        <v>315</v>
      </c>
      <c r="B14" s="3350">
        <v>30</v>
      </c>
      <c r="C14" s="3358">
        <v>5</v>
      </c>
      <c r="D14" s="3361">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49"/>
      <c r="B15" s="3350"/>
      <c r="C15" s="3359"/>
      <c r="D15" s="3361"/>
      <c r="E15" s="261" t="s">
        <v>317</v>
      </c>
      <c r="F15" s="262"/>
      <c r="G15" s="262"/>
      <c r="H15" s="262"/>
      <c r="I15" s="263"/>
      <c r="J15" s="2014"/>
      <c r="K15" s="2013"/>
      <c r="L15" s="2013"/>
      <c r="M15" s="2013"/>
      <c r="N15" s="2013"/>
      <c r="O15" s="2013"/>
      <c r="P15" s="2013"/>
      <c r="Q15" s="2013"/>
      <c r="R15" s="2013"/>
      <c r="S15" s="2013"/>
      <c r="T15" s="2013"/>
      <c r="U15" s="2013"/>
      <c r="V15" s="2013"/>
    </row>
    <row r="16" spans="1:22" ht="14.25">
      <c r="A16" s="3349"/>
      <c r="B16" s="3350"/>
      <c r="C16" s="3360"/>
      <c r="D16" s="3361"/>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3377</v>
      </c>
      <c r="D19" s="271">
        <f ca="1">SUMIF(INDIRECT("'"&amp;D4&amp;"'"&amp;"!A:A"),结果表!B19,INDIRECT("'"&amp;D4&amp;"'"&amp;"!B:B"))</f>
        <v>3187</v>
      </c>
      <c r="E19" s="268" t="s">
        <v>323</v>
      </c>
      <c r="F19" s="269" t="s">
        <v>322</v>
      </c>
      <c r="G19" s="272">
        <f ca="1">ROUND(C19*$C$18+D19*$D$18,0)</f>
        <v>3282</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8265</v>
      </c>
      <c r="D20" s="277">
        <f ca="1">SUMIF(INDIRECT("'"&amp;D4&amp;"'"&amp;"!A:A"),结果表!B20,INDIRECT("'"&amp;D4&amp;"'"&amp;"!B:B"))</f>
        <v>7800</v>
      </c>
      <c r="E20" s="274"/>
      <c r="F20" s="275" t="s">
        <v>325</v>
      </c>
      <c r="G20" s="278">
        <f ca="1">ROUND(C20*$C$18+D20*$D$18,0)</f>
        <v>8033</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41321</v>
      </c>
      <c r="D21" s="151">
        <f ca="1">SUMIF(INDIRECT("'"&amp;D4&amp;"'"&amp;"!A:A"),结果表!B21,INDIRECT("'"&amp;D4&amp;"'"&amp;"!B:B"))</f>
        <v>38996</v>
      </c>
      <c r="E21" s="274"/>
      <c r="F21" s="280" t="s">
        <v>327</v>
      </c>
      <c r="G21" s="282">
        <f ca="1">ROUND(C21*$C$18+D21*$D$18,0)</f>
        <v>40159</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5.9617194854094668E-2</v>
      </c>
      <c r="E22" s="284"/>
      <c r="F22" s="285"/>
      <c r="G22" s="286">
        <f ca="1">ROUND(G19/('数据-汇总表'!D3/666.67),0)</f>
        <v>2677</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22"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64"/>
      <c r="B25" s="1316" t="s">
        <v>331</v>
      </c>
      <c r="C25" s="290">
        <f>IF(B30=0,0,C30)</f>
        <v>0</v>
      </c>
      <c r="D25" s="291"/>
      <c r="E25" s="311"/>
      <c r="F25" s="311"/>
      <c r="G25" s="311"/>
      <c r="H25" s="311"/>
      <c r="I25" s="311"/>
      <c r="J25" s="2013"/>
      <c r="K25" s="1250" t="str">
        <f ca="1">项目基本情况!B16&amp;"国有建设用地使用权价格："&amp;O38&amp;"万元"</f>
        <v>出让国有建设用地使用权价格：3282万元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大写金额：人民币叁仟贰佰捌拾贰万元整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单位面积地价：40159元/平方米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楼面地价：8032元/平方米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抵押价格：3282万元</v>
      </c>
      <c r="L29" s="1247"/>
      <c r="M29" s="1247"/>
      <c r="N29" s="1247"/>
      <c r="O29" s="1246"/>
      <c r="P29" s="2013"/>
      <c r="V29" s="2013"/>
    </row>
    <row r="30" spans="1:26" ht="18.75" thickBot="1">
      <c r="A30" s="3080" t="s">
        <v>336</v>
      </c>
      <c r="B30" s="309"/>
      <c r="C30" s="309"/>
      <c r="D30" s="310"/>
      <c r="E30" s="3081" t="s">
        <v>2952</v>
      </c>
      <c r="F30" s="311"/>
      <c r="G30" s="311"/>
      <c r="H30" s="311"/>
      <c r="I30" s="311"/>
      <c r="J30" s="2013"/>
      <c r="K30" s="1253" t="str">
        <f ca="1">IF(K29="——","——","大写金额：人民币"&amp;NUMBERSTRING(INT(O39*10000),2)&amp;"元整")</f>
        <v>大写金额：人民币叁仟贰佰捌拾贰万元整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1687</v>
      </c>
      <c r="C32" s="1378">
        <f ca="1">G19-C24</f>
        <v>3282</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1689</v>
      </c>
      <c r="C33" s="264">
        <f ca="1">ROUND(C32*10000/'数据-汇总表'!E3,0)</f>
        <v>8032</v>
      </c>
      <c r="D33" s="1381" t="s">
        <v>1690</v>
      </c>
      <c r="E33" s="3322" t="s">
        <v>338</v>
      </c>
      <c r="F33" s="296" t="s">
        <v>339</v>
      </c>
      <c r="G33" s="297"/>
      <c r="H33" s="979"/>
      <c r="I33" s="1254"/>
      <c r="J33" s="2013"/>
      <c r="K33" s="1253" t="str">
        <f ca="1">IF(项目基本情况!E9="——","——","抵押净值："&amp;C46&amp;"万元")</f>
        <v>抵押净值：2533万元</v>
      </c>
      <c r="L33" s="1247"/>
      <c r="M33" s="1247"/>
      <c r="N33" s="1247"/>
      <c r="O33" s="1246"/>
      <c r="P33" s="2013"/>
      <c r="V33" s="2013"/>
    </row>
    <row r="34" spans="1:26" s="1249" customFormat="1" ht="18.75" thickBot="1">
      <c r="A34" s="300"/>
      <c r="B34" s="1382" t="s">
        <v>1691</v>
      </c>
      <c r="C34" s="264">
        <f ca="1">ROUND(C32*10000/'数据-汇总表'!D3,0)</f>
        <v>40159</v>
      </c>
      <c r="D34" s="1383" t="s">
        <v>1690</v>
      </c>
      <c r="E34" s="3323"/>
      <c r="F34" s="127" t="s">
        <v>341</v>
      </c>
      <c r="G34" s="299"/>
      <c r="H34" s="105"/>
      <c r="I34" s="311"/>
      <c r="J34" s="2013"/>
      <c r="K34" s="1256" t="str">
        <f ca="1">IF(K33="——","——","大写金额：人民币"&amp;NUMBERSTRING(INT(O41*10000),2)&amp;"元整")</f>
        <v>大写金额：人民币贰仟伍佰叁拾叁万元整</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2677</v>
      </c>
      <c r="D35" s="1386" t="s">
        <v>1692</v>
      </c>
      <c r="E35" s="3324"/>
      <c r="F35" s="301" t="s">
        <v>342</v>
      </c>
      <c r="G35" s="981"/>
      <c r="H35" s="980" t="s">
        <v>343</v>
      </c>
      <c r="I35" s="311"/>
      <c r="J35" s="2013"/>
      <c r="K35" s="3328" t="s">
        <v>350</v>
      </c>
      <c r="L35" s="3328" t="s">
        <v>351</v>
      </c>
      <c r="M35" s="1259" t="s">
        <v>352</v>
      </c>
      <c r="N35" s="3328" t="s">
        <v>353</v>
      </c>
      <c r="O35" s="3328" t="s">
        <v>354</v>
      </c>
      <c r="P35" s="2013"/>
      <c r="V35" s="2013"/>
    </row>
    <row r="36" spans="1:26" ht="16.5" customHeight="1">
      <c r="A36" s="303" t="s">
        <v>344</v>
      </c>
      <c r="B36" s="304" t="s">
        <v>333</v>
      </c>
      <c r="C36" s="305" t="s">
        <v>345</v>
      </c>
      <c r="D36" s="305" t="s">
        <v>346</v>
      </c>
      <c r="E36" s="306" t="s">
        <v>347</v>
      </c>
      <c r="F36" s="311"/>
      <c r="G36" s="311"/>
      <c r="H36" s="311"/>
      <c r="I36" s="311"/>
      <c r="J36" s="2015"/>
      <c r="K36" s="3329"/>
      <c r="L36" s="3329"/>
      <c r="M36" s="1261" t="s">
        <v>355</v>
      </c>
      <c r="N36" s="3329"/>
      <c r="O36" s="3329"/>
      <c r="P36" s="2013"/>
      <c r="V36" s="2013"/>
    </row>
    <row r="37" spans="1:26" ht="16.5" customHeight="1" thickBot="1">
      <c r="A37" s="1255" t="s">
        <v>348</v>
      </c>
      <c r="B37" s="307"/>
      <c r="C37" s="294"/>
      <c r="D37" s="294"/>
      <c r="E37" s="295"/>
      <c r="F37" s="311"/>
      <c r="G37" s="311"/>
      <c r="H37" s="311"/>
      <c r="I37" s="311"/>
      <c r="J37" s="2015"/>
      <c r="K37" s="3330"/>
      <c r="L37" s="3330"/>
      <c r="M37" s="1262"/>
      <c r="N37" s="3330"/>
      <c r="O37" s="3330"/>
      <c r="P37" s="2013"/>
      <c r="V37" s="2013"/>
    </row>
    <row r="38" spans="1:26" ht="16.5" customHeight="1" thickBot="1">
      <c r="A38" s="1255" t="s">
        <v>349</v>
      </c>
      <c r="B38" s="307"/>
      <c r="C38" s="294"/>
      <c r="D38" s="294"/>
      <c r="E38" s="295"/>
      <c r="F38" s="311"/>
      <c r="G38" s="311"/>
      <c r="H38" s="311"/>
      <c r="I38" s="311"/>
      <c r="J38" s="2015"/>
      <c r="K38" s="1263">
        <f>'数据-汇总表'!D3</f>
        <v>817.26</v>
      </c>
      <c r="L38" s="1264">
        <f>'数据-汇总表'!E3</f>
        <v>4086</v>
      </c>
      <c r="M38" s="1264">
        <f ca="1">C34</f>
        <v>40159</v>
      </c>
      <c r="N38" s="1264">
        <f ca="1">C33</f>
        <v>8032</v>
      </c>
      <c r="O38" s="1265">
        <f ca="1">C32</f>
        <v>3282</v>
      </c>
      <c r="P38" s="2013"/>
      <c r="V38" s="2013"/>
    </row>
    <row r="39" spans="1:26" ht="16.5" customHeight="1" thickBot="1">
      <c r="A39" s="1260"/>
      <c r="B39" s="308"/>
      <c r="C39" s="309"/>
      <c r="D39" s="309"/>
      <c r="E39" s="310"/>
      <c r="F39" s="311"/>
      <c r="G39" s="311"/>
      <c r="H39" s="311"/>
      <c r="I39" s="311"/>
      <c r="J39" s="2015"/>
      <c r="K39" s="3305" t="str">
        <f>MID(A44,3,LEN(A44)-2)</f>
        <v>抵押价格</v>
      </c>
      <c r="L39" s="3306"/>
      <c r="M39" s="3306"/>
      <c r="N39" s="3307"/>
      <c r="O39" s="1388">
        <f ca="1">C44</f>
        <v>3282</v>
      </c>
      <c r="P39" s="2013"/>
      <c r="V39" s="2013"/>
    </row>
    <row r="40" spans="1:26" ht="19.5" thickBot="1">
      <c r="A40" s="104" t="s">
        <v>872</v>
      </c>
      <c r="B40" s="311"/>
      <c r="C40" s="311"/>
      <c r="D40" s="311"/>
      <c r="E40" s="311"/>
      <c r="F40" s="311"/>
      <c r="G40" s="311"/>
      <c r="H40" s="311"/>
      <c r="I40" s="311"/>
      <c r="J40" s="2015"/>
      <c r="K40" s="3305" t="str">
        <f t="shared" ref="K40:K41" si="0">MID(A45,3,LEN(A45)-2)</f>
        <v/>
      </c>
      <c r="L40" s="3306"/>
      <c r="M40" s="3306"/>
      <c r="N40" s="3307"/>
      <c r="O40" s="1388" t="str">
        <f>C45</f>
        <v>——</v>
      </c>
      <c r="P40" s="2013"/>
      <c r="V40" s="2013"/>
    </row>
    <row r="41" spans="1:26" ht="16.5" thickBot="1">
      <c r="A41" s="312" t="s">
        <v>356</v>
      </c>
      <c r="B41" s="313"/>
      <c r="C41" s="314" t="s">
        <v>357</v>
      </c>
      <c r="D41" s="315" t="s">
        <v>358</v>
      </c>
      <c r="E41" s="315" t="s">
        <v>359</v>
      </c>
      <c r="F41" s="316" t="s">
        <v>360</v>
      </c>
      <c r="G41" s="311"/>
      <c r="H41" s="311"/>
      <c r="I41" s="311"/>
      <c r="J41" s="2015"/>
      <c r="K41" s="3305" t="str">
        <f t="shared" si="0"/>
        <v>抵押净值</v>
      </c>
      <c r="L41" s="3306"/>
      <c r="M41" s="3306"/>
      <c r="N41" s="3307"/>
      <c r="O41" s="1388">
        <f ca="1">C46</f>
        <v>2533</v>
      </c>
      <c r="P41" s="2013"/>
      <c r="V41" s="2013"/>
    </row>
    <row r="42" spans="1:26" ht="29.25">
      <c r="A42" s="3365" t="s">
        <v>2064</v>
      </c>
      <c r="B42" s="3366"/>
      <c r="C42" s="264">
        <f ca="1">C32</f>
        <v>3282</v>
      </c>
      <c r="D42" s="317">
        <f ca="1">C33</f>
        <v>8032</v>
      </c>
      <c r="E42" s="317">
        <f ca="1">C34</f>
        <v>40159</v>
      </c>
      <c r="F42" s="318">
        <f ca="1">C35</f>
        <v>2677</v>
      </c>
      <c r="G42" s="311"/>
      <c r="H42" s="311"/>
      <c r="I42" s="319"/>
      <c r="J42" s="2015"/>
      <c r="K42" s="1266" t="s">
        <v>361</v>
      </c>
      <c r="L42" s="2032" t="s">
        <v>362</v>
      </c>
      <c r="M42" s="1267" t="s">
        <v>363</v>
      </c>
      <c r="N42" s="2033" t="s">
        <v>364</v>
      </c>
      <c r="O42" s="2034" t="s">
        <v>365</v>
      </c>
      <c r="P42" s="2013"/>
      <c r="V42" s="2013"/>
    </row>
    <row r="43" spans="1:26" ht="30">
      <c r="A43" s="3375" t="s">
        <v>2724</v>
      </c>
      <c r="B43" s="3376"/>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3377</v>
      </c>
      <c r="M43" s="1270">
        <f>C18</f>
        <v>0.5</v>
      </c>
      <c r="N43" s="1271">
        <f ca="1">IF(N42="测算结果/万元",G19,G20)</f>
        <v>3282</v>
      </c>
      <c r="O43" s="1272">
        <f ca="1">IF(O42="最终结果/万元",C32,C33)</f>
        <v>3282</v>
      </c>
      <c r="P43" s="2013"/>
      <c r="V43" s="2013"/>
    </row>
    <row r="44" spans="1:26" ht="30.75" thickBot="1">
      <c r="A44" s="3365" t="str">
        <f>IF(OR(项目基本情况!E8="抵押价格",项目基本情况!E8="已注销及未注销"),"3.抵押价格","——")</f>
        <v>3.抵押价格</v>
      </c>
      <c r="B44" s="3366"/>
      <c r="C44" s="264">
        <f ca="1">IF(A44="——","——",C42-C43)</f>
        <v>3282</v>
      </c>
      <c r="D44" s="317">
        <f ca="1">ROUND(C44*10000/'数据-汇总表'!E3,0)</f>
        <v>8032</v>
      </c>
      <c r="E44" s="317">
        <f ca="1">ROUND(C44*10000/'数据-汇总表'!D3,0)</f>
        <v>40159</v>
      </c>
      <c r="F44" s="318">
        <f ca="1">ROUND(C44/('数据-汇总表'!D3/666.67),0)</f>
        <v>2677</v>
      </c>
      <c r="G44" s="311"/>
      <c r="H44" s="311"/>
      <c r="I44" s="319"/>
      <c r="J44" s="2015"/>
      <c r="K44" s="1273" t="str">
        <f>D4</f>
        <v>剩余法-待开发</v>
      </c>
      <c r="L44" s="1274">
        <f ca="1">IF(L42="估价结果/万元",D19,D20)</f>
        <v>3187</v>
      </c>
      <c r="M44" s="1275">
        <f>D18</f>
        <v>0.5</v>
      </c>
      <c r="N44" s="1276"/>
      <c r="O44" s="1277"/>
      <c r="P44" s="2013"/>
      <c r="V44" s="2013"/>
    </row>
    <row r="45" spans="1:26" ht="15">
      <c r="A45" s="3370" t="str">
        <f>IF(项目基本情况!E8="已注销及未注销","4.抵押担保权已注销时的抵押价格",IF(项目基本情况!E8="已注销","3.抵押担保权已注销时的抵押价格","——"))</f>
        <v>——</v>
      </c>
      <c r="B45" s="337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67" t="str">
        <f>IF(项目基本情况!E9="抵押净值",IF(A45="——","4.抵押净值","5.抵押净值"),"——")</f>
        <v>4.抵押净值</v>
      </c>
      <c r="B46" s="3368"/>
      <c r="C46" s="320">
        <f ca="1">IF(A46="——","——",O79)</f>
        <v>2533</v>
      </c>
      <c r="D46" s="317">
        <f ca="1">ROUND(C46*10000/'数据-汇总表'!E3,0)</f>
        <v>6199</v>
      </c>
      <c r="E46" s="317">
        <f ca="1">ROUND(C46*10000/'数据-汇总表'!D3,0)</f>
        <v>30994</v>
      </c>
      <c r="F46" s="318">
        <f ca="1">ROUND(C46/('数据-汇总表'!D3/666.67),0)</f>
        <v>2066</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33" t="s">
        <v>374</v>
      </c>
      <c r="B63" s="3334"/>
      <c r="C63" s="3335"/>
      <c r="D63" s="341">
        <f ca="1">ROUND(C42*F63,0)</f>
        <v>3282</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72" t="s">
        <v>378</v>
      </c>
      <c r="B64" s="3373"/>
      <c r="C64" s="3373"/>
      <c r="D64" s="3373"/>
      <c r="E64" s="3373"/>
      <c r="F64" s="3373"/>
      <c r="G64" s="3374"/>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69" t="s">
        <v>386</v>
      </c>
      <c r="B66" s="3340"/>
      <c r="C66" s="3340"/>
      <c r="D66" s="261">
        <f ca="1">IF(H66="情况1",0,IF(H66="情况2",D70,IF(H66="情况3",D71,IF(H66="情况4",D72))))</f>
        <v>175</v>
      </c>
      <c r="E66" s="992" t="str">
        <f>IF(H66="情况4","(销售额-原购置价)×税（费）率","销售额×税（费）率")</f>
        <v>销售额×税（费）率</v>
      </c>
      <c r="F66" s="350">
        <f>IF(H66="情况1","免征",'数据-取费表'!B41)</f>
        <v>5.6000000000000001E-2</v>
      </c>
      <c r="G66" s="351" t="s">
        <v>387</v>
      </c>
      <c r="H66" s="191" t="s">
        <v>3257</v>
      </c>
      <c r="I66" s="1283"/>
      <c r="J66" s="2019"/>
      <c r="K66" s="1286">
        <v>1</v>
      </c>
      <c r="L66" s="3309" t="s">
        <v>385</v>
      </c>
      <c r="M66" s="3310"/>
      <c r="N66" s="2422"/>
      <c r="O66" s="2423"/>
      <c r="P66" s="2424"/>
      <c r="Q66" s="2013"/>
      <c r="R66" s="2013"/>
      <c r="S66" s="2013"/>
      <c r="T66" s="2013"/>
      <c r="U66" s="2013"/>
      <c r="V66" s="2013"/>
    </row>
    <row r="67" spans="1:22" ht="25.5" customHeight="1">
      <c r="A67" s="352" t="s">
        <v>389</v>
      </c>
      <c r="B67" s="3352" t="s">
        <v>390</v>
      </c>
      <c r="C67" s="3352"/>
      <c r="D67" s="353">
        <v>0</v>
      </c>
      <c r="E67" s="41" t="s">
        <v>391</v>
      </c>
      <c r="F67" s="62" t="s">
        <v>21</v>
      </c>
      <c r="G67" s="3336"/>
      <c r="H67" s="311"/>
      <c r="I67" s="1287"/>
      <c r="J67" s="2020"/>
      <c r="K67" s="1961">
        <v>2</v>
      </c>
      <c r="L67" s="3308" t="s">
        <v>388</v>
      </c>
      <c r="M67" s="3308"/>
      <c r="N67" s="1320">
        <f>'数据-取费表'!B2</f>
        <v>43961</v>
      </c>
      <c r="O67" s="1320"/>
      <c r="P67" s="1320"/>
      <c r="Q67" s="2013"/>
      <c r="R67" s="2013"/>
      <c r="S67" s="2013"/>
      <c r="T67" s="2013"/>
      <c r="U67" s="2013"/>
      <c r="V67" s="2013"/>
    </row>
    <row r="68" spans="1:22" ht="25.5" customHeight="1">
      <c r="A68" s="354"/>
      <c r="B68" s="3352" t="s">
        <v>393</v>
      </c>
      <c r="C68" s="3352"/>
      <c r="D68" s="355"/>
      <c r="E68" s="77"/>
      <c r="F68" s="356"/>
      <c r="G68" s="3337"/>
      <c r="H68" s="311"/>
      <c r="I68" s="1287"/>
      <c r="J68" s="2020"/>
      <c r="K68" s="1961">
        <v>3</v>
      </c>
      <c r="L68" s="3308" t="s">
        <v>392</v>
      </c>
      <c r="M68" s="3308"/>
      <c r="N68" s="1288">
        <f ca="1">C42</f>
        <v>3282</v>
      </c>
      <c r="O68" s="1288"/>
      <c r="P68" s="1288"/>
      <c r="Q68" s="2013"/>
      <c r="R68" s="2013"/>
      <c r="S68" s="2013"/>
      <c r="T68" s="2013"/>
      <c r="U68" s="2013"/>
      <c r="V68" s="2013"/>
    </row>
    <row r="69" spans="1:22" ht="12" customHeight="1">
      <c r="A69" s="357"/>
      <c r="B69" s="3352" t="s">
        <v>394</v>
      </c>
      <c r="C69" s="3352"/>
      <c r="D69" s="358"/>
      <c r="E69" s="73"/>
      <c r="F69" s="356"/>
      <c r="G69" s="3338"/>
      <c r="H69" s="311"/>
      <c r="I69" s="1287"/>
      <c r="J69" s="2020"/>
      <c r="K69" s="1289">
        <v>4</v>
      </c>
      <c r="L69" s="3314" t="s">
        <v>2877</v>
      </c>
      <c r="M69" s="3315"/>
      <c r="N69" s="1290">
        <f ca="1">C44</f>
        <v>3282</v>
      </c>
      <c r="O69" s="1290"/>
      <c r="P69" s="1290"/>
      <c r="Q69" s="2013"/>
      <c r="R69" s="2013"/>
      <c r="S69" s="2013"/>
      <c r="T69" s="2013"/>
      <c r="U69" s="2013"/>
      <c r="V69" s="2013"/>
    </row>
    <row r="70" spans="1:22" ht="24" customHeight="1">
      <c r="A70" s="359" t="s">
        <v>395</v>
      </c>
      <c r="B70" s="3352" t="s">
        <v>396</v>
      </c>
      <c r="C70" s="3352"/>
      <c r="D70" s="358">
        <f ca="1">ROUND(D63*'数据-取费表'!B41/(1+'数据-取费表'!C42),0)</f>
        <v>175</v>
      </c>
      <c r="E70" s="17" t="s">
        <v>397</v>
      </c>
      <c r="F70" s="360">
        <f>'数据-取费表'!B41</f>
        <v>5.6000000000000001E-2</v>
      </c>
      <c r="G70" s="361"/>
      <c r="H70" s="311"/>
      <c r="I70" s="1287"/>
      <c r="J70" s="2020"/>
      <c r="K70" s="3012"/>
      <c r="L70" s="3013"/>
      <c r="M70" s="3013"/>
      <c r="N70" s="3014" t="s">
        <v>2881</v>
      </c>
      <c r="O70" s="3013"/>
      <c r="P70" s="3015"/>
      <c r="Q70" s="2013"/>
      <c r="R70" s="2013"/>
      <c r="S70" s="2013"/>
      <c r="T70" s="2013"/>
      <c r="U70" s="2013"/>
      <c r="V70" s="2013"/>
    </row>
    <row r="71" spans="1:22" ht="12" customHeight="1">
      <c r="A71" s="359" t="s">
        <v>403</v>
      </c>
      <c r="B71" s="3351" t="s">
        <v>404</v>
      </c>
      <c r="C71" s="3363"/>
      <c r="D71" s="358">
        <f ca="1">ROUND(D63*'数据-取费表'!B41/(1+'数据-取费表'!C42),0)</f>
        <v>175</v>
      </c>
      <c r="E71" s="17" t="s">
        <v>397</v>
      </c>
      <c r="F71" s="360">
        <f>'数据-取费表'!B41</f>
        <v>5.6000000000000001E-2</v>
      </c>
      <c r="G71" s="361"/>
      <c r="H71" s="311"/>
      <c r="I71" s="1287"/>
      <c r="J71" s="2020"/>
      <c r="K71" s="3011" t="s">
        <v>398</v>
      </c>
      <c r="L71" s="3316" t="s">
        <v>399</v>
      </c>
      <c r="M71" s="3316"/>
      <c r="N71" s="3011" t="s">
        <v>400</v>
      </c>
      <c r="O71" s="3011" t="s">
        <v>401</v>
      </c>
      <c r="P71" s="3011" t="s">
        <v>402</v>
      </c>
      <c r="Q71" s="2013"/>
      <c r="R71" s="2013"/>
      <c r="S71" s="2013"/>
      <c r="T71" s="2013"/>
      <c r="U71" s="2013"/>
      <c r="V71" s="2013"/>
    </row>
    <row r="72" spans="1:22" ht="12" customHeight="1">
      <c r="A72" s="359" t="s">
        <v>406</v>
      </c>
      <c r="B72" s="3351" t="s">
        <v>407</v>
      </c>
      <c r="C72" s="3363"/>
      <c r="D72" s="358">
        <f ca="1">C86</f>
        <v>63</v>
      </c>
      <c r="E72" s="73" t="s">
        <v>408</v>
      </c>
      <c r="F72" s="360">
        <f>'数据-取费表'!B41</f>
        <v>5.6000000000000001E-2</v>
      </c>
      <c r="G72" s="361"/>
      <c r="H72" s="1293"/>
      <c r="I72" s="1287"/>
      <c r="J72" s="2020"/>
      <c r="K72" s="1961">
        <v>1</v>
      </c>
      <c r="L72" s="3313" t="s">
        <v>405</v>
      </c>
      <c r="M72" s="3313"/>
      <c r="N72" s="1291">
        <f ca="1">D66</f>
        <v>175</v>
      </c>
      <c r="O72" s="1844" t="str">
        <f>E66</f>
        <v>销售额×税（费）率</v>
      </c>
      <c r="P72" s="1292">
        <f>F66</f>
        <v>5.6000000000000001E-2</v>
      </c>
      <c r="Q72" s="2013"/>
      <c r="R72" s="2013"/>
      <c r="S72" s="2013"/>
      <c r="T72" s="2013"/>
      <c r="U72" s="2013"/>
      <c r="V72" s="2013"/>
    </row>
    <row r="73" spans="1:22" ht="24" customHeight="1">
      <c r="A73" s="3339" t="s">
        <v>410</v>
      </c>
      <c r="B73" s="3340"/>
      <c r="C73" s="3340"/>
      <c r="D73" s="362">
        <f ca="1">IF(H73="个人住宅",0,ROUND(D63*I73,0))</f>
        <v>2</v>
      </c>
      <c r="E73" s="17" t="s">
        <v>411</v>
      </c>
      <c r="F73" s="360">
        <f>IF(H73="正常",I73,"免征")</f>
        <v>5.0000000000000001E-4</v>
      </c>
      <c r="G73" s="361"/>
      <c r="H73" s="191" t="s">
        <v>3256</v>
      </c>
      <c r="I73" s="360">
        <f>'数据-取费表'!B49</f>
        <v>5.0000000000000001E-4</v>
      </c>
      <c r="J73" s="2020"/>
      <c r="K73" s="1961">
        <v>2</v>
      </c>
      <c r="L73" s="3313" t="s">
        <v>409</v>
      </c>
      <c r="M73" s="3313"/>
      <c r="N73" s="1291">
        <f t="shared" ref="N73:P74" ca="1" si="1">D73</f>
        <v>2</v>
      </c>
      <c r="O73" s="1844" t="str">
        <f t="shared" si="1"/>
        <v>销售额×税（费）率</v>
      </c>
      <c r="P73" s="1292">
        <f t="shared" si="1"/>
        <v>5.0000000000000001E-4</v>
      </c>
      <c r="Q73" s="2013"/>
      <c r="R73" s="2013"/>
      <c r="S73" s="2013"/>
      <c r="T73" s="2013"/>
      <c r="U73" s="2013"/>
      <c r="V73" s="2013"/>
    </row>
    <row r="74" spans="1:22" ht="24.75">
      <c r="A74" s="3339" t="s">
        <v>414</v>
      </c>
      <c r="B74" s="3340"/>
      <c r="C74" s="3340"/>
      <c r="D74" s="362">
        <f ca="1">IF(H74="个人住宅",D75,D76)</f>
        <v>572</v>
      </c>
      <c r="E74" s="17" t="s">
        <v>415</v>
      </c>
      <c r="F74" s="360" t="str">
        <f>IF(H74="正常",F76,"免征")</f>
        <v>——</v>
      </c>
      <c r="G74" s="982" t="s">
        <v>416</v>
      </c>
      <c r="H74" s="363" t="s">
        <v>412</v>
      </c>
      <c r="I74" s="42"/>
      <c r="J74" s="2020"/>
      <c r="K74" s="1961">
        <v>3</v>
      </c>
      <c r="L74" s="3313" t="s">
        <v>413</v>
      </c>
      <c r="M74" s="3313"/>
      <c r="N74" s="1291">
        <f t="shared" ca="1" si="1"/>
        <v>572</v>
      </c>
      <c r="O74" s="1844" t="str">
        <f t="shared" si="1"/>
        <v>增值额×税（费）率</v>
      </c>
      <c r="P74" s="1294" t="str">
        <f t="shared" si="1"/>
        <v>——</v>
      </c>
      <c r="Q74" s="2013"/>
      <c r="R74" s="2013"/>
      <c r="S74" s="2013"/>
      <c r="T74" s="2013"/>
      <c r="U74" s="2013"/>
      <c r="V74" s="2013"/>
    </row>
    <row r="75" spans="1:22" ht="12.75">
      <c r="A75" s="359" t="s">
        <v>417</v>
      </c>
      <c r="B75" s="3320" t="s">
        <v>418</v>
      </c>
      <c r="C75" s="3321"/>
      <c r="D75" s="364">
        <v>0</v>
      </c>
      <c r="E75" s="41" t="s">
        <v>419</v>
      </c>
      <c r="F75" s="365"/>
      <c r="G75" s="361"/>
      <c r="H75" s="42"/>
      <c r="I75" s="42"/>
      <c r="J75" s="2020"/>
      <c r="K75" s="3004" t="str">
        <f>IF(H77="非个人房产","",4)</f>
        <v/>
      </c>
      <c r="L75" s="3313" t="str">
        <f>IF(H77="非个人房产","——","个人所得税")</f>
        <v>——</v>
      </c>
      <c r="M75" s="3313"/>
      <c r="N75" s="1295" t="str">
        <f>D77</f>
        <v>——</v>
      </c>
      <c r="O75" s="1857" t="str">
        <f>E77</f>
        <v>——</v>
      </c>
      <c r="P75" s="1296" t="str">
        <f>F77</f>
        <v>——</v>
      </c>
      <c r="Q75" s="2013"/>
      <c r="R75" s="2013"/>
      <c r="S75" s="2013"/>
      <c r="T75" s="2013"/>
      <c r="U75" s="2013"/>
      <c r="V75" s="2013"/>
    </row>
    <row r="76" spans="1:22" ht="24.75">
      <c r="A76" s="359" t="s">
        <v>395</v>
      </c>
      <c r="B76" s="3320" t="s">
        <v>421</v>
      </c>
      <c r="C76" s="3362"/>
      <c r="D76" s="362">
        <f ca="1">IF(H76="转让取得",C99,C115)</f>
        <v>572</v>
      </c>
      <c r="E76" s="17" t="s">
        <v>422</v>
      </c>
      <c r="F76" s="53" t="s">
        <v>21</v>
      </c>
      <c r="G76" s="361"/>
      <c r="H76" s="363" t="s">
        <v>423</v>
      </c>
      <c r="I76" s="42"/>
      <c r="J76" s="2020"/>
      <c r="K76" s="3004" t="str">
        <f>IF(项目基本情况!K6="上海银行",IF(K75="",4,K75+1),"")</f>
        <v/>
      </c>
      <c r="L76" s="3301" t="str">
        <f>IF(项目基本情况!K6="上海银行","其他处置费用","")</f>
        <v/>
      </c>
      <c r="M76" s="3302"/>
      <c r="N76" s="1291" t="str">
        <f>IF(项目基本情况!K6="上海银行",N89,"")</f>
        <v/>
      </c>
      <c r="O76" s="3303" t="str">
        <f>IF(项目基本情况!K6="上海银行","包含处置中涉及的律师、诉讼、拍卖、评估等费用","")</f>
        <v/>
      </c>
      <c r="P76" s="3304"/>
      <c r="Q76" s="2013"/>
      <c r="R76" s="2013"/>
      <c r="S76" s="2013"/>
      <c r="T76" s="2013"/>
      <c r="U76" s="2013"/>
      <c r="V76" s="2013"/>
    </row>
    <row r="77" spans="1:22" ht="24.75" thickBot="1">
      <c r="A77" s="3331" t="s">
        <v>425</v>
      </c>
      <c r="B77" s="3332"/>
      <c r="C77" s="3332"/>
      <c r="D77" s="366" t="str">
        <f>IF(H77="非个人房产","——",IF(H77="个人住宅",0,ROUND(D63*I77,0)))</f>
        <v>——</v>
      </c>
      <c r="E77" s="367" t="str">
        <f>IF(H77="非个人房产","——","销售额×税（费）率")</f>
        <v>——</v>
      </c>
      <c r="F77" s="368" t="str">
        <f>IF(H77="非个人房产","——",IF(H77="个人住宅","免征",I77))</f>
        <v>——</v>
      </c>
      <c r="G77" s="983" t="s">
        <v>416</v>
      </c>
      <c r="H77" s="363" t="s">
        <v>3304</v>
      </c>
      <c r="I77" s="369">
        <v>0.01</v>
      </c>
      <c r="J77" s="2020"/>
      <c r="K77" s="3327">
        <f>IF(AND(K75="",K76=""),4,IF(项目基本情况!K6="上海银行",K76+1,K75+1))</f>
        <v>4</v>
      </c>
      <c r="L77" s="3313" t="s">
        <v>2878</v>
      </c>
      <c r="M77" s="3010" t="s">
        <v>420</v>
      </c>
      <c r="N77" s="1297"/>
      <c r="O77" s="1298">
        <f ca="1">SUMIF(N72:N76,"&lt;9e307")</f>
        <v>749</v>
      </c>
      <c r="P77" s="1299"/>
      <c r="Q77" s="3008">
        <f ca="1">O77/N69</f>
        <v>0.22821450335161486</v>
      </c>
      <c r="R77" s="2013"/>
      <c r="S77" s="2013"/>
      <c r="T77" s="2013"/>
      <c r="U77" s="2013"/>
      <c r="V77" s="2013"/>
    </row>
    <row r="78" spans="1:22" ht="12" customHeight="1">
      <c r="A78" s="1300"/>
      <c r="B78" s="311"/>
      <c r="C78" s="311"/>
      <c r="D78" s="311"/>
      <c r="E78" s="42"/>
      <c r="F78" s="42"/>
      <c r="G78" s="42"/>
      <c r="H78" s="1002"/>
      <c r="I78" s="311"/>
      <c r="J78" s="2020"/>
      <c r="K78" s="3327"/>
      <c r="L78" s="3313"/>
      <c r="M78" s="3010" t="s">
        <v>424</v>
      </c>
      <c r="N78" s="1297"/>
      <c r="O78" s="1298" t="str">
        <f ca="1">NUMBERSTRING(INT(O77*10000),2)&amp;"元整"</f>
        <v>柒佰肆拾玖万元整</v>
      </c>
      <c r="P78" s="1299"/>
      <c r="Q78" s="2013"/>
      <c r="R78" s="2013"/>
      <c r="S78" s="2013"/>
      <c r="T78" s="2013"/>
      <c r="U78" s="2013"/>
      <c r="V78" s="2013"/>
    </row>
    <row r="79" spans="1:22" ht="13.5" thickBot="1">
      <c r="A79" s="3317" t="s">
        <v>426</v>
      </c>
      <c r="B79" s="3317"/>
      <c r="C79" s="3317"/>
      <c r="D79" s="3317"/>
      <c r="E79" s="3317"/>
      <c r="F79" s="42"/>
      <c r="G79" s="42"/>
      <c r="H79" s="1002"/>
      <c r="I79" s="311"/>
      <c r="J79" s="2020"/>
      <c r="K79" s="3311">
        <f>K77+1</f>
        <v>5</v>
      </c>
      <c r="L79" s="3313" t="s">
        <v>2879</v>
      </c>
      <c r="M79" s="3010" t="s">
        <v>420</v>
      </c>
      <c r="N79" s="1297"/>
      <c r="O79" s="1298">
        <f ca="1">N69-O77</f>
        <v>2533</v>
      </c>
      <c r="P79" s="1299"/>
      <c r="Q79" s="2013"/>
      <c r="R79" s="2013"/>
      <c r="S79" s="2013"/>
      <c r="T79" s="2013"/>
      <c r="U79" s="2013"/>
      <c r="V79" s="2013"/>
    </row>
    <row r="80" spans="1:22" ht="25.5">
      <c r="A80" s="3318" t="s">
        <v>427</v>
      </c>
      <c r="B80" s="3319"/>
      <c r="C80" s="993"/>
      <c r="D80" s="993" t="s">
        <v>428</v>
      </c>
      <c r="E80" s="370" t="s">
        <v>429</v>
      </c>
      <c r="F80" s="42"/>
      <c r="G80" s="42"/>
      <c r="H80" s="1002"/>
      <c r="I80" s="311"/>
      <c r="J80" s="2013"/>
      <c r="K80" s="3312"/>
      <c r="L80" s="3313"/>
      <c r="M80" s="3010" t="s">
        <v>424</v>
      </c>
      <c r="N80" s="1297"/>
      <c r="O80" s="1298" t="str">
        <f ca="1">NUMBERSTRING(INT(O79*10000),2)&amp;"元整"</f>
        <v>贰仟伍佰叁拾叁万元整</v>
      </c>
      <c r="P80" s="1299"/>
      <c r="Q80" s="2013"/>
      <c r="R80" s="2013"/>
      <c r="S80" s="2013"/>
      <c r="T80" s="2013"/>
      <c r="U80" s="2013"/>
      <c r="V80" s="2013"/>
    </row>
    <row r="81" spans="1:26" ht="13.5" thickBot="1">
      <c r="A81" s="381" t="s">
        <v>1822</v>
      </c>
      <c r="B81" s="371" t="s">
        <v>430</v>
      </c>
      <c r="C81" s="372">
        <f ca="1">ROUND((C82+C83)/(1+'数据-取费表'!C42),0)</f>
        <v>3126</v>
      </c>
      <c r="D81" s="373"/>
      <c r="E81" s="374"/>
      <c r="F81" s="42"/>
      <c r="G81" s="42"/>
      <c r="H81" s="1002"/>
      <c r="I81" s="311"/>
      <c r="J81" s="2013"/>
      <c r="K81" s="3004">
        <f>K79+1</f>
        <v>6</v>
      </c>
      <c r="L81" s="3325" t="s">
        <v>2880</v>
      </c>
      <c r="M81" s="3326"/>
      <c r="N81" s="1301"/>
      <c r="O81" s="1302">
        <f ca="1">ROUND(O79*10000/'数据-汇总表'!E3,0)</f>
        <v>6199</v>
      </c>
      <c r="P81" s="1303"/>
      <c r="Q81" s="2013"/>
      <c r="R81" s="2013"/>
      <c r="S81" s="2013"/>
      <c r="T81" s="2013"/>
      <c r="U81" s="2013"/>
      <c r="V81" s="2013"/>
    </row>
    <row r="82" spans="1:26" ht="13.5" thickTop="1">
      <c r="A82" s="375" t="s">
        <v>1823</v>
      </c>
      <c r="B82" s="376" t="s">
        <v>431</v>
      </c>
      <c r="C82" s="377">
        <f ca="1">D63</f>
        <v>3282</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1824</v>
      </c>
      <c r="B83" s="376" t="s">
        <v>432</v>
      </c>
      <c r="C83" s="380">
        <v>0</v>
      </c>
      <c r="D83" s="378"/>
      <c r="E83" s="379"/>
      <c r="F83" s="42"/>
      <c r="G83" s="42"/>
      <c r="H83" s="1002"/>
      <c r="I83" s="311"/>
      <c r="J83" s="2013"/>
      <c r="K83" s="3300" t="s">
        <v>2868</v>
      </c>
      <c r="L83" s="3016" t="s">
        <v>2869</v>
      </c>
      <c r="M83" s="3006">
        <f ca="1">IF(N69&gt;10000,N69*0.5%,IF(AND(N69&gt;1000,N69&lt;=10000),N69*1%,IF(AND(N69&gt;100,N69&lt;=1000),N69*3%,IF(AND(N69&gt;10,N69&lt;=100),N69*5%,N69*8%))))</f>
        <v>32.82</v>
      </c>
      <c r="N83" s="53">
        <f ca="1">ROUND(M83,1)</f>
        <v>32.799999999999997</v>
      </c>
      <c r="O83" s="3009"/>
      <c r="P83" s="2013"/>
      <c r="Q83" s="2013"/>
      <c r="R83" s="2013"/>
      <c r="S83" s="2013"/>
      <c r="T83" s="2013"/>
      <c r="U83" s="2013"/>
      <c r="V83" s="2013"/>
    </row>
    <row r="84" spans="1:26" ht="12.75">
      <c r="A84" s="381" t="s">
        <v>1825</v>
      </c>
      <c r="B84" s="382" t="s">
        <v>433</v>
      </c>
      <c r="C84" s="383">
        <v>2000</v>
      </c>
      <c r="D84" s="384" t="s">
        <v>19</v>
      </c>
      <c r="E84" s="3051" t="s">
        <v>2925</v>
      </c>
      <c r="F84" s="42"/>
      <c r="G84" s="42"/>
      <c r="H84" s="1002"/>
      <c r="I84" s="311"/>
      <c r="J84" s="2013"/>
      <c r="K84" s="3300"/>
      <c r="L84" s="3016" t="s">
        <v>2870</v>
      </c>
      <c r="M84" s="3006">
        <f ca="1">IF(N69&gt;2000,N69*0.5%,IF(AND(N69&gt;1000,N69&lt;=2000),N69*0.6%,IF(AND(N69&gt;500,N69&lt;=1000),N69*0.7%,IF(AND(N69&gt;200,N69&lt;=500),N69*0.8%,IF(AND(N69&gt;100,N69&lt;=200),N69*0.9%,IF(AND(N69&gt;50,N69&lt;=100),N69*1%,IF(AND(N69&gt;20,N69&lt;=50),N69*1.5%,IF(AND(N69&gt;10,N69&lt;=20),N69*2%,IF(AND(N69&gt;1,N69&lt;=10),N69*2.5%)))))))))</f>
        <v>16.41</v>
      </c>
      <c r="N84" s="53">
        <f t="shared" ref="N84:N85" ca="1" si="2">ROUND(M84,1)</f>
        <v>16.399999999999999</v>
      </c>
      <c r="O84" s="2013" t="s">
        <v>2871</v>
      </c>
      <c r="P84" s="2013"/>
      <c r="Q84" s="2013"/>
      <c r="R84" s="2013"/>
      <c r="S84" s="2013"/>
      <c r="T84" s="2013"/>
      <c r="U84" s="2013"/>
      <c r="V84" s="2013"/>
    </row>
    <row r="85" spans="1:26" ht="12.75">
      <c r="A85" s="381" t="s">
        <v>1826</v>
      </c>
      <c r="B85" s="382" t="s">
        <v>434</v>
      </c>
      <c r="C85" s="385">
        <f ca="1">C81-C84</f>
        <v>1126</v>
      </c>
      <c r="D85" s="378" t="s">
        <v>19</v>
      </c>
      <c r="E85" s="379"/>
      <c r="F85" s="42"/>
      <c r="G85" s="42"/>
      <c r="H85" s="1002"/>
      <c r="I85" s="311"/>
      <c r="J85" s="2013"/>
      <c r="K85" s="3300"/>
      <c r="L85" s="3016" t="s">
        <v>2872</v>
      </c>
      <c r="M85" s="3006">
        <f ca="1">IF(N69&gt;1000,N69*0.1%,IF(AND(N69&gt;500,N69&lt;=1000),N69*0.5%,IF(AND(N69&gt;50,N69&lt;=500),N69*1%,IF(AND(N69&gt;1,N69&lt;=50),N69*1.5%))))</f>
        <v>3.282</v>
      </c>
      <c r="N85" s="53">
        <f t="shared" ca="1" si="2"/>
        <v>3.3</v>
      </c>
      <c r="O85" s="2013" t="s">
        <v>2871</v>
      </c>
      <c r="P85" s="2013"/>
      <c r="Q85" s="2013"/>
      <c r="R85" s="2013"/>
      <c r="S85" s="2013"/>
      <c r="T85" s="2013"/>
      <c r="U85" s="2013"/>
      <c r="V85" s="2013"/>
    </row>
    <row r="86" spans="1:26" ht="13.5" thickBot="1">
      <c r="A86" s="386" t="s">
        <v>1827</v>
      </c>
      <c r="B86" s="387" t="s">
        <v>435</v>
      </c>
      <c r="C86" s="388">
        <f ca="1">IF(C85&lt;=0,0,ROUND(C85*D86,0))</f>
        <v>63</v>
      </c>
      <c r="D86" s="389">
        <f>'数据-取费表'!B41</f>
        <v>5.6000000000000001E-2</v>
      </c>
      <c r="E86" s="390"/>
      <c r="F86" s="42"/>
      <c r="G86" s="42"/>
      <c r="H86" s="1002"/>
      <c r="I86" s="311"/>
      <c r="J86" s="2013"/>
      <c r="K86" s="3300"/>
      <c r="L86" s="3016" t="s">
        <v>2873</v>
      </c>
      <c r="M86" s="3006">
        <f ca="1">N69*0.5%</f>
        <v>16.41</v>
      </c>
      <c r="N86" s="53">
        <f ca="1">IF(M86&gt;0.5,0.5,ROUND(M86,0))</f>
        <v>0.5</v>
      </c>
      <c r="O86" s="2013" t="s">
        <v>2874</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00"/>
      <c r="L87" s="3016" t="s">
        <v>2875</v>
      </c>
      <c r="M87" s="3006">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09"/>
      <c r="P87" s="311"/>
      <c r="Q87" s="2013"/>
      <c r="R87" s="2013"/>
      <c r="S87" s="2013"/>
      <c r="T87" s="2013"/>
      <c r="U87" s="2013"/>
      <c r="V87" s="2013"/>
      <c r="W87" s="292"/>
      <c r="X87" s="292"/>
      <c r="Y87" s="292"/>
      <c r="Z87" s="292"/>
    </row>
    <row r="88" spans="1:26" s="1309" customFormat="1" ht="15" thickBot="1">
      <c r="A88" s="3354" t="s">
        <v>436</v>
      </c>
      <c r="B88" s="3355"/>
      <c r="C88" s="3355"/>
      <c r="D88" s="3355"/>
      <c r="E88" s="3355"/>
      <c r="F88" s="3355"/>
      <c r="G88" s="3355"/>
      <c r="H88" s="3355"/>
      <c r="I88" s="1310"/>
      <c r="J88" s="2021"/>
      <c r="K88" s="3300"/>
      <c r="L88" s="3016" t="s">
        <v>2876</v>
      </c>
      <c r="M88" s="3006">
        <f ca="1">IF(N69&gt;10000,N69*0.5%,IF(AND(N69&gt;5000,N69&lt;=10000),N69*1%,IF(AND(N69&gt;1000,N69&lt;=5000),N69*2%,IF(AND(N69&gt;200,N69&lt;=1000),N69*3%,N69*5%))))</f>
        <v>65.64</v>
      </c>
      <c r="N88" s="53">
        <f ca="1">ROUND(M88,1)</f>
        <v>65.599999999999994</v>
      </c>
      <c r="O88" s="3009"/>
      <c r="P88" s="11"/>
      <c r="Q88" s="2018"/>
      <c r="R88" s="2018"/>
      <c r="S88" s="2018"/>
      <c r="T88" s="2018"/>
      <c r="U88" s="2018"/>
      <c r="V88" s="2018"/>
      <c r="W88" s="2022"/>
      <c r="X88" s="2022"/>
      <c r="Y88" s="2022"/>
      <c r="Z88" s="2022"/>
    </row>
    <row r="89" spans="1:26" s="1309" customFormat="1" ht="14.25">
      <c r="A89" s="3318" t="s">
        <v>427</v>
      </c>
      <c r="B89" s="3319"/>
      <c r="C89" s="993"/>
      <c r="D89" s="993" t="s">
        <v>428</v>
      </c>
      <c r="E89" s="391" t="s">
        <v>437</v>
      </c>
      <c r="F89" s="392"/>
      <c r="G89" s="392"/>
      <c r="H89" s="393"/>
      <c r="I89" s="1311"/>
      <c r="J89" s="2023"/>
      <c r="K89" s="3300"/>
      <c r="L89" s="3016" t="s">
        <v>27</v>
      </c>
      <c r="M89" s="3007"/>
      <c r="N89" s="53">
        <f ca="1">ROUND(SUM(N83:N88),0)</f>
        <v>121</v>
      </c>
      <c r="O89" s="3017">
        <f ca="1">N89/N69</f>
        <v>3.6867763558805604E-2</v>
      </c>
      <c r="P89" s="2018"/>
      <c r="Q89" s="2018"/>
      <c r="R89" s="2018"/>
      <c r="S89" s="2018"/>
      <c r="T89" s="2018"/>
      <c r="U89" s="2018"/>
      <c r="V89" s="2018"/>
      <c r="W89" s="2022"/>
      <c r="X89" s="2022"/>
      <c r="Y89" s="2022"/>
      <c r="Z89" s="2022"/>
    </row>
    <row r="90" spans="1:26" s="1309" customFormat="1" ht="14.25">
      <c r="A90" s="381" t="s">
        <v>1822</v>
      </c>
      <c r="B90" s="382" t="s">
        <v>438</v>
      </c>
      <c r="C90" s="385">
        <f ca="1">ROUND(D63/(1+'数据-取费表'!C42),0)</f>
        <v>3126</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1828</v>
      </c>
      <c r="B91" s="348" t="s">
        <v>439</v>
      </c>
      <c r="C91" s="385">
        <f ca="1">C92+C96</f>
        <v>2600</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1829</v>
      </c>
      <c r="B92" s="376" t="s">
        <v>440</v>
      </c>
      <c r="C92" s="378">
        <f>ROUND(IF(G95="2016年5月1日后购买",C93/(1+'数据-取费表'!C30)+C94+C95,C93+C94+C95),0)</f>
        <v>2581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1831</v>
      </c>
      <c r="B94" s="400" t="s">
        <v>445</v>
      </c>
      <c r="C94" s="378">
        <f>IF(F93="购房发票",ROUND(C93*H93*5%,0),0)</f>
        <v>500</v>
      </c>
      <c r="D94" s="401">
        <v>0.05</v>
      </c>
      <c r="E94" s="3351" t="s">
        <v>446</v>
      </c>
      <c r="F94" s="3352"/>
      <c r="G94" s="3352"/>
      <c r="H94" s="3353"/>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1833</v>
      </c>
      <c r="B96" s="376" t="s">
        <v>449</v>
      </c>
      <c r="C96" s="405">
        <f ca="1">ROUND(D63*D96/(1+'数据-取费表'!C42),0)</f>
        <v>19</v>
      </c>
      <c r="D96" s="406">
        <f>'数据-取费表'!B43</f>
        <v>6.000000000000001E-3</v>
      </c>
      <c r="E96" s="3341" t="s">
        <v>2425</v>
      </c>
      <c r="F96" s="3342"/>
      <c r="G96" s="3342"/>
      <c r="H96" s="3343"/>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1834</v>
      </c>
      <c r="B97" s="382" t="s">
        <v>450</v>
      </c>
      <c r="C97" s="385">
        <f ca="1">C90-C91</f>
        <v>526</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2" t="s">
        <v>451</v>
      </c>
      <c r="C98" s="407">
        <f ca="1">IF(C97&lt;=0,0,C97/C91)</f>
        <v>0.2023076923076923</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1836</v>
      </c>
      <c r="B99" s="387" t="s">
        <v>452</v>
      </c>
      <c r="C99" s="408">
        <f ca="1">ROUND(IF(C97&lt;=0,0,IF(C98&gt;=200%,C97*60%-C91*35%,IF(C98&gt;=100%,C97*50%-C91*15%,IF(C98&gt;=50%,C97*40%-C91*5%,IF(C98&lt;50%,C97*30%,0))))),0)</f>
        <v>158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54" t="s">
        <v>453</v>
      </c>
      <c r="B101" s="3355"/>
      <c r="C101" s="3355"/>
      <c r="D101" s="3355"/>
      <c r="E101" s="3355"/>
      <c r="F101" s="3355"/>
      <c r="G101" s="3355"/>
      <c r="H101" s="3355"/>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18" t="s">
        <v>427</v>
      </c>
      <c r="B102" s="3319"/>
      <c r="C102" s="993"/>
      <c r="D102" s="993"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1822</v>
      </c>
      <c r="B103" s="382" t="s">
        <v>438</v>
      </c>
      <c r="C103" s="385">
        <f ca="1">ROUND(D63/(1+'数据-取费表'!C42),0)</f>
        <v>3126</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1828</v>
      </c>
      <c r="B104" s="348" t="s">
        <v>439</v>
      </c>
      <c r="C104" s="385">
        <f ca="1">IF(H106="仅含出让金",C105+C108+C109+C110+C111+C112,C105+C109+C110+C111+C112)</f>
        <v>1525</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1829</v>
      </c>
      <c r="B105" s="376" t="s">
        <v>454</v>
      </c>
      <c r="C105" s="405">
        <f>C106+C107</f>
        <v>487</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1830</v>
      </c>
      <c r="B106" s="376" t="s">
        <v>455</v>
      </c>
      <c r="C106" s="416">
        <f>[4]Sheet1!$I$5</f>
        <v>468</v>
      </c>
      <c r="D106" s="406"/>
      <c r="E106" s="417" t="s">
        <v>456</v>
      </c>
      <c r="F106" s="985"/>
      <c r="G106" s="418" t="s">
        <v>457</v>
      </c>
      <c r="H106" s="419" t="s">
        <v>3255</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1831</v>
      </c>
      <c r="B107" s="376" t="s">
        <v>447</v>
      </c>
      <c r="C107" s="405">
        <f>ROUND(C106*D107,0)</f>
        <v>19</v>
      </c>
      <c r="D107" s="406">
        <f>'数据-取费表'!B48+'数据-取费表'!B49</f>
        <v>4.0500000000000001E-2</v>
      </c>
      <c r="E107" s="417" t="s">
        <v>458</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1833</v>
      </c>
      <c r="B108" s="376" t="s">
        <v>459</v>
      </c>
      <c r="C108" s="416">
        <f>[4]Sheet1!$I$6+[4]Sheet1!$I$7</f>
        <v>747</v>
      </c>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460</v>
      </c>
      <c r="C109" s="405">
        <f>IF(H109="——",IF(F1="现房",'剩余法-现房'!C18,'剩余法-待开发'!C18),I109)</f>
        <v>0</v>
      </c>
      <c r="D109" s="406"/>
      <c r="E109" s="3344" t="s">
        <v>461</v>
      </c>
      <c r="F109" s="3342"/>
      <c r="G109" s="3342"/>
      <c r="H109" s="1926" t="s">
        <v>2276</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462</v>
      </c>
      <c r="C110" s="405">
        <f>ROUND((C105+C108+C109)*D110,0)</f>
        <v>123</v>
      </c>
      <c r="D110" s="406">
        <v>0.1</v>
      </c>
      <c r="E110" s="3344" t="s">
        <v>463</v>
      </c>
      <c r="F110" s="3342"/>
      <c r="G110" s="3342"/>
      <c r="H110" s="3343"/>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449</v>
      </c>
      <c r="C111" s="405">
        <f ca="1">ROUND(D63*D111/(1+'数据-取费表'!C42),0)</f>
        <v>19</v>
      </c>
      <c r="D111" s="406">
        <f>'数据-取费表'!B43</f>
        <v>6.000000000000001E-3</v>
      </c>
      <c r="E111" s="3341" t="s">
        <v>2425</v>
      </c>
      <c r="F111" s="3342"/>
      <c r="G111" s="3342"/>
      <c r="H111" s="3343"/>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464</v>
      </c>
      <c r="C112" s="405">
        <f>ROUND(C108*D112,0)</f>
        <v>149</v>
      </c>
      <c r="D112" s="406">
        <v>0.2</v>
      </c>
      <c r="E112" s="3344" t="s">
        <v>2449</v>
      </c>
      <c r="F112" s="3342"/>
      <c r="G112" s="3342"/>
      <c r="H112" s="3343"/>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1834</v>
      </c>
      <c r="B113" s="382" t="s">
        <v>450</v>
      </c>
      <c r="C113" s="385">
        <f ca="1">ROUND(C103-C104,0)</f>
        <v>1601</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451</v>
      </c>
      <c r="C114" s="407">
        <f ca="1">IF(C113&lt;=0,0,C113/C104)</f>
        <v>1.0498360655737704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1836</v>
      </c>
      <c r="B115" s="387" t="s">
        <v>452</v>
      </c>
      <c r="C115" s="408">
        <f ca="1">ROUND(IF(C113&lt;=0,0,IF(C114&gt;=200%,C113*60%-C104*35%,IF(C114&gt;=100%,C113*50%-C104*15%,IF(C114&gt;=50%,C113*40%-C104*5%,IF(C114&lt;50%,C113*30%,0))))),0)</f>
        <v>572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02" t="str">
        <f>项目基本情况!B1</f>
        <v>河南省郑州市管城区出让国有建设用地使用权抵押价格预评估</v>
      </c>
      <c r="C37" s="3202"/>
      <c r="D37" s="3202"/>
      <c r="E37" s="3202"/>
      <c r="F37" s="3202"/>
      <c r="G37" s="3202"/>
      <c r="H37" s="3202"/>
      <c r="I37" s="3202"/>
    </row>
    <row r="38" spans="1:9">
      <c r="A38" s="1641"/>
      <c r="B38" s="1641"/>
    </row>
    <row r="39" spans="1:9">
      <c r="A39" s="1639" t="s">
        <v>1900</v>
      </c>
      <c r="B39" s="1639" t="s">
        <v>2043</v>
      </c>
    </row>
    <row r="40" spans="1:9">
      <c r="A40" s="1639"/>
      <c r="B40" s="1639">
        <f>项目基本情况!B5</f>
        <v>0</v>
      </c>
    </row>
    <row r="41" spans="1:9">
      <c r="A41" s="1639"/>
      <c r="B41" s="1639"/>
    </row>
    <row r="42" spans="1:9">
      <c r="A42" s="1639" t="s">
        <v>1900</v>
      </c>
      <c r="B42" s="1639" t="s">
        <v>2044</v>
      </c>
    </row>
    <row r="43" spans="1:9">
      <c r="A43" s="1639"/>
      <c r="B43" s="1639" t="s">
        <v>1902</v>
      </c>
    </row>
    <row r="44" spans="1:9">
      <c r="A44" s="1639"/>
      <c r="B44" s="1639"/>
    </row>
    <row r="45" spans="1:9">
      <c r="A45" s="1639" t="s">
        <v>1900</v>
      </c>
      <c r="B45" s="1639" t="s">
        <v>2042</v>
      </c>
    </row>
    <row r="46" spans="1:9" s="1639" customFormat="1" ht="12.75">
      <c r="B46" s="1639" t="str">
        <f>项目基本情况!K4</f>
        <v>王鹏、郑燚</v>
      </c>
    </row>
    <row r="47" spans="1:9">
      <c r="A47" s="1639"/>
      <c r="B47" s="1639"/>
    </row>
    <row r="48" spans="1:9">
      <c r="A48" s="1639" t="s">
        <v>1900</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N30" sqref="N30"/>
    </sheetView>
  </sheetViews>
  <sheetFormatPr defaultColWidth="9" defaultRowHeight="14.25"/>
  <cols>
    <col min="1" max="1" width="15.625" style="1332" customWidth="1"/>
    <col min="2" max="3" width="15.75" style="1332" customWidth="1"/>
    <col min="4" max="4" width="12.125" style="1332" customWidth="1"/>
    <col min="5" max="5" width="16.125" style="1332" customWidth="1"/>
    <col min="6" max="6" width="12.125" style="1332" customWidth="1"/>
    <col min="7" max="7" width="15.625" style="1332" customWidth="1"/>
    <col min="8" max="8" width="12.125" style="1332" customWidth="1"/>
    <col min="9" max="9" width="15.625" style="1332" customWidth="1"/>
    <col min="10" max="10" width="12.125" style="1332" customWidth="1"/>
    <col min="11" max="11" width="12.125" style="1338" customWidth="1"/>
    <col min="12" max="12" width="12.125" style="1339" customWidth="1"/>
    <col min="13" max="15" width="12.125" style="1332" customWidth="1"/>
    <col min="16" max="16" width="4.75" style="1332" customWidth="1"/>
    <col min="17" max="17" width="19.5" style="1332" customWidth="1"/>
    <col min="18" max="22" width="6.125" style="1332" customWidth="1"/>
    <col min="23" max="23" width="5.75" style="1332" customWidth="1"/>
    <col min="24" max="24" width="4.1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3377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8265</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41321</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2755</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520</v>
      </c>
      <c r="B6" s="513"/>
      <c r="C6" s="3399" t="s">
        <v>521</v>
      </c>
      <c r="D6" s="3400"/>
      <c r="E6" s="3399" t="s">
        <v>522</v>
      </c>
      <c r="F6" s="3400"/>
      <c r="G6" s="3399" t="s">
        <v>523</v>
      </c>
      <c r="H6" s="3400"/>
      <c r="I6" s="3399" t="s">
        <v>524</v>
      </c>
      <c r="J6" s="3400"/>
      <c r="K6" s="514" t="s">
        <v>525</v>
      </c>
      <c r="L6" s="2118"/>
      <c r="M6" s="2117"/>
      <c r="N6" s="2117"/>
      <c r="O6" s="2119"/>
      <c r="P6" s="3401" t="s">
        <v>526</v>
      </c>
      <c r="Q6" s="3402"/>
      <c r="R6" s="3387" t="s">
        <v>522</v>
      </c>
      <c r="S6" s="3388"/>
      <c r="T6" s="3387" t="s">
        <v>523</v>
      </c>
      <c r="U6" s="3388"/>
      <c r="V6" s="3407" t="s">
        <v>524</v>
      </c>
      <c r="W6" s="3407"/>
      <c r="X6" s="1553"/>
      <c r="Y6" s="3387" t="s">
        <v>526</v>
      </c>
      <c r="Z6" s="3388"/>
      <c r="AA6" s="3382" t="s">
        <v>522</v>
      </c>
      <c r="AB6" s="3383" t="s">
        <v>523</v>
      </c>
      <c r="AC6" s="3382" t="s">
        <v>524</v>
      </c>
    </row>
    <row r="7" spans="1:30" ht="40.9" customHeight="1" thickBot="1">
      <c r="A7" s="515"/>
      <c r="B7" s="516"/>
      <c r="C7" s="3412" t="s">
        <v>2914</v>
      </c>
      <c r="D7" s="3411"/>
      <c r="E7" s="3410" t="s">
        <v>3259</v>
      </c>
      <c r="F7" s="3411"/>
      <c r="G7" s="3410" t="s">
        <v>3279</v>
      </c>
      <c r="H7" s="3411"/>
      <c r="I7" s="3410" t="s">
        <v>3280</v>
      </c>
      <c r="J7" s="3411"/>
      <c r="K7" s="514"/>
      <c r="L7" s="2118"/>
      <c r="M7" s="2117"/>
      <c r="N7" s="2117"/>
      <c r="O7" s="2119"/>
      <c r="P7" s="3403"/>
      <c r="Q7" s="3404"/>
      <c r="R7" s="3389"/>
      <c r="S7" s="3390"/>
      <c r="T7" s="3389"/>
      <c r="U7" s="3390"/>
      <c r="V7" s="3407"/>
      <c r="W7" s="3407"/>
      <c r="X7" s="1553"/>
      <c r="Y7" s="3389"/>
      <c r="Z7" s="3390"/>
      <c r="AA7" s="3383"/>
      <c r="AB7" s="3383"/>
      <c r="AC7" s="3383"/>
    </row>
    <row r="8" spans="1:30" ht="21" hidden="1" thickBot="1">
      <c r="A8" s="515"/>
      <c r="B8" s="516"/>
      <c r="C8" s="3413" t="s">
        <v>2918</v>
      </c>
      <c r="D8" s="3414"/>
      <c r="E8" s="3413" t="s">
        <v>2918</v>
      </c>
      <c r="F8" s="3414"/>
      <c r="G8" s="3408" t="s">
        <v>2918</v>
      </c>
      <c r="H8" s="3409"/>
      <c r="I8" s="3408" t="s">
        <v>2918</v>
      </c>
      <c r="J8" s="3409"/>
      <c r="K8" s="514" t="s">
        <v>527</v>
      </c>
      <c r="L8" s="2118"/>
      <c r="M8" s="2117"/>
      <c r="N8" s="2117"/>
      <c r="O8" s="2119"/>
      <c r="P8" s="3405"/>
      <c r="Q8" s="3406"/>
      <c r="R8" s="3389"/>
      <c r="S8" s="3390"/>
      <c r="T8" s="3391"/>
      <c r="U8" s="3392"/>
      <c r="V8" s="3407"/>
      <c r="W8" s="3407"/>
      <c r="X8" s="1553"/>
      <c r="Y8" s="3391"/>
      <c r="Z8" s="3392"/>
      <c r="AA8" s="3384"/>
      <c r="AB8" s="3384"/>
      <c r="AC8" s="3384"/>
    </row>
    <row r="9" spans="1:30" s="1215" customFormat="1" ht="21" thickBot="1">
      <c r="A9" s="2867"/>
      <c r="B9" s="2874" t="s">
        <v>528</v>
      </c>
      <c r="C9" s="2866">
        <f>'数据-取费表'!B2</f>
        <v>43961</v>
      </c>
      <c r="D9" s="520">
        <v>100</v>
      </c>
      <c r="E9" s="521">
        <v>43874</v>
      </c>
      <c r="F9" s="522">
        <f>SUMIF(72:72,YEAR(E9)&amp;"-"&amp;INT((MONTH(E9)+2)/3),73:73)</f>
        <v>99.5</v>
      </c>
      <c r="G9" s="523">
        <v>43838</v>
      </c>
      <c r="H9" s="520">
        <f>SUMIF(72:72,YEAR(G9)&amp;"-"&amp;INT((MONTH(G9)+2)/3),73:73)</f>
        <v>99.5</v>
      </c>
      <c r="I9" s="523">
        <v>43838</v>
      </c>
      <c r="J9" s="520">
        <f>SUMIF(72:72,YEAR(I9)&amp;"-"&amp;INT((MONTH(I9)+2)/3),73:73)</f>
        <v>99.5</v>
      </c>
      <c r="K9" s="524"/>
      <c r="L9" s="2120"/>
      <c r="M9" s="2117"/>
      <c r="N9" s="2117"/>
      <c r="O9" s="2121"/>
      <c r="P9" s="3385" t="s">
        <v>529</v>
      </c>
      <c r="Q9" s="3394"/>
      <c r="R9" s="1554" t="s">
        <v>8</v>
      </c>
      <c r="S9" s="1555">
        <f t="shared" ref="S9:S17" si="0">F9</f>
        <v>99.5</v>
      </c>
      <c r="T9" s="1554" t="s">
        <v>8</v>
      </c>
      <c r="U9" s="1555">
        <f t="shared" ref="U9:U17" si="1">H9</f>
        <v>99.5</v>
      </c>
      <c r="V9" s="1554" t="s">
        <v>8</v>
      </c>
      <c r="W9" s="1555">
        <f t="shared" ref="W9:W17" si="2">J9</f>
        <v>99.5</v>
      </c>
      <c r="X9" s="1556"/>
      <c r="Y9" s="3385" t="s">
        <v>529</v>
      </c>
      <c r="Z9" s="3386"/>
      <c r="AA9" s="1557">
        <f>D9/F9</f>
        <v>1.0050251256281406</v>
      </c>
      <c r="AB9" s="1557">
        <f>D9/H9</f>
        <v>1.0050251256281406</v>
      </c>
      <c r="AC9" s="1557">
        <f>D9/J9</f>
        <v>1.0050251256281406</v>
      </c>
    </row>
    <row r="10" spans="1:30" s="1215" customFormat="1" ht="21" thickBot="1">
      <c r="A10" s="2868"/>
      <c r="B10" s="287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0"/>
      <c r="M10" s="2117"/>
      <c r="N10" s="2117"/>
      <c r="O10" s="2121"/>
      <c r="P10" s="3385" t="s">
        <v>532</v>
      </c>
      <c r="Q10" s="3386"/>
      <c r="R10" s="1554" t="s">
        <v>8</v>
      </c>
      <c r="S10" s="1555">
        <f t="shared" si="0"/>
        <v>100</v>
      </c>
      <c r="T10" s="1554" t="s">
        <v>8</v>
      </c>
      <c r="U10" s="1555">
        <f t="shared" si="1"/>
        <v>100</v>
      </c>
      <c r="V10" s="1554" t="s">
        <v>8</v>
      </c>
      <c r="W10" s="1555">
        <f t="shared" si="2"/>
        <v>100</v>
      </c>
      <c r="X10" s="1556"/>
      <c r="Y10" s="3385" t="s">
        <v>532</v>
      </c>
      <c r="Z10" s="3386"/>
      <c r="AA10" s="1557">
        <f t="shared" ref="AA10:AA47" si="3">D10/F10</f>
        <v>1</v>
      </c>
      <c r="AB10" s="1557">
        <f t="shared" ref="AB10:AB47" si="4">D10/H10</f>
        <v>1</v>
      </c>
      <c r="AC10" s="1557">
        <f t="shared" ref="AC10:AC47" si="5">D10/J10</f>
        <v>1</v>
      </c>
    </row>
    <row r="11" spans="1:30" s="1215" customFormat="1" ht="20.25">
      <c r="A11" s="2869"/>
      <c r="B11" s="2876" t="s">
        <v>2750</v>
      </c>
      <c r="C11" s="2863" t="s">
        <v>922</v>
      </c>
      <c r="D11" s="254">
        <v>100</v>
      </c>
      <c r="E11" s="2863" t="s">
        <v>922</v>
      </c>
      <c r="F11" s="254">
        <f>SUMIF(77:77,E11,78:78)-SUMIF(77:77,C11,78:78)+100</f>
        <v>100</v>
      </c>
      <c r="G11" s="2863" t="s">
        <v>922</v>
      </c>
      <c r="H11" s="254">
        <f>SUMIF(77:77,G11,78:78)-SUMIF(77:77,C11,78:78)+100</f>
        <v>100</v>
      </c>
      <c r="I11" s="2863" t="s">
        <v>922</v>
      </c>
      <c r="J11" s="254">
        <f>SUMIF(77:77,I11,78:78)-SUMIF(77:77,C11,78:78)+100</f>
        <v>100</v>
      </c>
      <c r="K11" s="524"/>
      <c r="L11" s="2120"/>
      <c r="M11" s="2117"/>
      <c r="N11" s="2117"/>
      <c r="O11" s="2122"/>
      <c r="P11" s="3393" t="s">
        <v>534</v>
      </c>
      <c r="Q11" s="1146" t="str">
        <f t="shared" ref="Q11:Q17" si="6">B11</f>
        <v>用途</v>
      </c>
      <c r="R11" s="1554" t="s">
        <v>8</v>
      </c>
      <c r="S11" s="1555">
        <f t="shared" si="0"/>
        <v>100</v>
      </c>
      <c r="T11" s="1554" t="s">
        <v>8</v>
      </c>
      <c r="U11" s="1555">
        <f t="shared" si="1"/>
        <v>100</v>
      </c>
      <c r="V11" s="1554" t="s">
        <v>8</v>
      </c>
      <c r="W11" s="1555">
        <f t="shared" si="2"/>
        <v>100</v>
      </c>
      <c r="X11" s="1556"/>
      <c r="Y11" s="3350" t="s">
        <v>535</v>
      </c>
      <c r="Z11" s="1145" t="str">
        <f t="shared" ref="Z11:Z17" si="7">Q11</f>
        <v>用途</v>
      </c>
      <c r="AA11" s="1557">
        <f t="shared" si="3"/>
        <v>1</v>
      </c>
      <c r="AB11" s="1557">
        <f t="shared" si="4"/>
        <v>1</v>
      </c>
      <c r="AC11" s="1557">
        <f t="shared" si="5"/>
        <v>1</v>
      </c>
    </row>
    <row r="12" spans="1:30" s="1333" customFormat="1" ht="27">
      <c r="A12" s="2870"/>
      <c r="B12" s="2875" t="s">
        <v>2751</v>
      </c>
      <c r="C12" s="909"/>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393"/>
      <c r="Q12" s="1146" t="str">
        <f t="shared" si="6"/>
        <v>土地使用年限（年）</v>
      </c>
      <c r="R12" s="1554" t="s">
        <v>8</v>
      </c>
      <c r="S12" s="1555">
        <f t="shared" si="0"/>
        <v>101</v>
      </c>
      <c r="T12" s="1554" t="s">
        <v>8</v>
      </c>
      <c r="U12" s="1555">
        <f t="shared" si="1"/>
        <v>101</v>
      </c>
      <c r="V12" s="1554" t="s">
        <v>8</v>
      </c>
      <c r="W12" s="1555">
        <f t="shared" si="2"/>
        <v>101</v>
      </c>
      <c r="X12" s="1556"/>
      <c r="Y12" s="3350"/>
      <c r="Z12" s="1145" t="str">
        <f t="shared" si="7"/>
        <v>土地使用年限（年）</v>
      </c>
      <c r="AA12" s="1557">
        <f t="shared" si="3"/>
        <v>0.99009900990099009</v>
      </c>
      <c r="AB12" s="1557">
        <f t="shared" si="4"/>
        <v>0.99009900990099009</v>
      </c>
      <c r="AC12" s="1557">
        <f t="shared" si="5"/>
        <v>0.99009900990099009</v>
      </c>
    </row>
    <row r="13" spans="1:30" ht="20.25">
      <c r="A13" s="2871"/>
      <c r="B13" s="2875" t="s">
        <v>2752</v>
      </c>
      <c r="C13" s="534">
        <f>'数据-汇总表'!I6</f>
        <v>5</v>
      </c>
      <c r="D13" s="255">
        <v>100</v>
      </c>
      <c r="E13" s="533">
        <v>2.5</v>
      </c>
      <c r="F13" s="255">
        <f>LOOKUP(E13,82:82,83:83)-LOOKUP(C13,82:82,83:83)+100</f>
        <v>106</v>
      </c>
      <c r="G13" s="534">
        <v>3</v>
      </c>
      <c r="H13" s="255">
        <f>LOOKUP(G13,82:82,83:83)-LOOKUP(C13,82:82,83:83)+100</f>
        <v>106</v>
      </c>
      <c r="I13" s="533">
        <v>3</v>
      </c>
      <c r="J13" s="255">
        <f>LOOKUP(I13,82:82,83:83)-LOOKUP(C13,82:82,83:83)+100</f>
        <v>106</v>
      </c>
      <c r="K13" s="535">
        <v>3</v>
      </c>
      <c r="L13" s="2125"/>
      <c r="M13" s="2117"/>
      <c r="N13" s="2117"/>
      <c r="O13" s="2126"/>
      <c r="P13" s="3393"/>
      <c r="Q13" s="1146" t="str">
        <f t="shared" si="6"/>
        <v>容积率</v>
      </c>
      <c r="R13" s="1554" t="s">
        <v>8</v>
      </c>
      <c r="S13" s="1555">
        <f t="shared" si="0"/>
        <v>106</v>
      </c>
      <c r="T13" s="1554" t="s">
        <v>8</v>
      </c>
      <c r="U13" s="1555">
        <f t="shared" si="1"/>
        <v>106</v>
      </c>
      <c r="V13" s="1554" t="s">
        <v>8</v>
      </c>
      <c r="W13" s="1555">
        <f t="shared" si="2"/>
        <v>106</v>
      </c>
      <c r="X13" s="1556"/>
      <c r="Y13" s="3350"/>
      <c r="Z13" s="1145" t="str">
        <f t="shared" si="7"/>
        <v>容积率</v>
      </c>
      <c r="AA13" s="1557">
        <f t="shared" si="3"/>
        <v>0.94339622641509435</v>
      </c>
      <c r="AB13" s="1557">
        <f t="shared" si="4"/>
        <v>0.94339622641509435</v>
      </c>
      <c r="AC13" s="1557">
        <f t="shared" si="5"/>
        <v>0.94339622641509435</v>
      </c>
    </row>
    <row r="14" spans="1:30" s="1215" customFormat="1" ht="21" thickBot="1">
      <c r="A14" s="2868"/>
      <c r="B14" s="2877" t="s">
        <v>2753</v>
      </c>
      <c r="C14" s="2864" t="s">
        <v>3277</v>
      </c>
      <c r="D14" s="538">
        <v>100</v>
      </c>
      <c r="E14" s="1370" t="s">
        <v>3278</v>
      </c>
      <c r="F14" s="255">
        <f>SUMIF(84:84,E14,85:85)-SUMIF(84:84,C14,85:85)+100</f>
        <v>110</v>
      </c>
      <c r="G14" s="1370" t="s">
        <v>3278</v>
      </c>
      <c r="H14" s="255">
        <f>SUMIF(84:84,G14,85:85)-SUMIF(84:84,C14,85:85)+100</f>
        <v>110</v>
      </c>
      <c r="I14" s="1370" t="s">
        <v>3278</v>
      </c>
      <c r="J14" s="255">
        <f>SUMIF(84:84,I14,85:85)-SUMIF(84:84,C14,85:85)+100</f>
        <v>110</v>
      </c>
      <c r="K14" s="531"/>
      <c r="L14" s="2120"/>
      <c r="M14" s="2117"/>
      <c r="N14" s="2117"/>
      <c r="O14" s="2122"/>
      <c r="P14" s="3393"/>
      <c r="Q14" s="1146" t="str">
        <f t="shared" si="6"/>
        <v>配建</v>
      </c>
      <c r="R14" s="1554" t="s">
        <v>8</v>
      </c>
      <c r="S14" s="1555">
        <f t="shared" si="0"/>
        <v>110</v>
      </c>
      <c r="T14" s="1554" t="s">
        <v>8</v>
      </c>
      <c r="U14" s="1555">
        <f t="shared" si="1"/>
        <v>110</v>
      </c>
      <c r="V14" s="1554" t="s">
        <v>8</v>
      </c>
      <c r="W14" s="1555">
        <f t="shared" si="2"/>
        <v>110</v>
      </c>
      <c r="X14" s="1556"/>
      <c r="Y14" s="3350"/>
      <c r="Z14" s="1145" t="str">
        <f t="shared" si="7"/>
        <v>配建</v>
      </c>
      <c r="AA14" s="1557">
        <f>D14/F14</f>
        <v>0.90909090909090906</v>
      </c>
      <c r="AB14" s="1557">
        <f>D14/H14</f>
        <v>0.90909090909090906</v>
      </c>
      <c r="AC14" s="1557">
        <f>D14/J14</f>
        <v>0.90909090909090906</v>
      </c>
    </row>
    <row r="15" spans="1:30" ht="20.25" hidden="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93"/>
      <c r="Q15" s="1146">
        <f t="shared" si="6"/>
        <v>111</v>
      </c>
      <c r="R15" s="1554" t="s">
        <v>8</v>
      </c>
      <c r="S15" s="1555">
        <f t="shared" si="0"/>
        <v>100</v>
      </c>
      <c r="T15" s="1554" t="s">
        <v>8</v>
      </c>
      <c r="U15" s="1555">
        <f t="shared" si="1"/>
        <v>100</v>
      </c>
      <c r="V15" s="1554" t="s">
        <v>8</v>
      </c>
      <c r="W15" s="1555">
        <f t="shared" si="2"/>
        <v>100</v>
      </c>
      <c r="X15" s="1556"/>
      <c r="Y15" s="3350"/>
      <c r="Z15" s="1145">
        <f t="shared" si="7"/>
        <v>111</v>
      </c>
      <c r="AA15" s="1557">
        <f>D15/F15</f>
        <v>1</v>
      </c>
      <c r="AB15" s="1557">
        <f>D15/H15</f>
        <v>1</v>
      </c>
      <c r="AC15" s="1557">
        <f>D15/J15</f>
        <v>1</v>
      </c>
    </row>
    <row r="16" spans="1:30" ht="21" hidden="1"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93"/>
      <c r="Q16" s="1146">
        <f t="shared" si="6"/>
        <v>111</v>
      </c>
      <c r="R16" s="1554" t="s">
        <v>8</v>
      </c>
      <c r="S16" s="1555">
        <f t="shared" si="0"/>
        <v>100</v>
      </c>
      <c r="T16" s="1554" t="s">
        <v>8</v>
      </c>
      <c r="U16" s="1555">
        <f t="shared" si="1"/>
        <v>100</v>
      </c>
      <c r="V16" s="1554" t="s">
        <v>8</v>
      </c>
      <c r="W16" s="1555">
        <f t="shared" si="2"/>
        <v>100</v>
      </c>
      <c r="X16" s="1556"/>
      <c r="Y16" s="3350"/>
      <c r="Z16" s="1145">
        <f t="shared" si="7"/>
        <v>111</v>
      </c>
      <c r="AA16" s="1557">
        <f>D16/F16</f>
        <v>1</v>
      </c>
      <c r="AB16" s="1557">
        <f>D16/H16</f>
        <v>1</v>
      </c>
      <c r="AC16" s="1557">
        <f>D16/J16</f>
        <v>1</v>
      </c>
    </row>
    <row r="17" spans="1:29" ht="20.25">
      <c r="A17" s="2865" t="s">
        <v>2748</v>
      </c>
      <c r="B17" s="578" t="s">
        <v>295</v>
      </c>
      <c r="C17" s="548">
        <f>估价对象房地状况!C15</f>
        <v>0</v>
      </c>
      <c r="D17" s="551">
        <v>100</v>
      </c>
      <c r="E17" s="552"/>
      <c r="F17" s="549">
        <f>SUMIF(90:90,E18,91:91)-SUMIF(90:90,C18,91:91)+100</f>
        <v>97</v>
      </c>
      <c r="G17" s="550"/>
      <c r="H17" s="549">
        <f>SUMIF(90:90,G18,91:91)-SUMIF(90:90,C18,91:91)+100</f>
        <v>97</v>
      </c>
      <c r="I17" s="552"/>
      <c r="J17" s="549">
        <f>SUMIF(90:90,I18,91:91)-SUMIF(90:90,C18,91:91)+100</f>
        <v>97</v>
      </c>
      <c r="K17" s="535">
        <v>3</v>
      </c>
      <c r="L17" s="2127"/>
      <c r="M17" s="2117"/>
      <c r="N17" s="2117"/>
      <c r="O17" s="2126"/>
      <c r="P17" s="3395" t="s">
        <v>539</v>
      </c>
      <c r="Q17" s="1558" t="str">
        <f t="shared" si="6"/>
        <v>居住社区成熟度</v>
      </c>
      <c r="R17" s="1559" t="s">
        <v>8</v>
      </c>
      <c r="S17" s="1560">
        <f t="shared" si="0"/>
        <v>97</v>
      </c>
      <c r="T17" s="1559" t="s">
        <v>8</v>
      </c>
      <c r="U17" s="1560">
        <f t="shared" si="1"/>
        <v>97</v>
      </c>
      <c r="V17" s="1559" t="s">
        <v>8</v>
      </c>
      <c r="W17" s="1560">
        <f t="shared" si="2"/>
        <v>97</v>
      </c>
      <c r="X17" s="1553"/>
      <c r="Y17" s="3395" t="s">
        <v>539</v>
      </c>
      <c r="Z17" s="1561" t="str">
        <f t="shared" si="7"/>
        <v>居住社区成熟度</v>
      </c>
      <c r="AA17" s="1562">
        <f t="shared" si="3"/>
        <v>1.0309278350515463</v>
      </c>
      <c r="AB17" s="1562">
        <f t="shared" si="4"/>
        <v>1.0309278350515463</v>
      </c>
      <c r="AC17" s="1562">
        <f t="shared" si="5"/>
        <v>1.0309278350515463</v>
      </c>
    </row>
    <row r="18" spans="1:29" ht="20.25">
      <c r="A18" s="532"/>
      <c r="B18" s="553"/>
      <c r="C18" s="554" t="s">
        <v>3270</v>
      </c>
      <c r="D18" s="557"/>
      <c r="E18" s="558" t="s">
        <v>3275</v>
      </c>
      <c r="F18" s="555"/>
      <c r="G18" s="556" t="s">
        <v>3275</v>
      </c>
      <c r="H18" s="559"/>
      <c r="I18" s="558" t="s">
        <v>3275</v>
      </c>
      <c r="J18" s="555"/>
      <c r="K18" s="531"/>
      <c r="L18" s="2127"/>
      <c r="M18" s="2117"/>
      <c r="N18" s="2117"/>
      <c r="O18" s="2126"/>
      <c r="P18" s="3396"/>
      <c r="Q18" s="1558"/>
      <c r="R18" s="1559"/>
      <c r="S18" s="1560"/>
      <c r="T18" s="1559"/>
      <c r="U18" s="1560"/>
      <c r="V18" s="1559"/>
      <c r="W18" s="1560"/>
      <c r="X18" s="1553"/>
      <c r="Y18" s="3396"/>
      <c r="Z18" s="1561"/>
      <c r="AA18" s="1562">
        <v>1</v>
      </c>
      <c r="AB18" s="1562">
        <v>1</v>
      </c>
      <c r="AC18" s="1562">
        <v>1</v>
      </c>
    </row>
    <row r="19" spans="1:29" ht="20.25">
      <c r="A19" s="532"/>
      <c r="B19" s="560" t="s">
        <v>540</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3</v>
      </c>
      <c r="L19" s="2127"/>
      <c r="M19" s="2117"/>
      <c r="N19" s="2117"/>
      <c r="O19" s="2126"/>
      <c r="P19" s="3396"/>
      <c r="Q19" s="1558" t="str">
        <f>B19</f>
        <v>商业繁华度</v>
      </c>
      <c r="R19" s="1559" t="s">
        <v>8</v>
      </c>
      <c r="S19" s="1560">
        <f>F19</f>
        <v>100</v>
      </c>
      <c r="T19" s="1559" t="s">
        <v>8</v>
      </c>
      <c r="U19" s="1560">
        <f>H19</f>
        <v>100</v>
      </c>
      <c r="V19" s="1559" t="s">
        <v>8</v>
      </c>
      <c r="W19" s="1560">
        <f>J19</f>
        <v>100</v>
      </c>
      <c r="X19" s="1553"/>
      <c r="Y19" s="3396"/>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96"/>
      <c r="Q20" s="1558"/>
      <c r="R20" s="1559"/>
      <c r="S20" s="1560"/>
      <c r="T20" s="1559"/>
      <c r="U20" s="1560"/>
      <c r="V20" s="1559"/>
      <c r="W20" s="1560"/>
      <c r="X20" s="1553"/>
      <c r="Y20" s="3396"/>
      <c r="Z20" s="1561"/>
      <c r="AA20" s="1562">
        <v>1</v>
      </c>
      <c r="AB20" s="1562">
        <v>1</v>
      </c>
      <c r="AC20" s="1562">
        <v>1</v>
      </c>
    </row>
    <row r="21" spans="1:29" ht="20.25" hidden="1">
      <c r="A21" s="532"/>
      <c r="B21" s="560" t="s">
        <v>541</v>
      </c>
      <c r="C21" s="561">
        <f>估价对象房地状况!C17</f>
        <v>0</v>
      </c>
      <c r="D21" s="571">
        <v>100</v>
      </c>
      <c r="E21" s="572">
        <v>0</v>
      </c>
      <c r="F21" s="565">
        <f>SUMIF(94:94,E22,95:95)-SUMIF(94:94,C22,95:95)+100</f>
        <v>100</v>
      </c>
      <c r="G21" s="570">
        <v>0</v>
      </c>
      <c r="H21" s="559">
        <f>SUMIF(94:94,G22,95:95)-SUMIF(94:94,C22,95:95)+100</f>
        <v>100</v>
      </c>
      <c r="I21" s="572">
        <v>0</v>
      </c>
      <c r="J21" s="559">
        <f>SUMIF(94:94,I22,95:95)-SUMIF(94:94,C22,95:95)+100</f>
        <v>100</v>
      </c>
      <c r="K21" s="535"/>
      <c r="L21" s="2127"/>
      <c r="M21" s="2117"/>
      <c r="N21" s="2117"/>
      <c r="O21" s="2126"/>
      <c r="P21" s="3396"/>
      <c r="Q21" s="1558" t="str">
        <f>B21</f>
        <v>办公集聚程度</v>
      </c>
      <c r="R21" s="1559" t="s">
        <v>8</v>
      </c>
      <c r="S21" s="1560">
        <f>F21</f>
        <v>100</v>
      </c>
      <c r="T21" s="1559" t="s">
        <v>8</v>
      </c>
      <c r="U21" s="1560">
        <f>H21</f>
        <v>100</v>
      </c>
      <c r="V21" s="1559" t="s">
        <v>8</v>
      </c>
      <c r="W21" s="1560">
        <f>J21</f>
        <v>100</v>
      </c>
      <c r="X21" s="1553"/>
      <c r="Y21" s="3396"/>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396"/>
      <c r="Q22" s="1558"/>
      <c r="R22" s="1559"/>
      <c r="S22" s="1560"/>
      <c r="T22" s="1559"/>
      <c r="U22" s="1560"/>
      <c r="V22" s="1559"/>
      <c r="W22" s="1560"/>
      <c r="X22" s="1553"/>
      <c r="Y22" s="3396"/>
      <c r="Z22" s="1561"/>
      <c r="AA22" s="1562">
        <v>1</v>
      </c>
      <c r="AB22" s="1562">
        <v>1</v>
      </c>
      <c r="AC22" s="1562">
        <v>1</v>
      </c>
    </row>
    <row r="23" spans="1:29" ht="20.25">
      <c r="A23" s="532"/>
      <c r="B23" s="560" t="s">
        <v>542</v>
      </c>
      <c r="C23" s="573">
        <f>估价对象房地状况!C18</f>
        <v>0</v>
      </c>
      <c r="D23" s="563">
        <v>100</v>
      </c>
      <c r="E23" s="564"/>
      <c r="F23" s="565">
        <f>SUMIF(96:96,E24,97:97)-SUMIF(96:96,C24,97:97)+100</f>
        <v>98</v>
      </c>
      <c r="G23" s="562"/>
      <c r="H23" s="559">
        <f>SUMIF(96:96,G24,97:97)-SUMIF(96:96,C24,97:97)+100</f>
        <v>98</v>
      </c>
      <c r="I23" s="564"/>
      <c r="J23" s="559">
        <f>SUMIF(96:96,I24,97:97)-SUMIF(96:96,C24,97:97)+100</f>
        <v>98</v>
      </c>
      <c r="K23" s="535">
        <v>2</v>
      </c>
      <c r="L23" s="2127"/>
      <c r="M23" s="2117"/>
      <c r="N23" s="2117"/>
      <c r="O23" s="2126"/>
      <c r="P23" s="3396"/>
      <c r="Q23" s="1558" t="str">
        <f>B23</f>
        <v>交通便捷度</v>
      </c>
      <c r="R23" s="1559" t="s">
        <v>8</v>
      </c>
      <c r="S23" s="1560">
        <f>F23</f>
        <v>98</v>
      </c>
      <c r="T23" s="1559" t="s">
        <v>8</v>
      </c>
      <c r="U23" s="1560">
        <f>H23</f>
        <v>98</v>
      </c>
      <c r="V23" s="1559" t="s">
        <v>8</v>
      </c>
      <c r="W23" s="1560">
        <f>J23</f>
        <v>98</v>
      </c>
      <c r="X23" s="1553"/>
      <c r="Y23" s="3396"/>
      <c r="Z23" s="1561" t="str">
        <f>Q23</f>
        <v>交通便捷度</v>
      </c>
      <c r="AA23" s="1562">
        <f t="shared" si="3"/>
        <v>1.0204081632653061</v>
      </c>
      <c r="AB23" s="1562">
        <f t="shared" si="4"/>
        <v>1.0204081632653061</v>
      </c>
      <c r="AC23" s="1562">
        <f t="shared" si="5"/>
        <v>1.0204081632653061</v>
      </c>
    </row>
    <row r="24" spans="1:29" ht="20.25">
      <c r="A24" s="532"/>
      <c r="B24" s="578"/>
      <c r="C24" s="554" t="s">
        <v>3270</v>
      </c>
      <c r="D24" s="557"/>
      <c r="E24" s="558" t="s">
        <v>3275</v>
      </c>
      <c r="F24" s="555"/>
      <c r="G24" s="556" t="s">
        <v>3275</v>
      </c>
      <c r="H24" s="555"/>
      <c r="I24" s="558" t="s">
        <v>3275</v>
      </c>
      <c r="J24" s="555"/>
      <c r="K24" s="531"/>
      <c r="L24" s="2127"/>
      <c r="M24" s="2117"/>
      <c r="N24" s="2117"/>
      <c r="O24" s="2126"/>
      <c r="P24" s="3396"/>
      <c r="Q24" s="1558"/>
      <c r="R24" s="1559"/>
      <c r="S24" s="1560"/>
      <c r="T24" s="1559"/>
      <c r="U24" s="1560"/>
      <c r="V24" s="1559"/>
      <c r="W24" s="1560"/>
      <c r="X24" s="1553"/>
      <c r="Y24" s="3396"/>
      <c r="Z24" s="1561"/>
      <c r="AA24" s="1562">
        <v>1</v>
      </c>
      <c r="AB24" s="1562">
        <v>1</v>
      </c>
      <c r="AC24" s="1562">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396"/>
      <c r="Q25" s="1558" t="str">
        <f t="shared" ref="Q25:Q39" si="8">B25</f>
        <v>区域土地利用方向</v>
      </c>
      <c r="R25" s="1559" t="s">
        <v>8</v>
      </c>
      <c r="S25" s="1560">
        <f>F25</f>
        <v>100</v>
      </c>
      <c r="T25" s="1559" t="s">
        <v>8</v>
      </c>
      <c r="U25" s="1560">
        <f>H25</f>
        <v>100</v>
      </c>
      <c r="V25" s="1559" t="s">
        <v>8</v>
      </c>
      <c r="W25" s="1560">
        <f>J25</f>
        <v>100</v>
      </c>
      <c r="X25" s="1553"/>
      <c r="Y25" s="3396"/>
      <c r="Z25" s="1561" t="str">
        <f>Q25</f>
        <v>区域土地利用方向</v>
      </c>
      <c r="AA25" s="1562">
        <f t="shared" si="3"/>
        <v>1</v>
      </c>
      <c r="AB25" s="1562">
        <f t="shared" si="4"/>
        <v>1</v>
      </c>
      <c r="AC25" s="1562">
        <f t="shared" si="5"/>
        <v>1</v>
      </c>
    </row>
    <row r="26" spans="1:29" ht="20.25">
      <c r="A26" s="515"/>
      <c r="B26" s="1006"/>
      <c r="C26" s="554" t="s">
        <v>3270</v>
      </c>
      <c r="D26" s="557"/>
      <c r="E26" s="558" t="s">
        <v>3270</v>
      </c>
      <c r="F26" s="555"/>
      <c r="G26" s="556" t="s">
        <v>3270</v>
      </c>
      <c r="H26" s="555"/>
      <c r="I26" s="558" t="s">
        <v>3270</v>
      </c>
      <c r="J26" s="555"/>
      <c r="K26" s="531"/>
      <c r="L26" s="2127"/>
      <c r="M26" s="2117"/>
      <c r="N26" s="2117"/>
      <c r="O26" s="2126"/>
      <c r="P26" s="3396"/>
      <c r="Q26" s="1558"/>
      <c r="R26" s="1559"/>
      <c r="S26" s="1560"/>
      <c r="T26" s="1559"/>
      <c r="U26" s="1560"/>
      <c r="V26" s="1559"/>
      <c r="W26" s="1560"/>
      <c r="X26" s="1553"/>
      <c r="Y26" s="3396"/>
      <c r="Z26" s="1561"/>
      <c r="AA26" s="1562"/>
      <c r="AB26" s="1562"/>
      <c r="AC26" s="1562"/>
    </row>
    <row r="27" spans="1:29" ht="27">
      <c r="A27" s="515"/>
      <c r="B27" s="578" t="s">
        <v>544</v>
      </c>
      <c r="C27" s="561">
        <f>估价对象房地状况!C20</f>
        <v>0</v>
      </c>
      <c r="D27" s="563">
        <v>100</v>
      </c>
      <c r="E27" s="564"/>
      <c r="F27" s="559">
        <f>SUMIF(100:100,E28,101:101)-SUMIF(100:100,C28,101:101)+100</f>
        <v>100</v>
      </c>
      <c r="G27" s="562"/>
      <c r="H27" s="559">
        <f>SUMIF(100:100,G28,101:101)-SUMIF(100:100,C28,101:101)+100</f>
        <v>103</v>
      </c>
      <c r="I27" s="564"/>
      <c r="J27" s="559">
        <f>SUMIF(100:100,I28,101:101)-SUMIF(100:100,C28,101:101)+100</f>
        <v>103</v>
      </c>
      <c r="K27" s="535">
        <v>3</v>
      </c>
      <c r="L27" s="2127"/>
      <c r="M27" s="2117"/>
      <c r="N27" s="2117"/>
      <c r="O27" s="2126"/>
      <c r="P27" s="3396"/>
      <c r="Q27" s="1558" t="str">
        <f t="shared" si="8"/>
        <v>自然及人文环境状况</v>
      </c>
      <c r="R27" s="1559" t="s">
        <v>8</v>
      </c>
      <c r="S27" s="1560">
        <f>F27</f>
        <v>100</v>
      </c>
      <c r="T27" s="1559" t="s">
        <v>8</v>
      </c>
      <c r="U27" s="1560">
        <f>H27</f>
        <v>103</v>
      </c>
      <c r="V27" s="1559" t="s">
        <v>8</v>
      </c>
      <c r="W27" s="1560">
        <f>J27</f>
        <v>103</v>
      </c>
      <c r="X27" s="1553"/>
      <c r="Y27" s="3396"/>
      <c r="Z27" s="1561" t="str">
        <f>Q27</f>
        <v>自然及人文环境状况</v>
      </c>
      <c r="AA27" s="1562">
        <f t="shared" si="3"/>
        <v>1</v>
      </c>
      <c r="AB27" s="1562">
        <f t="shared" si="4"/>
        <v>0.970873786407767</v>
      </c>
      <c r="AC27" s="1562">
        <f t="shared" si="5"/>
        <v>0.970873786407767</v>
      </c>
    </row>
    <row r="28" spans="1:29" ht="20.25">
      <c r="A28" s="515"/>
      <c r="B28" s="566"/>
      <c r="C28" s="554" t="s">
        <v>3275</v>
      </c>
      <c r="D28" s="557"/>
      <c r="E28" s="576" t="s">
        <v>3275</v>
      </c>
      <c r="F28" s="555"/>
      <c r="G28" s="554" t="s">
        <v>3270</v>
      </c>
      <c r="H28" s="555"/>
      <c r="I28" s="576" t="s">
        <v>3270</v>
      </c>
      <c r="J28" s="555"/>
      <c r="K28" s="531"/>
      <c r="L28" s="2127"/>
      <c r="M28" s="2117"/>
      <c r="N28" s="2117"/>
      <c r="O28" s="2126"/>
      <c r="P28" s="3396"/>
      <c r="Q28" s="1558"/>
      <c r="R28" s="1559"/>
      <c r="S28" s="1560"/>
      <c r="T28" s="1559"/>
      <c r="U28" s="1560"/>
      <c r="V28" s="1559"/>
      <c r="W28" s="1560"/>
      <c r="X28" s="1553"/>
      <c r="Y28" s="3396"/>
      <c r="Z28" s="1561"/>
      <c r="AA28" s="1562">
        <v>1</v>
      </c>
      <c r="AB28" s="1562">
        <v>1</v>
      </c>
      <c r="AC28" s="1562">
        <v>1</v>
      </c>
    </row>
    <row r="29" spans="1:29" s="1215" customFormat="1" ht="20.25">
      <c r="A29" s="577"/>
      <c r="B29" s="2555" t="s">
        <v>2543</v>
      </c>
      <c r="C29" s="573">
        <f>估价对象房地状况!C21</f>
        <v>0</v>
      </c>
      <c r="D29" s="563">
        <v>100</v>
      </c>
      <c r="E29" s="564"/>
      <c r="F29" s="559">
        <f>SUMIF(102:102,E30,103:103)-SUMIF(102:102,C30,103:103)+100</f>
        <v>97</v>
      </c>
      <c r="G29" s="562"/>
      <c r="H29" s="559">
        <f>SUMIF(102:102,G30,103:103)-SUMIF(102:102,C30,103:103)+100</f>
        <v>97</v>
      </c>
      <c r="I29" s="564"/>
      <c r="J29" s="559">
        <f>SUMIF(102:102,I30,103:103)-SUMIF(102:102,C30,103:103)+100</f>
        <v>97</v>
      </c>
      <c r="K29" s="535">
        <v>3</v>
      </c>
      <c r="L29" s="2120"/>
      <c r="M29" s="2117"/>
      <c r="N29" s="2117"/>
      <c r="O29" s="2122"/>
      <c r="P29" s="3396"/>
      <c r="Q29" s="1146" t="str">
        <f t="shared" si="8"/>
        <v>公共配套设施</v>
      </c>
      <c r="R29" s="1554" t="s">
        <v>8</v>
      </c>
      <c r="S29" s="1555">
        <f>F29</f>
        <v>97</v>
      </c>
      <c r="T29" s="1554" t="s">
        <v>8</v>
      </c>
      <c r="U29" s="1555">
        <f>H29</f>
        <v>97</v>
      </c>
      <c r="V29" s="1554" t="s">
        <v>8</v>
      </c>
      <c r="W29" s="1555">
        <f>J29</f>
        <v>97</v>
      </c>
      <c r="X29" s="1556"/>
      <c r="Y29" s="3396"/>
      <c r="Z29" s="1145" t="str">
        <f>Q29</f>
        <v>公共配套设施</v>
      </c>
      <c r="AA29" s="1562">
        <f>D29/F29</f>
        <v>1.0309278350515463</v>
      </c>
      <c r="AB29" s="1562">
        <f>D29/H29</f>
        <v>1.0309278350515463</v>
      </c>
      <c r="AC29" s="1562">
        <f>D29/J29</f>
        <v>1.0309278350515463</v>
      </c>
    </row>
    <row r="30" spans="1:29" s="1215" customFormat="1" ht="20.25">
      <c r="A30" s="577"/>
      <c r="B30" s="566"/>
      <c r="C30" s="579" t="s">
        <v>3270</v>
      </c>
      <c r="D30" s="557"/>
      <c r="E30" s="576" t="s">
        <v>3275</v>
      </c>
      <c r="F30" s="555"/>
      <c r="G30" s="554" t="s">
        <v>3275</v>
      </c>
      <c r="H30" s="555"/>
      <c r="I30" s="576" t="s">
        <v>3275</v>
      </c>
      <c r="J30" s="555"/>
      <c r="K30" s="531"/>
      <c r="L30" s="2120"/>
      <c r="M30" s="2117"/>
      <c r="N30" s="2117"/>
      <c r="O30" s="2122"/>
      <c r="P30" s="3396"/>
      <c r="Q30" s="1146"/>
      <c r="R30" s="1554"/>
      <c r="S30" s="1555"/>
      <c r="T30" s="1554"/>
      <c r="U30" s="1555"/>
      <c r="V30" s="1554"/>
      <c r="W30" s="1555"/>
      <c r="X30" s="1556"/>
      <c r="Y30" s="3396"/>
      <c r="Z30" s="1145"/>
      <c r="AA30" s="1562">
        <v>1</v>
      </c>
      <c r="AB30" s="1562">
        <v>1</v>
      </c>
      <c r="AC30" s="1562">
        <v>1</v>
      </c>
    </row>
    <row r="31" spans="1:29" s="1215" customFormat="1" ht="20.25">
      <c r="A31" s="577"/>
      <c r="B31" s="2555"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96"/>
      <c r="Q31" s="2542" t="str">
        <f t="shared" ref="Q31" si="9">B31</f>
        <v>基础设施水平</v>
      </c>
      <c r="R31" s="1554" t="s">
        <v>8</v>
      </c>
      <c r="S31" s="1555">
        <f>F31</f>
        <v>100</v>
      </c>
      <c r="T31" s="1554" t="s">
        <v>8</v>
      </c>
      <c r="U31" s="1555">
        <f>H31</f>
        <v>100</v>
      </c>
      <c r="V31" s="1554" t="s">
        <v>8</v>
      </c>
      <c r="W31" s="1555">
        <f>J31</f>
        <v>100</v>
      </c>
      <c r="X31" s="1556"/>
      <c r="Y31" s="3396"/>
      <c r="Z31" s="2539" t="str">
        <f>Q31</f>
        <v>基础设施水平</v>
      </c>
      <c r="AA31" s="1562">
        <f>D31/F31</f>
        <v>1</v>
      </c>
      <c r="AB31" s="1562">
        <f>D31/H31</f>
        <v>1</v>
      </c>
      <c r="AC31" s="1562">
        <f>D31/J31</f>
        <v>1</v>
      </c>
    </row>
    <row r="32" spans="1:29" s="1215" customFormat="1" ht="20.25">
      <c r="A32" s="577"/>
      <c r="B32" s="566"/>
      <c r="C32" s="579" t="s">
        <v>3263</v>
      </c>
      <c r="D32" s="557"/>
      <c r="E32" s="2556" t="s">
        <v>3263</v>
      </c>
      <c r="F32" s="555"/>
      <c r="G32" s="579" t="s">
        <v>3263</v>
      </c>
      <c r="H32" s="555"/>
      <c r="I32" s="579" t="s">
        <v>3263</v>
      </c>
      <c r="J32" s="555"/>
      <c r="K32" s="531"/>
      <c r="L32" s="2120"/>
      <c r="M32" s="2117"/>
      <c r="N32" s="2117"/>
      <c r="O32" s="2122"/>
      <c r="P32" s="3396"/>
      <c r="Q32" s="2542"/>
      <c r="R32" s="1554"/>
      <c r="S32" s="1555"/>
      <c r="T32" s="1554"/>
      <c r="U32" s="1555"/>
      <c r="V32" s="1554"/>
      <c r="W32" s="1555"/>
      <c r="X32" s="1556"/>
      <c r="Y32" s="3396"/>
      <c r="Z32" s="2539"/>
      <c r="AA32" s="1562">
        <v>1</v>
      </c>
      <c r="AB32" s="1562">
        <v>1</v>
      </c>
      <c r="AC32" s="1562">
        <v>1</v>
      </c>
    </row>
    <row r="33" spans="1:29" ht="21" thickBot="1">
      <c r="A33" s="532"/>
      <c r="B33" s="566" t="s">
        <v>546</v>
      </c>
      <c r="C33" s="580" t="s">
        <v>3276</v>
      </c>
      <c r="D33" s="575">
        <v>100</v>
      </c>
      <c r="E33" s="580" t="s">
        <v>3276</v>
      </c>
      <c r="F33" s="540">
        <f>SUMIF(106:106,E33,107:107)-SUMIF(106:106,C33,107:107)+100</f>
        <v>100</v>
      </c>
      <c r="G33" s="580" t="s">
        <v>3276</v>
      </c>
      <c r="H33" s="540">
        <f>SUMIF(106:106,G33,107:107)-SUMIF(106:106,C33,107:107)+100</f>
        <v>100</v>
      </c>
      <c r="I33" s="580" t="s">
        <v>3276</v>
      </c>
      <c r="J33" s="540">
        <f>SUMIF(106:106,I33,107:107)-SUMIF(106:106,C33,107:107)+100</f>
        <v>100</v>
      </c>
      <c r="K33" s="535">
        <v>1</v>
      </c>
      <c r="L33" s="2127"/>
      <c r="M33" s="2117"/>
      <c r="N33" s="2117"/>
      <c r="O33" s="2126"/>
      <c r="P33" s="339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6"/>
      <c r="Z33" s="1561" t="str">
        <f t="shared" ref="Z33:Z47" si="13">Q33</f>
        <v>临街状况</v>
      </c>
      <c r="AA33" s="1562">
        <f t="shared" si="3"/>
        <v>1</v>
      </c>
      <c r="AB33" s="1562">
        <f t="shared" si="4"/>
        <v>1</v>
      </c>
      <c r="AC33" s="1562">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396"/>
      <c r="Q34" s="1558" t="str">
        <f t="shared" si="8"/>
        <v>毗邻道路的类型与等级</v>
      </c>
      <c r="R34" s="1559" t="s">
        <v>8</v>
      </c>
      <c r="S34" s="1560">
        <f t="shared" si="10"/>
        <v>100</v>
      </c>
      <c r="T34" s="1559" t="s">
        <v>8</v>
      </c>
      <c r="U34" s="1560">
        <f t="shared" si="11"/>
        <v>100</v>
      </c>
      <c r="V34" s="1559" t="s">
        <v>8</v>
      </c>
      <c r="W34" s="1560">
        <f t="shared" si="12"/>
        <v>100</v>
      </c>
      <c r="X34" s="1553"/>
      <c r="Y34" s="3396"/>
      <c r="Z34" s="1561" t="str">
        <f t="shared" si="13"/>
        <v>毗邻道路的类型与等级</v>
      </c>
      <c r="AA34" s="1562">
        <f t="shared" si="3"/>
        <v>1</v>
      </c>
      <c r="AB34" s="1562">
        <f t="shared" si="4"/>
        <v>1</v>
      </c>
      <c r="AC34" s="1562">
        <f t="shared" si="5"/>
        <v>1</v>
      </c>
    </row>
    <row r="35" spans="1:29" ht="21" hidden="1" thickBot="1">
      <c r="A35" s="532"/>
      <c r="B35" s="566"/>
      <c r="C35" s="554"/>
      <c r="D35" s="557"/>
      <c r="E35" s="576"/>
      <c r="F35" s="555"/>
      <c r="G35" s="554"/>
      <c r="H35" s="555"/>
      <c r="I35" s="576"/>
      <c r="J35" s="555"/>
      <c r="K35" s="581"/>
      <c r="L35" s="2127"/>
      <c r="M35" s="2117"/>
      <c r="N35" s="2117"/>
      <c r="O35" s="2126"/>
      <c r="P35" s="3396"/>
      <c r="Q35" s="1558"/>
      <c r="R35" s="1559"/>
      <c r="S35" s="1560"/>
      <c r="T35" s="1559"/>
      <c r="U35" s="1560"/>
      <c r="V35" s="1559"/>
      <c r="W35" s="1560"/>
      <c r="X35" s="1553"/>
      <c r="Y35" s="3396"/>
      <c r="Z35" s="1561"/>
      <c r="AA35" s="1562">
        <v>1</v>
      </c>
      <c r="AB35" s="1562">
        <v>1</v>
      </c>
      <c r="AC35" s="1562">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6"/>
      <c r="Q36" s="1558" t="str">
        <f t="shared" si="8"/>
        <v>土地级别</v>
      </c>
      <c r="R36" s="1559" t="s">
        <v>8</v>
      </c>
      <c r="S36" s="1560">
        <f t="shared" si="10"/>
        <v>100</v>
      </c>
      <c r="T36" s="1559" t="s">
        <v>8</v>
      </c>
      <c r="U36" s="1560">
        <f t="shared" si="11"/>
        <v>100</v>
      </c>
      <c r="V36" s="1559" t="s">
        <v>8</v>
      </c>
      <c r="W36" s="1560">
        <f t="shared" si="12"/>
        <v>100</v>
      </c>
      <c r="X36" s="1553"/>
      <c r="Y36" s="3396"/>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6"/>
      <c r="Q37" s="1558">
        <f t="shared" si="8"/>
        <v>111</v>
      </c>
      <c r="R37" s="1559" t="s">
        <v>8</v>
      </c>
      <c r="S37" s="1560">
        <f t="shared" si="10"/>
        <v>100</v>
      </c>
      <c r="T37" s="1559" t="s">
        <v>8</v>
      </c>
      <c r="U37" s="1560">
        <f t="shared" si="11"/>
        <v>100</v>
      </c>
      <c r="V37" s="1559" t="s">
        <v>8</v>
      </c>
      <c r="W37" s="1560">
        <f t="shared" si="12"/>
        <v>100</v>
      </c>
      <c r="X37" s="1553"/>
      <c r="Y37" s="3396"/>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97" t="s">
        <v>549</v>
      </c>
      <c r="Q38" s="1558">
        <f t="shared" si="8"/>
        <v>111</v>
      </c>
      <c r="R38" s="1559" t="s">
        <v>8</v>
      </c>
      <c r="S38" s="1560">
        <f t="shared" si="10"/>
        <v>100</v>
      </c>
      <c r="T38" s="1559" t="s">
        <v>8</v>
      </c>
      <c r="U38" s="1560">
        <f t="shared" si="11"/>
        <v>100</v>
      </c>
      <c r="V38" s="1559" t="s">
        <v>8</v>
      </c>
      <c r="W38" s="1560">
        <f t="shared" si="12"/>
        <v>100</v>
      </c>
      <c r="X38" s="1553"/>
      <c r="Y38" s="3398" t="s">
        <v>549</v>
      </c>
      <c r="Z38" s="1561">
        <f t="shared" si="13"/>
        <v>111</v>
      </c>
      <c r="AA38" s="1562">
        <f t="shared" si="3"/>
        <v>1</v>
      </c>
      <c r="AB38" s="1562">
        <f t="shared" si="4"/>
        <v>1</v>
      </c>
      <c r="AC38" s="1562">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98"/>
      <c r="Q39" s="1558">
        <f t="shared" si="8"/>
        <v>111</v>
      </c>
      <c r="R39" s="1563" t="s">
        <v>8</v>
      </c>
      <c r="S39" s="1564">
        <f t="shared" si="10"/>
        <v>100</v>
      </c>
      <c r="T39" s="1563" t="s">
        <v>8</v>
      </c>
      <c r="U39" s="1564">
        <f t="shared" si="11"/>
        <v>100</v>
      </c>
      <c r="V39" s="1563" t="s">
        <v>8</v>
      </c>
      <c r="W39" s="1564">
        <f t="shared" si="12"/>
        <v>100</v>
      </c>
      <c r="X39" s="1565"/>
      <c r="Y39" s="3398"/>
      <c r="Z39" s="1566">
        <f t="shared" si="13"/>
        <v>111</v>
      </c>
      <c r="AA39" s="1562">
        <f t="shared" si="3"/>
        <v>1</v>
      </c>
      <c r="AB39" s="1562">
        <f t="shared" si="4"/>
        <v>1</v>
      </c>
      <c r="AC39" s="1562">
        <f t="shared" si="5"/>
        <v>1</v>
      </c>
    </row>
    <row r="40" spans="1:29" ht="20.25">
      <c r="A40" s="2862" t="s">
        <v>2749</v>
      </c>
      <c r="B40" s="595" t="s">
        <v>551</v>
      </c>
      <c r="C40" s="596">
        <f>'数据-汇总表'!D3</f>
        <v>817.26</v>
      </c>
      <c r="D40" s="597">
        <v>100</v>
      </c>
      <c r="E40" s="596">
        <v>25558.46</v>
      </c>
      <c r="F40" s="597">
        <f>LOOKUP(E40,119:119,120:120)-LOOKUP(C40,119:119,120:120)+100</f>
        <v>102</v>
      </c>
      <c r="G40" s="596">
        <v>30518.35</v>
      </c>
      <c r="H40" s="597">
        <f>LOOKUP(G40,119:119,120:120)-LOOKUP(C40,119:119,120:120)+100</f>
        <v>102</v>
      </c>
      <c r="I40" s="598">
        <v>56105.82</v>
      </c>
      <c r="J40" s="597">
        <f>LOOKUP(I40,119:119,120:120)-LOOKUP(C40,119:119,120:120)+100</f>
        <v>103</v>
      </c>
      <c r="K40" s="581"/>
      <c r="L40" s="2127"/>
      <c r="M40" s="2117"/>
      <c r="N40" s="2117"/>
      <c r="O40" s="2126"/>
      <c r="P40" s="3398"/>
      <c r="Q40" s="1558" t="str">
        <f>B40</f>
        <v>宗地面积</v>
      </c>
      <c r="R40" s="1559" t="s">
        <v>8</v>
      </c>
      <c r="S40" s="1560">
        <f t="shared" si="10"/>
        <v>102</v>
      </c>
      <c r="T40" s="1559" t="s">
        <v>8</v>
      </c>
      <c r="U40" s="1560">
        <f t="shared" si="11"/>
        <v>102</v>
      </c>
      <c r="V40" s="1559" t="s">
        <v>8</v>
      </c>
      <c r="W40" s="1560">
        <f t="shared" si="12"/>
        <v>103</v>
      </c>
      <c r="X40" s="1553"/>
      <c r="Y40" s="3398"/>
      <c r="Z40" s="1561" t="str">
        <f t="shared" si="13"/>
        <v>宗地面积</v>
      </c>
      <c r="AA40" s="1562">
        <f t="shared" si="3"/>
        <v>0.98039215686274506</v>
      </c>
      <c r="AB40" s="1562">
        <f t="shared" si="4"/>
        <v>0.98039215686274506</v>
      </c>
      <c r="AC40" s="1562">
        <f t="shared" si="5"/>
        <v>0.970873786407767</v>
      </c>
    </row>
    <row r="41" spans="1:29" ht="20.25">
      <c r="A41" s="594"/>
      <c r="B41" s="527" t="s">
        <v>552</v>
      </c>
      <c r="C41" s="599" t="s">
        <v>3273</v>
      </c>
      <c r="D41" s="540">
        <v>100</v>
      </c>
      <c r="E41" s="599" t="s">
        <v>3273</v>
      </c>
      <c r="F41" s="540">
        <f>SUMIF(121:121,E41,122:122)-SUMIF(121:121,C41,122:122)+100</f>
        <v>100</v>
      </c>
      <c r="G41" s="599" t="s">
        <v>3273</v>
      </c>
      <c r="H41" s="540">
        <f>SUMIF(121:121,G41,122:122)-SUMIF(121:121,C41,122:122)+100</f>
        <v>100</v>
      </c>
      <c r="I41" s="599" t="s">
        <v>3273</v>
      </c>
      <c r="J41" s="540">
        <f>SUMIF(121:121,I41,122:122)-SUMIF(121:121,C41,122:122)+100</f>
        <v>100</v>
      </c>
      <c r="K41" s="584">
        <v>1</v>
      </c>
      <c r="L41" s="2127"/>
      <c r="M41" s="2117"/>
      <c r="N41" s="2117"/>
      <c r="O41" s="2126"/>
      <c r="P41" s="3398"/>
      <c r="Q41" s="1558" t="str">
        <f t="shared" ref="Q41:Q47" si="14">B41</f>
        <v>宗地形状</v>
      </c>
      <c r="R41" s="1559" t="s">
        <v>8</v>
      </c>
      <c r="S41" s="1560">
        <f t="shared" si="10"/>
        <v>100</v>
      </c>
      <c r="T41" s="1559" t="s">
        <v>8</v>
      </c>
      <c r="U41" s="1560">
        <f t="shared" si="11"/>
        <v>100</v>
      </c>
      <c r="V41" s="1559" t="s">
        <v>8</v>
      </c>
      <c r="W41" s="1560">
        <f t="shared" si="12"/>
        <v>100</v>
      </c>
      <c r="X41" s="1553"/>
      <c r="Y41" s="3398"/>
      <c r="Z41" s="1561" t="str">
        <f t="shared" si="13"/>
        <v>宗地形状</v>
      </c>
      <c r="AA41" s="1562">
        <f t="shared" si="3"/>
        <v>1</v>
      </c>
      <c r="AB41" s="1562">
        <f t="shared" si="4"/>
        <v>1</v>
      </c>
      <c r="AC41" s="1562">
        <f t="shared" si="5"/>
        <v>1</v>
      </c>
    </row>
    <row r="42" spans="1:29" ht="20.25">
      <c r="A42" s="594"/>
      <c r="B42" s="527" t="s">
        <v>553</v>
      </c>
      <c r="C42" s="599" t="s">
        <v>3270</v>
      </c>
      <c r="D42" s="540">
        <v>100</v>
      </c>
      <c r="E42" s="599" t="s">
        <v>3270</v>
      </c>
      <c r="F42" s="540">
        <f>SUMIF(123:123,E42,124:124)-SUMIF(123:123,C42,124:124)+100</f>
        <v>100</v>
      </c>
      <c r="G42" s="599" t="s">
        <v>3270</v>
      </c>
      <c r="H42" s="540">
        <f>SUMIF(123:123,G42,124:124)-SUMIF(123:123,C42,124:124)+100</f>
        <v>100</v>
      </c>
      <c r="I42" s="599" t="s">
        <v>3270</v>
      </c>
      <c r="J42" s="540">
        <f>SUMIF(123:123,I42,124:124)-SUMIF(123:123,C42,124:124)+100</f>
        <v>100</v>
      </c>
      <c r="K42" s="584">
        <v>1</v>
      </c>
      <c r="L42" s="2127"/>
      <c r="M42" s="2117"/>
      <c r="N42" s="2117"/>
      <c r="O42" s="2126"/>
      <c r="P42" s="3398"/>
      <c r="Q42" s="1558" t="str">
        <f t="shared" si="14"/>
        <v>临街宽度及深度</v>
      </c>
      <c r="R42" s="1559" t="s">
        <v>8</v>
      </c>
      <c r="S42" s="1560">
        <f t="shared" si="10"/>
        <v>100</v>
      </c>
      <c r="T42" s="1559" t="s">
        <v>8</v>
      </c>
      <c r="U42" s="1560">
        <f t="shared" si="11"/>
        <v>100</v>
      </c>
      <c r="V42" s="1559" t="s">
        <v>8</v>
      </c>
      <c r="W42" s="1560">
        <f t="shared" si="12"/>
        <v>100</v>
      </c>
      <c r="X42" s="1553"/>
      <c r="Y42" s="3398"/>
      <c r="Z42" s="1561" t="str">
        <f t="shared" si="13"/>
        <v>临街宽度及深度</v>
      </c>
      <c r="AA42" s="1562">
        <f t="shared" si="3"/>
        <v>1</v>
      </c>
      <c r="AB42" s="1562">
        <f t="shared" si="4"/>
        <v>1</v>
      </c>
      <c r="AC42" s="1562">
        <f t="shared" si="5"/>
        <v>1</v>
      </c>
    </row>
    <row r="43" spans="1:29" s="1215" customFormat="1" ht="20.25">
      <c r="A43" s="600"/>
      <c r="B43" s="1880" t="s">
        <v>2421</v>
      </c>
      <c r="C43" s="601" t="s">
        <v>3263</v>
      </c>
      <c r="D43" s="255">
        <v>100</v>
      </c>
      <c r="E43" s="601" t="s">
        <v>3266</v>
      </c>
      <c r="F43" s="540">
        <f>SUMIF(125:125,E43,126:126)-SUMIF(125:125,C43,126:126)+100</f>
        <v>99</v>
      </c>
      <c r="G43" s="601" t="s">
        <v>3266</v>
      </c>
      <c r="H43" s="540">
        <f>SUMIF(125:125,G43,126:126)-SUMIF(125:125,C43,126:126)+100</f>
        <v>99</v>
      </c>
      <c r="I43" s="601" t="s">
        <v>3266</v>
      </c>
      <c r="J43" s="540">
        <f>SUMIF(125:125,I43,126:126)-SUMIF(125:125,C43,126:126)+100</f>
        <v>99</v>
      </c>
      <c r="K43" s="584">
        <v>0.5</v>
      </c>
      <c r="L43" s="2120"/>
      <c r="M43" s="2117"/>
      <c r="N43" s="2117"/>
      <c r="O43" s="2122"/>
      <c r="P43" s="3398"/>
      <c r="Q43" s="1558" t="str">
        <f t="shared" si="14"/>
        <v>宗地开发程度</v>
      </c>
      <c r="R43" s="1554" t="s">
        <v>8</v>
      </c>
      <c r="S43" s="1555">
        <f t="shared" si="10"/>
        <v>99</v>
      </c>
      <c r="T43" s="1554" t="s">
        <v>8</v>
      </c>
      <c r="U43" s="1555">
        <f t="shared" si="11"/>
        <v>99</v>
      </c>
      <c r="V43" s="1554" t="s">
        <v>8</v>
      </c>
      <c r="W43" s="1555">
        <f t="shared" si="12"/>
        <v>99</v>
      </c>
      <c r="X43" s="1556"/>
      <c r="Y43" s="3398"/>
      <c r="Z43" s="1145" t="str">
        <f t="shared" si="13"/>
        <v>宗地开发程度</v>
      </c>
      <c r="AA43" s="1557">
        <f t="shared" si="3"/>
        <v>1.0101010101010102</v>
      </c>
      <c r="AB43" s="1557">
        <f t="shared" si="4"/>
        <v>1.0101010101010102</v>
      </c>
      <c r="AC43" s="1557">
        <f t="shared" si="5"/>
        <v>1.0101010101010102</v>
      </c>
    </row>
    <row r="44" spans="1:29" ht="21" thickBot="1">
      <c r="A44" s="594"/>
      <c r="B44" s="527" t="s">
        <v>554</v>
      </c>
      <c r="C44" s="599" t="s">
        <v>3270</v>
      </c>
      <c r="D44" s="540">
        <v>100</v>
      </c>
      <c r="E44" s="599" t="s">
        <v>3270</v>
      </c>
      <c r="F44" s="540">
        <f>SUMIF(127:127,E44,128:128)-SUMIF(127:127,C44,128:128)+100</f>
        <v>100</v>
      </c>
      <c r="G44" s="599" t="s">
        <v>3270</v>
      </c>
      <c r="H44" s="540">
        <f>SUMIF(127:127,G44,128:128)-SUMIF(127:127,C44,128:128)+100</f>
        <v>100</v>
      </c>
      <c r="I44" s="599" t="s">
        <v>3270</v>
      </c>
      <c r="J44" s="540">
        <f>SUMIF(127:127,I44,128:128)-SUMIF(127:127,C44,128:128)+100</f>
        <v>100</v>
      </c>
      <c r="K44" s="584">
        <v>1</v>
      </c>
      <c r="L44" s="2127"/>
      <c r="M44" s="2117"/>
      <c r="N44" s="2117"/>
      <c r="O44" s="2126"/>
      <c r="P44" s="3398" t="s">
        <v>549</v>
      </c>
      <c r="Q44" s="1558" t="str">
        <f t="shared" si="14"/>
        <v>工程地质条件</v>
      </c>
      <c r="R44" s="1559" t="s">
        <v>8</v>
      </c>
      <c r="S44" s="1560">
        <f t="shared" si="10"/>
        <v>100</v>
      </c>
      <c r="T44" s="1559" t="s">
        <v>8</v>
      </c>
      <c r="U44" s="1560">
        <f t="shared" si="11"/>
        <v>100</v>
      </c>
      <c r="V44" s="1559" t="s">
        <v>8</v>
      </c>
      <c r="W44" s="1560">
        <f t="shared" si="12"/>
        <v>100</v>
      </c>
      <c r="X44" s="1553"/>
      <c r="Y44" s="3398" t="s">
        <v>549</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98"/>
      <c r="Q45" s="1558">
        <f t="shared" si="14"/>
        <v>111</v>
      </c>
      <c r="R45" s="1559" t="s">
        <v>8</v>
      </c>
      <c r="S45" s="1560">
        <f t="shared" si="10"/>
        <v>100</v>
      </c>
      <c r="T45" s="1559" t="s">
        <v>8</v>
      </c>
      <c r="U45" s="1560">
        <f t="shared" si="11"/>
        <v>100</v>
      </c>
      <c r="V45" s="1559" t="s">
        <v>8</v>
      </c>
      <c r="W45" s="1560">
        <f t="shared" si="12"/>
        <v>100</v>
      </c>
      <c r="X45" s="1553"/>
      <c r="Y45" s="3398"/>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98"/>
      <c r="Q46" s="1558">
        <f t="shared" si="14"/>
        <v>111</v>
      </c>
      <c r="R46" s="1559" t="s">
        <v>8</v>
      </c>
      <c r="S46" s="1560">
        <f t="shared" si="10"/>
        <v>100</v>
      </c>
      <c r="T46" s="1559" t="s">
        <v>8</v>
      </c>
      <c r="U46" s="1560">
        <f t="shared" si="11"/>
        <v>100</v>
      </c>
      <c r="V46" s="1559" t="s">
        <v>8</v>
      </c>
      <c r="W46" s="1560">
        <f t="shared" si="12"/>
        <v>100</v>
      </c>
      <c r="X46" s="1553"/>
      <c r="Y46" s="3398"/>
      <c r="Z46" s="1561">
        <f t="shared" si="13"/>
        <v>111</v>
      </c>
      <c r="AA46" s="1562">
        <f t="shared" si="3"/>
        <v>1</v>
      </c>
      <c r="AB46" s="1562">
        <f t="shared" si="4"/>
        <v>1</v>
      </c>
      <c r="AC46" s="1562">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98"/>
      <c r="Q47" s="1558">
        <f t="shared" si="14"/>
        <v>111</v>
      </c>
      <c r="R47" s="1563" t="s">
        <v>8</v>
      </c>
      <c r="S47" s="1564">
        <f t="shared" si="10"/>
        <v>100</v>
      </c>
      <c r="T47" s="1563" t="s">
        <v>8</v>
      </c>
      <c r="U47" s="1564">
        <f t="shared" si="11"/>
        <v>100</v>
      </c>
      <c r="V47" s="1563" t="s">
        <v>8</v>
      </c>
      <c r="W47" s="1564">
        <f t="shared" si="12"/>
        <v>100</v>
      </c>
      <c r="X47" s="1565"/>
      <c r="Y47" s="3398"/>
      <c r="Z47" s="1566">
        <f t="shared" si="13"/>
        <v>111</v>
      </c>
      <c r="AA47" s="1562">
        <f t="shared" si="3"/>
        <v>1</v>
      </c>
      <c r="AB47" s="1562">
        <f t="shared" si="4"/>
        <v>1</v>
      </c>
      <c r="AC47" s="1562">
        <f t="shared" si="5"/>
        <v>1</v>
      </c>
    </row>
    <row r="48" spans="1:29" ht="20.25">
      <c r="A48" s="607" t="s">
        <v>555</v>
      </c>
      <c r="B48" s="608" t="s">
        <v>3026</v>
      </c>
      <c r="C48" s="609" t="s">
        <v>1</v>
      </c>
      <c r="D48" s="610"/>
      <c r="E48" s="611">
        <v>8211</v>
      </c>
      <c r="F48" s="612"/>
      <c r="G48" s="613">
        <v>9798</v>
      </c>
      <c r="H48" s="614"/>
      <c r="I48" s="611">
        <v>9700</v>
      </c>
      <c r="J48" s="614"/>
      <c r="K48" s="1335"/>
      <c r="L48" s="2129"/>
      <c r="M48" s="2117"/>
      <c r="N48" s="2117"/>
      <c r="O48" s="2130"/>
      <c r="P48" s="3393" t="str">
        <f>A48</f>
        <v>成交单价</v>
      </c>
      <c r="Q48" s="3393"/>
      <c r="R48" s="3407">
        <f>E48</f>
        <v>8211</v>
      </c>
      <c r="S48" s="3407"/>
      <c r="T48" s="3407">
        <f>G48</f>
        <v>9798</v>
      </c>
      <c r="U48" s="3407"/>
      <c r="V48" s="3407">
        <f>I48</f>
        <v>9700</v>
      </c>
      <c r="W48" s="3407"/>
      <c r="X48" s="1545"/>
      <c r="Y48" s="1567"/>
      <c r="Z48" s="1545"/>
      <c r="AA48" s="1545"/>
      <c r="AB48" s="1545"/>
      <c r="AC48" s="1545"/>
    </row>
    <row r="49" spans="1:29" ht="21" thickBot="1">
      <c r="A49" s="615" t="s">
        <v>2687</v>
      </c>
      <c r="B49" s="616"/>
      <c r="C49" s="617">
        <f>R50</f>
        <v>8264</v>
      </c>
      <c r="D49" s="618"/>
      <c r="E49" s="617">
        <f>R49</f>
        <v>7526</v>
      </c>
      <c r="F49" s="619"/>
      <c r="G49" s="620">
        <f>T49</f>
        <v>8719</v>
      </c>
      <c r="H49" s="618"/>
      <c r="I49" s="617">
        <f>V49</f>
        <v>8548</v>
      </c>
      <c r="J49" s="618"/>
      <c r="K49" s="1336"/>
      <c r="L49" s="2129"/>
      <c r="M49" s="2117"/>
      <c r="N49" s="2117"/>
      <c r="O49" s="2130"/>
      <c r="P49" s="3393" t="str">
        <f>A49</f>
        <v>比较价格（元/平方米）</v>
      </c>
      <c r="Q49" s="3393"/>
      <c r="R49" s="3418">
        <f>ROUND(PRODUCT(R48,AA9:AA47),0)</f>
        <v>7526</v>
      </c>
      <c r="S49" s="3418"/>
      <c r="T49" s="3418">
        <f>ROUND(PRODUCT(T48,AB9:AB47),0)</f>
        <v>8719</v>
      </c>
      <c r="U49" s="3418"/>
      <c r="V49" s="3418">
        <f>ROUND(PRODUCT(V48,AC9:AC47),0)</f>
        <v>8548</v>
      </c>
      <c r="W49" s="3418"/>
      <c r="X49" s="1545"/>
      <c r="Y49" s="1545"/>
      <c r="Z49" s="1545"/>
      <c r="AA49" s="1545"/>
      <c r="AB49" s="1545"/>
      <c r="AC49" s="1545"/>
    </row>
    <row r="50" spans="1:29" ht="21" thickBot="1">
      <c r="A50" s="621" t="s">
        <v>2920</v>
      </c>
      <c r="B50" s="622"/>
      <c r="C50" s="623">
        <f>R50</f>
        <v>8264</v>
      </c>
      <c r="D50" s="623"/>
      <c r="E50" s="623"/>
      <c r="F50" s="623"/>
      <c r="G50" s="623"/>
      <c r="H50" s="623"/>
      <c r="I50" s="623"/>
      <c r="J50" s="623"/>
      <c r="K50" s="1337"/>
      <c r="L50" s="2129"/>
      <c r="M50" s="2117"/>
      <c r="N50" s="2117"/>
      <c r="O50" s="2130"/>
      <c r="P50" s="3415" t="str">
        <f>A50</f>
        <v>估价对象XX用房的比较价格（楼面单价，元/平方米）</v>
      </c>
      <c r="Q50" s="3416"/>
      <c r="R50" s="3417">
        <f>ROUND(AVERAGE(R49:V49),0)</f>
        <v>8264</v>
      </c>
      <c r="S50" s="3417"/>
      <c r="T50" s="3417"/>
      <c r="U50" s="3417"/>
      <c r="V50" s="3417"/>
      <c r="W50" s="341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20.25">
      <c r="A53" s="2130"/>
      <c r="B53" s="2130"/>
      <c r="C53" s="624" t="s">
        <v>556</v>
      </c>
      <c r="D53" s="625"/>
      <c r="E53" s="626">
        <f>IF(E48&lt;E49,E49/E48-1,E48/E49-1)</f>
        <v>9.1017804942864711E-2</v>
      </c>
      <c r="F53" s="627" t="str">
        <f>IF(OR(E53&gt;=0.3,E53&lt;=-0.3),"超过30%","")</f>
        <v/>
      </c>
      <c r="G53" s="626">
        <f>IF(G48&lt;G49,G49/G48-1,G48/G49-1)</f>
        <v>0.12375272393623127</v>
      </c>
      <c r="H53" s="627" t="str">
        <f>IF(OR(G53&gt;=0.3,G53&lt;=-0.3),"超过30%","")</f>
        <v/>
      </c>
      <c r="I53" s="626">
        <f>IF(I48&lt;I49,I49/I48-1,I48/I49-1)</f>
        <v>0.13476836686944305</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20.25">
      <c r="A54" s="2130"/>
      <c r="B54" s="2130"/>
      <c r="C54" s="624" t="s">
        <v>557</v>
      </c>
      <c r="D54" s="628"/>
      <c r="E54" s="626">
        <f>IF(E49&lt;G49,G49/E49-1,E49/G49-1)</f>
        <v>0.15851714057932509</v>
      </c>
      <c r="F54" s="627" t="str">
        <f>IF(OR(E54&gt;=0.2,E54&lt;=-0.2),"超过20%","")</f>
        <v/>
      </c>
      <c r="G54" s="626">
        <f>IF(G49&lt;I49,I49/G49-1,G49/I49-1)</f>
        <v>2.0004679457182872E-2</v>
      </c>
      <c r="H54" s="627" t="str">
        <f>IF(OR(G54&gt;=0.2,G54&lt;=-0.2),"超过20%","")</f>
        <v/>
      </c>
      <c r="I54" s="626">
        <f>IF(I49&lt;E49,E49/I49-1,I49/E49-1)</f>
        <v>0.13579590752059523</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20.25">
      <c r="A55" s="2131"/>
      <c r="B55" s="2131"/>
      <c r="C55" s="624" t="s">
        <v>558</v>
      </c>
      <c r="D55" s="628"/>
      <c r="E55" s="626">
        <f>IF(E48&lt;G48,G48/E48-1,E48/G48-1)</f>
        <v>0.19327731092436973</v>
      </c>
      <c r="F55" s="627" t="str">
        <f>IF(OR(E55&gt;=0.3,E55&lt;=-0.3),"超过30%","")</f>
        <v/>
      </c>
      <c r="G55" s="626">
        <f>IF(G48&lt;I48,I48/G48-1,G48/I48-1)</f>
        <v>1.0103092783505074E-2</v>
      </c>
      <c r="H55" s="627" t="str">
        <f>IF(OR(G55&gt;=0.3,G55&lt;=-0.3),"超过30%","")</f>
        <v/>
      </c>
      <c r="I55" s="626">
        <f>IF(I48&lt;E48,E48/I48-1,I48/E48-1)</f>
        <v>0.18134210205821466</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7">
      <c r="A57" s="629" t="s">
        <v>559</v>
      </c>
      <c r="B57" s="630" t="s">
        <v>560</v>
      </c>
      <c r="C57" s="1546" t="s">
        <v>1723</v>
      </c>
      <c r="D57" s="2212" t="s">
        <v>2290</v>
      </c>
      <c r="E57" s="631" t="s">
        <v>561</v>
      </c>
      <c r="F57" s="632" t="s">
        <v>562</v>
      </c>
      <c r="G57" s="3377" t="s">
        <v>2278</v>
      </c>
      <c r="H57" s="3378"/>
      <c r="I57" s="1541" t="s">
        <v>1721</v>
      </c>
      <c r="J57" s="1541" t="str">
        <f>项目基本情况!F41</f>
        <v>河南省郑州市</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563</v>
      </c>
      <c r="B58" s="634">
        <f>C50</f>
        <v>8264</v>
      </c>
      <c r="C58" s="635">
        <v>1</v>
      </c>
      <c r="D58" s="2213">
        <v>1</v>
      </c>
      <c r="E58" s="635">
        <f>'数据-汇总表'!E8+'数据-汇总表'!E9</f>
        <v>4086</v>
      </c>
      <c r="F58" s="636">
        <f t="shared" ref="F58:F67" si="15">ROUND(B58*E58/10000,0)</f>
        <v>3377</v>
      </c>
      <c r="G58" s="3379"/>
      <c r="H58" s="338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564</v>
      </c>
      <c r="B59" s="638">
        <f>ROUND($C$50*C59*D59,0)</f>
        <v>0</v>
      </c>
      <c r="C59" s="378">
        <f t="shared" ref="C59:C67" si="16">IF($C$57="北京市系数",I59,J59)</f>
        <v>0</v>
      </c>
      <c r="D59" s="2214">
        <v>0.25</v>
      </c>
      <c r="E59" s="639">
        <v>0</v>
      </c>
      <c r="F59" s="636">
        <f t="shared" si="15"/>
        <v>0</v>
      </c>
      <c r="G59" s="3381" t="s">
        <v>2279</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565</v>
      </c>
      <c r="B60" s="638">
        <f t="shared" ref="B60:B67" si="17">ROUND($C$50*C60*D60,0)</f>
        <v>0</v>
      </c>
      <c r="C60" s="378">
        <f t="shared" si="16"/>
        <v>0</v>
      </c>
      <c r="D60" s="2214">
        <v>0.25</v>
      </c>
      <c r="E60" s="639">
        <v>0</v>
      </c>
      <c r="F60" s="636">
        <f t="shared" si="15"/>
        <v>0</v>
      </c>
      <c r="G60" s="338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566</v>
      </c>
      <c r="B61" s="638">
        <f t="shared" si="17"/>
        <v>0</v>
      </c>
      <c r="C61" s="378">
        <f t="shared" si="16"/>
        <v>0</v>
      </c>
      <c r="D61" s="2214">
        <v>0.25</v>
      </c>
      <c r="E61" s="639">
        <v>0</v>
      </c>
      <c r="F61" s="636">
        <f t="shared" si="15"/>
        <v>0</v>
      </c>
      <c r="G61" s="338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567</v>
      </c>
      <c r="B62" s="638">
        <f t="shared" si="17"/>
        <v>0</v>
      </c>
      <c r="C62" s="378">
        <f t="shared" si="16"/>
        <v>0</v>
      </c>
      <c r="D62" s="2214">
        <v>0.25</v>
      </c>
      <c r="E62" s="639">
        <v>0</v>
      </c>
      <c r="F62" s="636">
        <f t="shared" si="15"/>
        <v>0</v>
      </c>
      <c r="G62" s="338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2325</v>
      </c>
      <c r="B63" s="638">
        <f t="shared" si="17"/>
        <v>0</v>
      </c>
      <c r="C63" s="378">
        <f t="shared" si="16"/>
        <v>0</v>
      </c>
      <c r="D63" s="2214">
        <v>0.25</v>
      </c>
      <c r="E63" s="641">
        <f>'数据-汇总表'!E11</f>
        <v>0</v>
      </c>
      <c r="F63" s="636">
        <f t="shared" si="15"/>
        <v>0</v>
      </c>
      <c r="G63" s="1930" t="s">
        <v>2280</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569</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570</v>
      </c>
      <c r="B66" s="638">
        <f t="shared" si="17"/>
        <v>0</v>
      </c>
      <c r="C66" s="378">
        <f t="shared" si="16"/>
        <v>0</v>
      </c>
      <c r="D66" s="2214">
        <v>0.25</v>
      </c>
      <c r="E66" s="641">
        <f>'数据-汇总表'!E14</f>
        <v>0</v>
      </c>
      <c r="F66" s="636">
        <f t="shared" si="15"/>
        <v>0</v>
      </c>
      <c r="G66" s="1930" t="s">
        <v>2279</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571</v>
      </c>
      <c r="B67" s="638">
        <f t="shared" si="17"/>
        <v>0</v>
      </c>
      <c r="C67" s="378">
        <f t="shared" si="16"/>
        <v>0</v>
      </c>
      <c r="D67" s="2214">
        <v>0.25</v>
      </c>
      <c r="E67" s="641">
        <f>'数据-汇总表'!E15</f>
        <v>0</v>
      </c>
      <c r="F67" s="636">
        <f t="shared" si="15"/>
        <v>0</v>
      </c>
      <c r="G67" s="1932" t="s">
        <v>2280</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572</v>
      </c>
      <c r="B68" s="643" t="s">
        <v>17</v>
      </c>
      <c r="C68" s="643" t="s">
        <v>18</v>
      </c>
      <c r="D68" s="643" t="s">
        <v>2291</v>
      </c>
      <c r="E68" s="643">
        <f>IF(B48="楼面地价",SUM(E58:E67),'数据-汇总表'!D3)</f>
        <v>4086</v>
      </c>
      <c r="F68" s="644">
        <f>IF(B48="楼面地价",SUM(F58:F67),ROUND(C50*E68/10000,0))</f>
        <v>3377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2020-5-1</v>
      </c>
      <c r="D70" s="2754">
        <f>EDATE(C70,-3)</f>
        <v>43862</v>
      </c>
      <c r="E70" s="2754">
        <f t="shared" ref="E70:N70" si="18">EDATE(D70,-3)</f>
        <v>43770</v>
      </c>
      <c r="F70" s="2754">
        <f t="shared" si="18"/>
        <v>43678</v>
      </c>
      <c r="G70" s="2754">
        <f t="shared" si="18"/>
        <v>43586</v>
      </c>
      <c r="H70" s="2754">
        <f t="shared" si="18"/>
        <v>43497</v>
      </c>
      <c r="I70" s="2754">
        <f t="shared" si="18"/>
        <v>43405</v>
      </c>
      <c r="J70" s="2754">
        <f t="shared" si="18"/>
        <v>43313</v>
      </c>
      <c r="K70" s="2754">
        <f t="shared" si="18"/>
        <v>43221</v>
      </c>
      <c r="L70" s="2754">
        <f t="shared" si="18"/>
        <v>43132</v>
      </c>
      <c r="M70" s="2754">
        <f t="shared" si="18"/>
        <v>43040</v>
      </c>
      <c r="N70" s="2754">
        <f t="shared" si="18"/>
        <v>42948</v>
      </c>
      <c r="O70" s="2130"/>
      <c r="P70" s="2130"/>
      <c r="Q70" s="2130"/>
      <c r="R70" s="2130"/>
      <c r="S70" s="2130"/>
      <c r="T70" s="2130"/>
      <c r="U70" s="2130"/>
      <c r="V70" s="2130"/>
      <c r="W70" s="2130"/>
      <c r="X70" s="2130"/>
      <c r="Y70" s="2130"/>
      <c r="Z70" s="2130"/>
      <c r="AA70" s="2130"/>
      <c r="AB70" s="2130"/>
      <c r="AC70" s="2130"/>
    </row>
    <row r="71" spans="1:29" ht="21.75"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2527</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5" customFormat="1" ht="30">
      <c r="A73" s="2761" t="s">
        <v>2641</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47"/>
      <c r="P73" s="2143"/>
      <c r="Q73" s="1978"/>
      <c r="R73" s="1978"/>
      <c r="S73" s="1978"/>
      <c r="T73" s="1978"/>
      <c r="U73" s="1978"/>
      <c r="V73" s="1978"/>
      <c r="W73" s="1978"/>
      <c r="X73" s="1978"/>
      <c r="Y73" s="1978"/>
      <c r="Z73" s="1978"/>
      <c r="AA73" s="1978"/>
      <c r="AB73" s="1978"/>
      <c r="AC73" s="1978"/>
    </row>
    <row r="74" spans="1:29" s="1215" customFormat="1" ht="15.75" thickBot="1">
      <c r="A74" s="2752" t="s">
        <v>2640</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3195" t="s">
        <v>3260</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0（含）-1.5</v>
      </c>
      <c r="D81" s="682" t="str">
        <f t="shared" ref="D81:L81" si="20">D82&amp;"（含）"&amp;"-"&amp;E82</f>
        <v>1.5（含）-2.5</v>
      </c>
      <c r="E81" s="682" t="str">
        <f t="shared" si="20"/>
        <v>2.5（含）-3.5</v>
      </c>
      <c r="F81" s="682" t="str">
        <f t="shared" si="20"/>
        <v>3.5（含）-4.5</v>
      </c>
      <c r="G81" s="682" t="str">
        <f t="shared" si="20"/>
        <v>4.5（含）-5.5</v>
      </c>
      <c r="H81" s="682" t="str">
        <f t="shared" si="20"/>
        <v>5.5（含）-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1.5</v>
      </c>
      <c r="E82" s="541">
        <v>2.5</v>
      </c>
      <c r="F82" s="541">
        <v>3.5</v>
      </c>
      <c r="G82" s="541">
        <v>4.5</v>
      </c>
      <c r="H82" s="541">
        <v>5.5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3196" t="s">
        <v>3261</v>
      </c>
      <c r="D84" s="1371" t="s">
        <v>3262</v>
      </c>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v>100</v>
      </c>
      <c r="D85" s="671">
        <v>110</v>
      </c>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2543</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50000</v>
      </c>
      <c r="G119" s="730">
        <v>100000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97" t="s">
        <v>3274</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196" t="s">
        <v>3272</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2422</v>
      </c>
      <c r="C125" s="1371" t="s">
        <v>3264</v>
      </c>
      <c r="D125" s="1371" t="s">
        <v>3265</v>
      </c>
      <c r="E125" s="1371" t="s">
        <v>3267</v>
      </c>
      <c r="F125" s="1371" t="s">
        <v>3268</v>
      </c>
      <c r="G125" s="1371" t="s">
        <v>3269</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3196" t="s">
        <v>3271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zoomScale="125" zoomScaleNormal="85" workbookViewId="0">
      <selection activeCell="D18" sqref="D18"/>
    </sheetView>
  </sheetViews>
  <sheetFormatPr defaultColWidth="8.75" defaultRowHeight="13.5"/>
  <cols>
    <col min="1" max="1" width="34" customWidth="1"/>
    <col min="2" max="2" width="7.125" bestFit="1" customWidth="1"/>
    <col min="3" max="3" width="16.625" bestFit="1" customWidth="1"/>
    <col min="4" max="5" width="16.125" bestFit="1" customWidth="1"/>
    <col min="6" max="6" width="12.5" bestFit="1" customWidth="1"/>
    <col min="7" max="7" width="9.125" bestFit="1" customWidth="1"/>
    <col min="8" max="8" width="11" bestFit="1" customWidth="1"/>
    <col min="9" max="10" width="12.5" bestFit="1" customWidth="1"/>
    <col min="11" max="11" width="16.625" bestFit="1" customWidth="1"/>
    <col min="12" max="12" width="7.125" bestFit="1" customWidth="1"/>
    <col min="13" max="13" width="32" customWidth="1"/>
  </cols>
  <sheetData>
    <row r="1" spans="1:13">
      <c r="A1" s="3190" t="s">
        <v>3027</v>
      </c>
      <c r="B1" s="3190" t="s">
        <v>3028</v>
      </c>
      <c r="C1" s="3190" t="s">
        <v>3029</v>
      </c>
      <c r="D1" s="3190" t="s">
        <v>3030</v>
      </c>
      <c r="E1" s="3190" t="s">
        <v>3031</v>
      </c>
      <c r="F1" s="3190" t="s">
        <v>2029</v>
      </c>
      <c r="G1" s="3190" t="s">
        <v>3032</v>
      </c>
      <c r="H1" s="3190" t="s">
        <v>3033</v>
      </c>
      <c r="I1" s="3190" t="s">
        <v>3034</v>
      </c>
      <c r="J1" s="3190" t="s">
        <v>3035</v>
      </c>
      <c r="K1" s="3190" t="s">
        <v>3036</v>
      </c>
      <c r="L1" s="3190" t="s">
        <v>3037</v>
      </c>
      <c r="M1" s="3190" t="s">
        <v>3038</v>
      </c>
    </row>
    <row r="2" spans="1:13">
      <c r="A2" s="3190" t="s">
        <v>3040</v>
      </c>
      <c r="B2" s="3190" t="s">
        <v>3041</v>
      </c>
      <c r="C2" s="3190" t="s">
        <v>3042</v>
      </c>
      <c r="D2" s="3190">
        <v>44426.7</v>
      </c>
      <c r="E2" s="3190">
        <v>186592.14</v>
      </c>
      <c r="F2" s="3190" t="s">
        <v>3043</v>
      </c>
      <c r="G2" s="3190" t="s">
        <v>3044</v>
      </c>
      <c r="H2" s="3190" t="s">
        <v>3045</v>
      </c>
      <c r="I2" s="3190">
        <v>66717</v>
      </c>
      <c r="J2" s="3190">
        <v>66717</v>
      </c>
      <c r="K2" s="3190">
        <v>3575.55</v>
      </c>
      <c r="L2" s="3190">
        <v>0</v>
      </c>
      <c r="M2" s="3190" t="s">
        <v>3046</v>
      </c>
    </row>
    <row r="3" spans="1:13">
      <c r="A3" s="3190" t="s">
        <v>3048</v>
      </c>
      <c r="B3" s="3190" t="s">
        <v>3041</v>
      </c>
      <c r="C3" s="3190" t="s">
        <v>3042</v>
      </c>
      <c r="D3" s="3190">
        <v>31996.51</v>
      </c>
      <c r="E3" s="3190">
        <v>105588.48</v>
      </c>
      <c r="F3" s="3190" t="s">
        <v>3049</v>
      </c>
      <c r="G3" s="3190" t="s">
        <v>3044</v>
      </c>
      <c r="H3" s="3190" t="s">
        <v>3045</v>
      </c>
      <c r="I3" s="3190">
        <v>36263</v>
      </c>
      <c r="J3" s="3190">
        <v>36263</v>
      </c>
      <c r="K3" s="3190">
        <v>3434.36</v>
      </c>
      <c r="L3" s="3190">
        <v>0</v>
      </c>
      <c r="M3" s="3190" t="s">
        <v>3050</v>
      </c>
    </row>
    <row r="4" spans="1:13">
      <c r="A4" s="3190" t="s">
        <v>3051</v>
      </c>
      <c r="B4" s="3190" t="s">
        <v>3041</v>
      </c>
      <c r="C4" s="3190" t="s">
        <v>3042</v>
      </c>
      <c r="D4" s="3190">
        <v>28880.66</v>
      </c>
      <c r="E4" s="3190">
        <v>115522.64</v>
      </c>
      <c r="F4" s="3190" t="s">
        <v>3052</v>
      </c>
      <c r="G4" s="3190" t="s">
        <v>3044</v>
      </c>
      <c r="H4" s="3190" t="s">
        <v>3045</v>
      </c>
      <c r="I4" s="3190">
        <v>42717</v>
      </c>
      <c r="J4" s="3190">
        <v>42717</v>
      </c>
      <c r="K4" s="3190">
        <v>3697.71</v>
      </c>
      <c r="L4" s="3190">
        <v>0</v>
      </c>
      <c r="M4" s="3190" t="s">
        <v>3046</v>
      </c>
    </row>
    <row r="5" spans="1:13">
      <c r="A5" s="3190" t="s">
        <v>3053</v>
      </c>
      <c r="B5" s="3190" t="s">
        <v>3041</v>
      </c>
      <c r="C5" s="3190" t="s">
        <v>3042</v>
      </c>
      <c r="D5" s="3190">
        <v>16694.240000000002</v>
      </c>
      <c r="E5" s="3190">
        <v>70115.81</v>
      </c>
      <c r="F5" s="3190" t="s">
        <v>3043</v>
      </c>
      <c r="G5" s="3190" t="s">
        <v>3044</v>
      </c>
      <c r="H5" s="3190" t="s">
        <v>3045</v>
      </c>
      <c r="I5" s="3190">
        <v>25122</v>
      </c>
      <c r="J5" s="3190">
        <v>25122</v>
      </c>
      <c r="K5" s="3190">
        <v>3582.92</v>
      </c>
      <c r="L5" s="3190">
        <v>0</v>
      </c>
      <c r="M5" s="3190" t="s">
        <v>3046</v>
      </c>
    </row>
    <row r="6" spans="1:13">
      <c r="A6" s="3190" t="s">
        <v>3054</v>
      </c>
      <c r="B6" s="3190" t="s">
        <v>3041</v>
      </c>
      <c r="C6" s="3190" t="s">
        <v>3042</v>
      </c>
      <c r="D6" s="3190">
        <v>24029.09</v>
      </c>
      <c r="E6" s="3190">
        <v>60072.72</v>
      </c>
      <c r="F6" s="3190" t="s">
        <v>3055</v>
      </c>
      <c r="G6" s="3190" t="s">
        <v>3044</v>
      </c>
      <c r="H6" s="3190" t="s">
        <v>3056</v>
      </c>
      <c r="I6" s="3190">
        <v>45198</v>
      </c>
      <c r="J6" s="3190">
        <v>45198</v>
      </c>
      <c r="K6" s="3190">
        <v>7523.88</v>
      </c>
      <c r="L6" s="3190">
        <v>0</v>
      </c>
      <c r="M6" s="3190" t="s">
        <v>3057</v>
      </c>
    </row>
    <row r="7" spans="1:13" s="3192" customFormat="1">
      <c r="A7" s="3191" t="s">
        <v>3059</v>
      </c>
      <c r="B7" s="3191" t="s">
        <v>3041</v>
      </c>
      <c r="C7" s="3191" t="s">
        <v>3042</v>
      </c>
      <c r="D7" s="3191">
        <v>25558.46</v>
      </c>
      <c r="E7" s="3191">
        <v>63896.15</v>
      </c>
      <c r="F7" s="3191" t="s">
        <v>3055</v>
      </c>
      <c r="G7" s="3191" t="s">
        <v>3044</v>
      </c>
      <c r="H7" s="3191" t="s">
        <v>3056</v>
      </c>
      <c r="I7" s="3191">
        <v>48066</v>
      </c>
      <c r="J7" s="3191">
        <v>52466</v>
      </c>
      <c r="K7" s="3191">
        <v>8211.1299999999992</v>
      </c>
      <c r="L7" s="3191">
        <v>9.15</v>
      </c>
      <c r="M7" s="3191" t="s">
        <v>3057</v>
      </c>
    </row>
    <row r="8" spans="1:13">
      <c r="A8" s="3190" t="s">
        <v>3060</v>
      </c>
      <c r="B8" s="3190" t="s">
        <v>3041</v>
      </c>
      <c r="C8" s="3190" t="s">
        <v>3042</v>
      </c>
      <c r="D8" s="3190">
        <v>70406.25</v>
      </c>
      <c r="E8" s="3190">
        <v>295706.25</v>
      </c>
      <c r="F8" s="3190" t="s">
        <v>3043</v>
      </c>
      <c r="G8" s="3190" t="s">
        <v>3044</v>
      </c>
      <c r="H8" s="3190" t="s">
        <v>3061</v>
      </c>
      <c r="I8" s="3190">
        <v>121455</v>
      </c>
      <c r="J8" s="3190">
        <v>121455</v>
      </c>
      <c r="K8" s="3190">
        <v>4107.28</v>
      </c>
      <c r="L8" s="3190">
        <v>0</v>
      </c>
      <c r="M8" s="3190" t="s">
        <v>3062</v>
      </c>
    </row>
    <row r="9" spans="1:13">
      <c r="A9" s="3190" t="s">
        <v>3064</v>
      </c>
      <c r="B9" s="3190" t="s">
        <v>3041</v>
      </c>
      <c r="C9" s="3190" t="s">
        <v>3065</v>
      </c>
      <c r="D9" s="3190">
        <v>45572.23</v>
      </c>
      <c r="E9" s="3190">
        <v>136716.69</v>
      </c>
      <c r="F9" s="3190" t="s">
        <v>3066</v>
      </c>
      <c r="G9" s="3190" t="s">
        <v>3044</v>
      </c>
      <c r="H9" s="3190" t="s">
        <v>3061</v>
      </c>
      <c r="I9" s="3190">
        <v>46582</v>
      </c>
      <c r="J9" s="3190">
        <v>46582</v>
      </c>
      <c r="K9" s="3190">
        <v>3407.19</v>
      </c>
      <c r="L9" s="3190">
        <v>0</v>
      </c>
      <c r="M9" s="3190" t="s">
        <v>3067</v>
      </c>
    </row>
    <row r="10" spans="1:13">
      <c r="A10" s="3190" t="s">
        <v>3068</v>
      </c>
      <c r="B10" s="3190" t="s">
        <v>3041</v>
      </c>
      <c r="C10" s="3190" t="s">
        <v>3042</v>
      </c>
      <c r="D10" s="3190">
        <v>39269.1</v>
      </c>
      <c r="E10" s="3190">
        <v>117807.3</v>
      </c>
      <c r="F10" s="3190" t="s">
        <v>3069</v>
      </c>
      <c r="G10" s="3190" t="s">
        <v>3044</v>
      </c>
      <c r="H10" s="3190" t="s">
        <v>3070</v>
      </c>
      <c r="I10" s="3190">
        <v>42899</v>
      </c>
      <c r="J10" s="3190">
        <v>42899</v>
      </c>
      <c r="K10" s="3190">
        <v>3641.46</v>
      </c>
      <c r="L10" s="3190">
        <v>0</v>
      </c>
      <c r="M10" s="3190" t="s">
        <v>3071</v>
      </c>
    </row>
    <row r="11" spans="1:13">
      <c r="A11" s="3190" t="s">
        <v>3072</v>
      </c>
      <c r="B11" s="3190" t="s">
        <v>3041</v>
      </c>
      <c r="C11" s="3190" t="s">
        <v>3042</v>
      </c>
      <c r="D11" s="3190">
        <v>66617.52</v>
      </c>
      <c r="E11" s="3190">
        <v>233161.32</v>
      </c>
      <c r="F11" s="3190" t="s">
        <v>3073</v>
      </c>
      <c r="G11" s="3190" t="s">
        <v>3044</v>
      </c>
      <c r="H11" s="3190" t="s">
        <v>3070</v>
      </c>
      <c r="I11" s="3190">
        <v>76486</v>
      </c>
      <c r="J11" s="3190">
        <v>76486</v>
      </c>
      <c r="K11" s="3190">
        <v>3280.38</v>
      </c>
      <c r="L11" s="3190">
        <v>0</v>
      </c>
      <c r="M11" s="3190" t="s">
        <v>3074</v>
      </c>
    </row>
    <row r="12" spans="1:13">
      <c r="A12" s="3190" t="s">
        <v>3075</v>
      </c>
      <c r="B12" s="3190" t="s">
        <v>3041</v>
      </c>
      <c r="C12" s="3190" t="s">
        <v>3042</v>
      </c>
      <c r="D12" s="3190">
        <v>81208.12</v>
      </c>
      <c r="E12" s="3190">
        <v>243624.36</v>
      </c>
      <c r="F12" s="3190" t="s">
        <v>3069</v>
      </c>
      <c r="G12" s="3190" t="s">
        <v>3044</v>
      </c>
      <c r="H12" s="3190" t="s">
        <v>3070</v>
      </c>
      <c r="I12" s="3190">
        <v>105142</v>
      </c>
      <c r="J12" s="3190">
        <v>105142</v>
      </c>
      <c r="K12" s="3190">
        <v>4315.7299999999996</v>
      </c>
      <c r="L12" s="3190">
        <v>0</v>
      </c>
      <c r="M12" s="3190" t="s">
        <v>3076</v>
      </c>
    </row>
    <row r="13" spans="1:13">
      <c r="A13" s="3190" t="s">
        <v>3077</v>
      </c>
      <c r="B13" s="3190" t="s">
        <v>3041</v>
      </c>
      <c r="C13" s="3190" t="s">
        <v>3042</v>
      </c>
      <c r="D13" s="3190">
        <v>63143.61</v>
      </c>
      <c r="E13" s="3190">
        <v>126287.22</v>
      </c>
      <c r="F13" s="3190" t="s">
        <v>3078</v>
      </c>
      <c r="G13" s="3190" t="s">
        <v>3044</v>
      </c>
      <c r="H13" s="3190" t="s">
        <v>3070</v>
      </c>
      <c r="I13" s="3190">
        <v>64478</v>
      </c>
      <c r="J13" s="3190">
        <v>64478</v>
      </c>
      <c r="K13" s="3190">
        <v>5105.6499999999996</v>
      </c>
      <c r="L13" s="3190">
        <v>0</v>
      </c>
      <c r="M13" s="3190" t="s">
        <v>3079</v>
      </c>
    </row>
    <row r="14" spans="1:13" s="3192" customFormat="1">
      <c r="A14" s="3191" t="s">
        <v>3080</v>
      </c>
      <c r="B14" s="3191" t="s">
        <v>3041</v>
      </c>
      <c r="C14" s="3191" t="s">
        <v>3042</v>
      </c>
      <c r="D14" s="3191">
        <v>30518.35</v>
      </c>
      <c r="E14" s="3191">
        <v>91555.05</v>
      </c>
      <c r="F14" s="3191" t="s">
        <v>3081</v>
      </c>
      <c r="G14" s="3191" t="s">
        <v>3044</v>
      </c>
      <c r="H14" s="3191" t="s">
        <v>3082</v>
      </c>
      <c r="I14" s="3191">
        <v>59703</v>
      </c>
      <c r="J14" s="3191">
        <v>89703</v>
      </c>
      <c r="K14" s="3191">
        <v>9797.7000000000007</v>
      </c>
      <c r="L14" s="3191">
        <v>50.25</v>
      </c>
      <c r="M14" s="3191" t="s">
        <v>3076</v>
      </c>
    </row>
    <row r="15" spans="1:13" s="3192" customFormat="1">
      <c r="A15" s="3191" t="s">
        <v>3083</v>
      </c>
      <c r="B15" s="3191" t="s">
        <v>3041</v>
      </c>
      <c r="C15" s="3191" t="s">
        <v>3042</v>
      </c>
      <c r="D15" s="3191">
        <v>56105.82</v>
      </c>
      <c r="E15" s="3191">
        <v>168317.46</v>
      </c>
      <c r="F15" s="3191" t="s">
        <v>3081</v>
      </c>
      <c r="G15" s="3191" t="s">
        <v>3044</v>
      </c>
      <c r="H15" s="3191" t="s">
        <v>3082</v>
      </c>
      <c r="I15" s="3191">
        <v>109667</v>
      </c>
      <c r="J15" s="3191">
        <v>164667</v>
      </c>
      <c r="K15" s="3191">
        <v>9783.1200000000008</v>
      </c>
      <c r="L15" s="3191">
        <v>50.15</v>
      </c>
      <c r="M15" s="3191" t="s">
        <v>3084</v>
      </c>
    </row>
    <row r="16" spans="1:13">
      <c r="A16" s="3190" t="s">
        <v>3085</v>
      </c>
      <c r="B16" s="3190" t="s">
        <v>3041</v>
      </c>
      <c r="C16" s="3190" t="s">
        <v>3042</v>
      </c>
      <c r="D16" s="3190">
        <v>43977.33</v>
      </c>
      <c r="E16" s="3190">
        <v>131931.99</v>
      </c>
      <c r="F16" s="3190" t="s">
        <v>3081</v>
      </c>
      <c r="G16" s="3190" t="s">
        <v>3044</v>
      </c>
      <c r="H16" s="3190" t="s">
        <v>3082</v>
      </c>
      <c r="I16" s="3190">
        <v>85972</v>
      </c>
      <c r="J16" s="3190">
        <v>128972</v>
      </c>
      <c r="K16" s="3190">
        <v>9775.6299999999992</v>
      </c>
      <c r="L16" s="3190">
        <v>50.02</v>
      </c>
      <c r="M16" s="3190" t="s">
        <v>3076</v>
      </c>
    </row>
    <row r="17" spans="1:13">
      <c r="A17" s="3190" t="s">
        <v>3086</v>
      </c>
      <c r="B17" s="3190" t="s">
        <v>3041</v>
      </c>
      <c r="C17" s="3190" t="s">
        <v>3042</v>
      </c>
      <c r="D17" s="3190">
        <v>35592.9</v>
      </c>
      <c r="E17" s="3190">
        <v>106778.7</v>
      </c>
      <c r="F17" s="3190" t="s">
        <v>3069</v>
      </c>
      <c r="G17" s="3190" t="s">
        <v>3044</v>
      </c>
      <c r="H17" s="3190" t="s">
        <v>3087</v>
      </c>
      <c r="I17" s="3190">
        <v>39197</v>
      </c>
      <c r="J17" s="3190">
        <v>39197</v>
      </c>
      <c r="K17" s="3190">
        <v>3670.86</v>
      </c>
      <c r="L17" s="3190">
        <v>0</v>
      </c>
      <c r="M17" s="3190" t="s">
        <v>3088</v>
      </c>
    </row>
    <row r="18" spans="1:13">
      <c r="A18" s="3190" t="s">
        <v>3089</v>
      </c>
      <c r="B18" s="3190" t="s">
        <v>3041</v>
      </c>
      <c r="C18" s="3190" t="s">
        <v>3042</v>
      </c>
      <c r="D18" s="3190">
        <v>55225.35</v>
      </c>
      <c r="E18" s="3190">
        <v>93883.1</v>
      </c>
      <c r="F18" s="3190" t="s">
        <v>3090</v>
      </c>
      <c r="G18" s="3190" t="s">
        <v>3044</v>
      </c>
      <c r="H18" s="3190" t="s">
        <v>3087</v>
      </c>
      <c r="I18" s="3190">
        <v>152000</v>
      </c>
      <c r="J18" s="3190">
        <v>221000</v>
      </c>
      <c r="K18" s="3190">
        <v>23539.9</v>
      </c>
      <c r="L18" s="3190">
        <v>45.39</v>
      </c>
      <c r="M18" s="3190" t="s">
        <v>3091</v>
      </c>
    </row>
    <row r="19" spans="1:13">
      <c r="A19" s="3190" t="s">
        <v>3092</v>
      </c>
      <c r="B19" s="3190" t="s">
        <v>3041</v>
      </c>
      <c r="C19" s="3190" t="s">
        <v>3042</v>
      </c>
      <c r="D19" s="3190">
        <v>28191.56</v>
      </c>
      <c r="E19" s="3190">
        <v>84574.68</v>
      </c>
      <c r="F19" s="3190" t="s">
        <v>3093</v>
      </c>
      <c r="G19" s="3190" t="s">
        <v>3044</v>
      </c>
      <c r="H19" s="3190" t="s">
        <v>3087</v>
      </c>
      <c r="I19" s="3190">
        <v>30976</v>
      </c>
      <c r="J19" s="3190">
        <v>30976</v>
      </c>
      <c r="K19" s="3190">
        <v>3662.55</v>
      </c>
      <c r="L19" s="3190">
        <v>0</v>
      </c>
      <c r="M19" s="3190" t="s">
        <v>3088</v>
      </c>
    </row>
    <row r="20" spans="1:13">
      <c r="A20" s="3190" t="s">
        <v>3094</v>
      </c>
      <c r="B20" s="3190" t="s">
        <v>3041</v>
      </c>
      <c r="C20" s="3190" t="s">
        <v>3042</v>
      </c>
      <c r="D20" s="3190">
        <v>69466.740000000005</v>
      </c>
      <c r="E20" s="3190">
        <v>173666.85</v>
      </c>
      <c r="F20" s="3190" t="s">
        <v>3055</v>
      </c>
      <c r="G20" s="3190" t="s">
        <v>3044</v>
      </c>
      <c r="H20" s="3190" t="s">
        <v>3095</v>
      </c>
      <c r="I20" s="3190">
        <v>69933</v>
      </c>
      <c r="J20" s="3190">
        <v>69933</v>
      </c>
      <c r="K20" s="3190">
        <v>4026.84</v>
      </c>
      <c r="L20" s="3190">
        <v>0</v>
      </c>
      <c r="M20" s="3190" t="s">
        <v>3096</v>
      </c>
    </row>
    <row r="21" spans="1:13">
      <c r="A21" s="3190" t="s">
        <v>3097</v>
      </c>
      <c r="B21" s="3190" t="s">
        <v>3041</v>
      </c>
      <c r="C21" s="3190" t="s">
        <v>3042</v>
      </c>
      <c r="D21" s="3190">
        <v>69851.66</v>
      </c>
      <c r="E21" s="3190">
        <v>174629.15</v>
      </c>
      <c r="F21" s="3190" t="s">
        <v>3055</v>
      </c>
      <c r="G21" s="3190" t="s">
        <v>3044</v>
      </c>
      <c r="H21" s="3190" t="s">
        <v>3095</v>
      </c>
      <c r="I21" s="3190">
        <v>70299</v>
      </c>
      <c r="J21" s="3190">
        <v>70299</v>
      </c>
      <c r="K21" s="3190">
        <v>4025.61</v>
      </c>
      <c r="L21" s="3190">
        <v>0</v>
      </c>
      <c r="M21" s="3190" t="s">
        <v>3096</v>
      </c>
    </row>
    <row r="22" spans="1:13">
      <c r="A22" s="3190" t="s">
        <v>3098</v>
      </c>
      <c r="B22" s="3190" t="s">
        <v>3041</v>
      </c>
      <c r="C22" s="3190" t="s">
        <v>3042</v>
      </c>
      <c r="D22" s="3190">
        <v>85317.93</v>
      </c>
      <c r="E22" s="3190">
        <v>290080.96000000002</v>
      </c>
      <c r="F22" s="3190" t="s">
        <v>3099</v>
      </c>
      <c r="G22" s="3190" t="s">
        <v>3044</v>
      </c>
      <c r="H22" s="3190" t="s">
        <v>3100</v>
      </c>
      <c r="I22" s="3190">
        <v>90260</v>
      </c>
      <c r="J22" s="3190">
        <v>90260</v>
      </c>
      <c r="K22" s="3190">
        <v>3111.55</v>
      </c>
      <c r="L22" s="3190">
        <v>0</v>
      </c>
      <c r="M22" s="3190" t="s">
        <v>3101</v>
      </c>
    </row>
    <row r="23" spans="1:13">
      <c r="A23" s="3190" t="s">
        <v>3102</v>
      </c>
      <c r="B23" s="3190" t="s">
        <v>3041</v>
      </c>
      <c r="C23" s="3190" t="s">
        <v>3042</v>
      </c>
      <c r="D23" s="3190">
        <v>57680.25</v>
      </c>
      <c r="E23" s="3190">
        <v>144200.63</v>
      </c>
      <c r="F23" s="3190" t="s">
        <v>3055</v>
      </c>
      <c r="G23" s="3190" t="s">
        <v>3044</v>
      </c>
      <c r="H23" s="3190" t="s">
        <v>3100</v>
      </c>
      <c r="I23" s="3190">
        <v>60284</v>
      </c>
      <c r="J23" s="3190">
        <v>60284</v>
      </c>
      <c r="K23" s="3190">
        <v>4180.5600000000004</v>
      </c>
      <c r="L23" s="3190">
        <v>0</v>
      </c>
      <c r="M23" s="3190" t="s">
        <v>3103</v>
      </c>
    </row>
    <row r="24" spans="1:13">
      <c r="A24" s="3190" t="s">
        <v>3104</v>
      </c>
      <c r="B24" s="3190" t="s">
        <v>3041</v>
      </c>
      <c r="C24" s="3190" t="s">
        <v>3042</v>
      </c>
      <c r="D24" s="3190">
        <v>77167.61</v>
      </c>
      <c r="E24" s="3190">
        <v>192919.03</v>
      </c>
      <c r="F24" s="3190" t="s">
        <v>3105</v>
      </c>
      <c r="G24" s="3190" t="s">
        <v>3106</v>
      </c>
      <c r="H24" s="3190" t="s">
        <v>3107</v>
      </c>
      <c r="I24" s="3190">
        <v>143004</v>
      </c>
      <c r="J24" s="3190">
        <v>147604</v>
      </c>
      <c r="K24" s="3190">
        <v>7651.09</v>
      </c>
      <c r="L24" s="3190">
        <v>3.22</v>
      </c>
      <c r="M24" s="3190" t="s">
        <v>3108</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I24" sqref="I24"/>
    </sheetView>
  </sheetViews>
  <sheetFormatPr defaultColWidth="8.75" defaultRowHeight="13.5"/>
  <cols>
    <col min="1" max="1" width="39.125" customWidth="1"/>
    <col min="2" max="2" width="7.125" bestFit="1" customWidth="1"/>
    <col min="3" max="3" width="13.75" bestFit="1" customWidth="1"/>
    <col min="4" max="5" width="16.125" bestFit="1" customWidth="1"/>
    <col min="6" max="7" width="9.125" bestFit="1" customWidth="1"/>
    <col min="8" max="8" width="11" bestFit="1" customWidth="1"/>
    <col min="9" max="10" width="12.5" bestFit="1" customWidth="1"/>
    <col min="11" max="11" width="16.625" bestFit="1" customWidth="1"/>
    <col min="12" max="12" width="7.5" bestFit="1" customWidth="1"/>
    <col min="13" max="13" width="61.625" bestFit="1" customWidth="1"/>
  </cols>
  <sheetData>
    <row r="1" spans="1:14">
      <c r="A1" s="3194" t="s">
        <v>3027</v>
      </c>
      <c r="B1" s="3194" t="s">
        <v>3028</v>
      </c>
      <c r="C1" s="3194" t="s">
        <v>3029</v>
      </c>
      <c r="D1" s="3194" t="s">
        <v>3030</v>
      </c>
      <c r="E1" s="3194" t="s">
        <v>3031</v>
      </c>
      <c r="F1" s="3194" t="s">
        <v>2029</v>
      </c>
      <c r="G1" s="3194" t="s">
        <v>3032</v>
      </c>
      <c r="H1" s="3194" t="s">
        <v>3033</v>
      </c>
      <c r="I1" s="3194" t="s">
        <v>3034</v>
      </c>
      <c r="J1" s="3194" t="s">
        <v>3035</v>
      </c>
      <c r="K1" s="3194" t="s">
        <v>3036</v>
      </c>
      <c r="L1" s="3194" t="s">
        <v>3037</v>
      </c>
      <c r="M1" s="3194" t="s">
        <v>3038</v>
      </c>
      <c r="N1" s="3194" t="s">
        <v>3039</v>
      </c>
    </row>
    <row r="2" spans="1:14" s="3192" customFormat="1">
      <c r="A2" s="3191" t="s">
        <v>3115</v>
      </c>
      <c r="B2" s="3191" t="s">
        <v>3041</v>
      </c>
      <c r="C2" s="3191" t="s">
        <v>3116</v>
      </c>
      <c r="D2" s="3191">
        <v>3722.53</v>
      </c>
      <c r="E2" s="3191">
        <v>21962.93</v>
      </c>
      <c r="F2" s="3191" t="s">
        <v>3117</v>
      </c>
      <c r="G2" s="3191" t="s">
        <v>3044</v>
      </c>
      <c r="H2" s="3191" t="s">
        <v>3110</v>
      </c>
      <c r="I2" s="3191">
        <v>7170</v>
      </c>
      <c r="J2" s="3191">
        <v>7170</v>
      </c>
      <c r="K2" s="3191">
        <v>3264.59</v>
      </c>
      <c r="L2" s="3191">
        <v>0</v>
      </c>
      <c r="M2" s="3191" t="s">
        <v>3111</v>
      </c>
      <c r="N2" s="3191" t="s">
        <v>3063</v>
      </c>
    </row>
    <row r="3" spans="1:14">
      <c r="A3" s="3194" t="s">
        <v>3118</v>
      </c>
      <c r="B3" s="3194" t="s">
        <v>3041</v>
      </c>
      <c r="C3" s="3194" t="s">
        <v>3116</v>
      </c>
      <c r="D3" s="3194">
        <v>37800.89</v>
      </c>
      <c r="E3" s="3194">
        <v>37800.89</v>
      </c>
      <c r="F3" s="3194">
        <v>1</v>
      </c>
      <c r="G3" s="3194" t="s">
        <v>3044</v>
      </c>
      <c r="H3" s="3194" t="s">
        <v>3119</v>
      </c>
      <c r="I3" s="3194">
        <v>10500</v>
      </c>
      <c r="J3" s="3194">
        <v>10500</v>
      </c>
      <c r="K3" s="3194">
        <v>2777.71</v>
      </c>
      <c r="L3" s="3194">
        <v>0</v>
      </c>
      <c r="M3" s="3194" t="s">
        <v>3120</v>
      </c>
      <c r="N3" s="3194" t="s">
        <v>3063</v>
      </c>
    </row>
    <row r="4" spans="1:14">
      <c r="A4" s="3194" t="s">
        <v>3121</v>
      </c>
      <c r="B4" s="3194" t="s">
        <v>3041</v>
      </c>
      <c r="C4" s="3194" t="s">
        <v>3116</v>
      </c>
      <c r="D4" s="3194">
        <v>27467.4</v>
      </c>
      <c r="E4" s="3194">
        <v>54934.8</v>
      </c>
      <c r="F4" s="3194" t="s">
        <v>3122</v>
      </c>
      <c r="G4" s="3194" t="s">
        <v>3044</v>
      </c>
      <c r="H4" s="3194" t="s">
        <v>3119</v>
      </c>
      <c r="I4" s="3194">
        <v>34100</v>
      </c>
      <c r="J4" s="3194">
        <v>34100</v>
      </c>
      <c r="K4" s="3194">
        <v>6207.35</v>
      </c>
      <c r="L4" s="3194">
        <v>0</v>
      </c>
      <c r="M4" s="3194" t="s">
        <v>3123</v>
      </c>
      <c r="N4" s="3194" t="s">
        <v>3063</v>
      </c>
    </row>
    <row r="5" spans="1:14">
      <c r="A5" s="3194" t="s">
        <v>3124</v>
      </c>
      <c r="B5" s="3194" t="s">
        <v>3041</v>
      </c>
      <c r="C5" s="3194" t="s">
        <v>3116</v>
      </c>
      <c r="D5" s="3194">
        <v>12431.35</v>
      </c>
      <c r="E5" s="3194">
        <v>47239.13</v>
      </c>
      <c r="F5" s="3194" t="s">
        <v>3125</v>
      </c>
      <c r="G5" s="3194" t="s">
        <v>3044</v>
      </c>
      <c r="H5" s="3194" t="s">
        <v>3112</v>
      </c>
      <c r="I5" s="3194">
        <v>14178</v>
      </c>
      <c r="J5" s="3194">
        <v>14178</v>
      </c>
      <c r="K5" s="3194">
        <v>3001.32</v>
      </c>
      <c r="L5" s="3194">
        <v>0</v>
      </c>
      <c r="M5" s="3194" t="s">
        <v>3126</v>
      </c>
      <c r="N5" s="3194" t="s">
        <v>3127</v>
      </c>
    </row>
    <row r="6" spans="1:14" s="3192" customFormat="1">
      <c r="A6" s="3191" t="s">
        <v>3128</v>
      </c>
      <c r="B6" s="3191" t="s">
        <v>3041</v>
      </c>
      <c r="C6" s="3191" t="s">
        <v>3116</v>
      </c>
      <c r="D6" s="3191">
        <v>23288.799999999999</v>
      </c>
      <c r="E6" s="3191">
        <v>183981.5</v>
      </c>
      <c r="F6" s="3191" t="s">
        <v>3129</v>
      </c>
      <c r="G6" s="3191" t="s">
        <v>3044</v>
      </c>
      <c r="H6" s="3191" t="s">
        <v>3113</v>
      </c>
      <c r="I6" s="3191">
        <v>58959</v>
      </c>
      <c r="J6" s="3191">
        <v>58959</v>
      </c>
      <c r="K6" s="3191">
        <v>3204.61</v>
      </c>
      <c r="L6" s="3191">
        <v>0</v>
      </c>
      <c r="M6" s="3191" t="s">
        <v>3130</v>
      </c>
      <c r="N6" s="3191" t="s">
        <v>3063</v>
      </c>
    </row>
    <row r="7" spans="1:14">
      <c r="A7" s="3194" t="s">
        <v>3131</v>
      </c>
      <c r="B7" s="3194" t="s">
        <v>3041</v>
      </c>
      <c r="C7" s="3194" t="s">
        <v>3116</v>
      </c>
      <c r="D7" s="3194">
        <v>6957.82</v>
      </c>
      <c r="E7" s="3194">
        <v>10436.73</v>
      </c>
      <c r="F7" s="3194" t="s">
        <v>3132</v>
      </c>
      <c r="G7" s="3194" t="s">
        <v>3044</v>
      </c>
      <c r="H7" s="3194" t="s">
        <v>3133</v>
      </c>
      <c r="I7" s="3194">
        <v>9700</v>
      </c>
      <c r="J7" s="3194">
        <v>9700</v>
      </c>
      <c r="K7" s="3194">
        <v>9294.1</v>
      </c>
      <c r="L7" s="3194">
        <v>0</v>
      </c>
      <c r="M7" s="3194" t="s">
        <v>3134</v>
      </c>
      <c r="N7" s="3194" t="s">
        <v>3063</v>
      </c>
    </row>
    <row r="8" spans="1:14">
      <c r="A8" s="3194" t="s">
        <v>3135</v>
      </c>
      <c r="B8" s="3194" t="s">
        <v>3041</v>
      </c>
      <c r="C8" s="3194" t="s">
        <v>3116</v>
      </c>
      <c r="D8" s="3194">
        <v>55185.94</v>
      </c>
      <c r="E8" s="3194">
        <v>275929.7</v>
      </c>
      <c r="F8" s="3194" t="s">
        <v>3136</v>
      </c>
      <c r="G8" s="3194" t="s">
        <v>3044</v>
      </c>
      <c r="H8" s="3194" t="s">
        <v>3133</v>
      </c>
      <c r="I8" s="3194">
        <v>68000</v>
      </c>
      <c r="J8" s="3194">
        <v>68000</v>
      </c>
      <c r="K8" s="3194">
        <v>2464.4</v>
      </c>
      <c r="L8" s="3194">
        <v>0</v>
      </c>
      <c r="M8" s="3194" t="s">
        <v>3137</v>
      </c>
      <c r="N8" s="3194" t="s">
        <v>3063</v>
      </c>
    </row>
    <row r="9" spans="1:14">
      <c r="A9" s="3194" t="s">
        <v>3138</v>
      </c>
      <c r="B9" s="3194" t="s">
        <v>3041</v>
      </c>
      <c r="C9" s="3194" t="s">
        <v>3116</v>
      </c>
      <c r="D9" s="3194">
        <v>75196.929999999993</v>
      </c>
      <c r="E9" s="3194">
        <v>150393.9</v>
      </c>
      <c r="F9" s="3194" t="s">
        <v>3122</v>
      </c>
      <c r="G9" s="3194" t="s">
        <v>3044</v>
      </c>
      <c r="H9" s="3194" t="s">
        <v>3139</v>
      </c>
      <c r="I9" s="3194">
        <v>68775</v>
      </c>
      <c r="J9" s="3194">
        <v>68775</v>
      </c>
      <c r="K9" s="3194">
        <v>4572.9799999999996</v>
      </c>
      <c r="L9" s="3194">
        <v>0</v>
      </c>
      <c r="M9" s="3194" t="s">
        <v>3140</v>
      </c>
      <c r="N9" s="3194" t="s">
        <v>3109</v>
      </c>
    </row>
    <row r="10" spans="1:14">
      <c r="A10" s="3194" t="s">
        <v>3141</v>
      </c>
      <c r="B10" s="3194" t="s">
        <v>3041</v>
      </c>
      <c r="C10" s="3194" t="s">
        <v>3116</v>
      </c>
      <c r="D10" s="3194">
        <v>26365.16</v>
      </c>
      <c r="E10" s="3194">
        <v>105460.6</v>
      </c>
      <c r="F10" s="3194" t="s">
        <v>3142</v>
      </c>
      <c r="G10" s="3194" t="s">
        <v>3044</v>
      </c>
      <c r="H10" s="3194" t="s">
        <v>3143</v>
      </c>
      <c r="I10" s="3194">
        <v>25784</v>
      </c>
      <c r="J10" s="3194">
        <v>25784</v>
      </c>
      <c r="K10" s="3194">
        <v>2444.88</v>
      </c>
      <c r="L10" s="3194">
        <v>0</v>
      </c>
      <c r="M10" s="3194" t="s">
        <v>3144</v>
      </c>
      <c r="N10" s="3194" t="s">
        <v>3047</v>
      </c>
    </row>
    <row r="11" spans="1:14">
      <c r="A11" s="3194" t="s">
        <v>3145</v>
      </c>
      <c r="B11" s="3194" t="s">
        <v>3041</v>
      </c>
      <c r="C11" s="3194" t="s">
        <v>3116</v>
      </c>
      <c r="D11" s="3194">
        <v>53189.5</v>
      </c>
      <c r="E11" s="3194">
        <v>239352.8</v>
      </c>
      <c r="F11" s="3194" t="s">
        <v>3146</v>
      </c>
      <c r="G11" s="3194" t="s">
        <v>3044</v>
      </c>
      <c r="H11" s="3194" t="s">
        <v>3147</v>
      </c>
      <c r="I11" s="3194">
        <v>51700</v>
      </c>
      <c r="J11" s="3194">
        <v>51700</v>
      </c>
      <c r="K11" s="3194">
        <v>2159.98</v>
      </c>
      <c r="L11" s="3194">
        <v>0</v>
      </c>
      <c r="M11" s="3194" t="s">
        <v>3148</v>
      </c>
      <c r="N11" s="3194" t="s">
        <v>3058</v>
      </c>
    </row>
    <row r="12" spans="1:14">
      <c r="A12" s="3194" t="s">
        <v>3149</v>
      </c>
      <c r="B12" s="3194" t="s">
        <v>3041</v>
      </c>
      <c r="C12" s="3194" t="s">
        <v>3116</v>
      </c>
      <c r="D12" s="3194">
        <v>16955.080000000002</v>
      </c>
      <c r="E12" s="3194">
        <v>115294</v>
      </c>
      <c r="F12" s="3194" t="s">
        <v>3150</v>
      </c>
      <c r="G12" s="3194" t="s">
        <v>3044</v>
      </c>
      <c r="H12" s="3194" t="s">
        <v>3151</v>
      </c>
      <c r="I12" s="3194">
        <v>29700</v>
      </c>
      <c r="J12" s="3194">
        <v>29700</v>
      </c>
      <c r="K12" s="3194">
        <v>2576.0100000000002</v>
      </c>
      <c r="L12" s="3194">
        <v>0</v>
      </c>
      <c r="M12" s="3194" t="s">
        <v>3152</v>
      </c>
      <c r="N12" s="3194" t="s">
        <v>3063</v>
      </c>
    </row>
    <row r="13" spans="1:14">
      <c r="A13" s="3194" t="s">
        <v>3153</v>
      </c>
      <c r="B13" s="3194" t="s">
        <v>3041</v>
      </c>
      <c r="C13" s="3194" t="s">
        <v>3116</v>
      </c>
      <c r="D13" s="3194">
        <v>20058.87</v>
      </c>
      <c r="E13" s="3194">
        <v>80235.48</v>
      </c>
      <c r="F13" s="3194" t="s">
        <v>3154</v>
      </c>
      <c r="G13" s="3194" t="s">
        <v>3044</v>
      </c>
      <c r="H13" s="3194" t="s">
        <v>3155</v>
      </c>
      <c r="I13" s="3194">
        <v>23108</v>
      </c>
      <c r="J13" s="3194">
        <v>23108</v>
      </c>
      <c r="K13" s="3194">
        <v>2880.01</v>
      </c>
      <c r="L13" s="3194">
        <v>0</v>
      </c>
      <c r="M13" s="3194" t="s">
        <v>3156</v>
      </c>
      <c r="N13" s="3194" t="s">
        <v>3058</v>
      </c>
    </row>
    <row r="14" spans="1:14">
      <c r="A14" s="3194" t="s">
        <v>3157</v>
      </c>
      <c r="B14" s="3194" t="s">
        <v>3041</v>
      </c>
      <c r="C14" s="3194" t="s">
        <v>3116</v>
      </c>
      <c r="D14" s="3194">
        <v>15014.08</v>
      </c>
      <c r="E14" s="3194">
        <v>60056.32</v>
      </c>
      <c r="F14" s="3194" t="s">
        <v>3154</v>
      </c>
      <c r="G14" s="3194" t="s">
        <v>3044</v>
      </c>
      <c r="H14" s="3194" t="s">
        <v>3158</v>
      </c>
      <c r="I14" s="3194">
        <v>17061</v>
      </c>
      <c r="J14" s="3194">
        <v>17061</v>
      </c>
      <c r="K14" s="3194">
        <v>2840.82</v>
      </c>
      <c r="L14" s="3194">
        <v>0</v>
      </c>
      <c r="M14" s="3194" t="s">
        <v>3159</v>
      </c>
      <c r="N14" s="3194" t="s">
        <v>3063</v>
      </c>
    </row>
    <row r="15" spans="1:14">
      <c r="A15" s="3194" t="s">
        <v>3160</v>
      </c>
      <c r="B15" s="3194" t="s">
        <v>3041</v>
      </c>
      <c r="C15" s="3194" t="s">
        <v>3116</v>
      </c>
      <c r="D15" s="3194">
        <v>4649.46</v>
      </c>
      <c r="E15" s="3194">
        <v>929.89</v>
      </c>
      <c r="F15" s="3194" t="s">
        <v>3161</v>
      </c>
      <c r="G15" s="3194" t="s">
        <v>3044</v>
      </c>
      <c r="H15" s="3194" t="s">
        <v>3162</v>
      </c>
      <c r="I15" s="3194">
        <v>6987</v>
      </c>
      <c r="J15" s="3194">
        <v>17137</v>
      </c>
      <c r="K15" s="3194">
        <v>184290.61</v>
      </c>
      <c r="L15" s="3194">
        <v>145.27000000000001</v>
      </c>
      <c r="M15" s="3194" t="s">
        <v>3163</v>
      </c>
      <c r="N15" s="3194" t="s">
        <v>3063</v>
      </c>
    </row>
    <row r="16" spans="1:14">
      <c r="A16" s="3194" t="s">
        <v>3164</v>
      </c>
      <c r="B16" s="3194" t="s">
        <v>3041</v>
      </c>
      <c r="C16" s="3194" t="s">
        <v>3116</v>
      </c>
      <c r="D16" s="3194">
        <v>22060.31</v>
      </c>
      <c r="E16" s="3194">
        <v>88241.24</v>
      </c>
      <c r="F16" s="3194" t="s">
        <v>3154</v>
      </c>
      <c r="G16" s="3194" t="s">
        <v>3044</v>
      </c>
      <c r="H16" s="3194" t="s">
        <v>3165</v>
      </c>
      <c r="I16" s="3194">
        <v>24820</v>
      </c>
      <c r="J16" s="3194">
        <v>24820</v>
      </c>
      <c r="K16" s="3194">
        <v>2812.73</v>
      </c>
      <c r="L16" s="3194">
        <v>0</v>
      </c>
      <c r="M16" s="3194" t="s">
        <v>3156</v>
      </c>
      <c r="N16" s="3194" t="s">
        <v>3058</v>
      </c>
    </row>
    <row r="17" spans="1:14">
      <c r="A17" s="3194" t="s">
        <v>3166</v>
      </c>
      <c r="B17" s="3194" t="s">
        <v>3041</v>
      </c>
      <c r="C17" s="3194" t="s">
        <v>3116</v>
      </c>
      <c r="D17" s="3194">
        <v>10316</v>
      </c>
      <c r="E17" s="3194">
        <v>54674.8</v>
      </c>
      <c r="F17" s="3194" t="s">
        <v>3167</v>
      </c>
      <c r="G17" s="3194" t="s">
        <v>3168</v>
      </c>
      <c r="H17" s="3194" t="s">
        <v>3169</v>
      </c>
      <c r="I17" s="3194">
        <v>17774</v>
      </c>
      <c r="J17" s="3194">
        <v>17774</v>
      </c>
      <c r="K17" s="3194">
        <v>3250.86</v>
      </c>
      <c r="L17" s="3194">
        <v>0</v>
      </c>
      <c r="M17" s="3194" t="s">
        <v>3163</v>
      </c>
      <c r="N17" s="3194" t="s">
        <v>3063</v>
      </c>
    </row>
    <row r="18" spans="1:14">
      <c r="A18" s="3194" t="s">
        <v>3170</v>
      </c>
      <c r="B18" s="3194" t="s">
        <v>3041</v>
      </c>
      <c r="C18" s="3194" t="s">
        <v>3116</v>
      </c>
      <c r="D18" s="3194">
        <v>43968.03</v>
      </c>
      <c r="E18" s="3194">
        <v>43968.03</v>
      </c>
      <c r="F18" s="3194" t="s">
        <v>3171</v>
      </c>
      <c r="G18" s="3194" t="s">
        <v>3044</v>
      </c>
      <c r="H18" s="3194" t="s">
        <v>3172</v>
      </c>
      <c r="I18" s="3194">
        <v>43695</v>
      </c>
      <c r="J18" s="3194">
        <v>43695</v>
      </c>
      <c r="K18" s="3194">
        <v>9937.89</v>
      </c>
      <c r="L18" s="3194">
        <v>0</v>
      </c>
      <c r="M18" s="3194" t="s">
        <v>3173</v>
      </c>
      <c r="N18" s="3194" t="s">
        <v>3063</v>
      </c>
    </row>
    <row r="19" spans="1:14">
      <c r="A19" s="3194" t="s">
        <v>3174</v>
      </c>
      <c r="B19" s="3194" t="s">
        <v>3041</v>
      </c>
      <c r="C19" s="3194" t="s">
        <v>3116</v>
      </c>
      <c r="D19" s="3194">
        <v>5843.61</v>
      </c>
      <c r="E19" s="3194">
        <v>35061.660000000003</v>
      </c>
      <c r="F19" s="3194" t="s">
        <v>3175</v>
      </c>
      <c r="G19" s="3194" t="s">
        <v>3044</v>
      </c>
      <c r="H19" s="3194" t="s">
        <v>3172</v>
      </c>
      <c r="I19" s="3194">
        <v>7100</v>
      </c>
      <c r="J19" s="3194">
        <v>7100</v>
      </c>
      <c r="K19" s="3194">
        <v>2025</v>
      </c>
      <c r="L19" s="3194">
        <v>0</v>
      </c>
      <c r="M19" s="3194" t="s">
        <v>3176</v>
      </c>
      <c r="N19" s="3194" t="s">
        <v>3063</v>
      </c>
    </row>
    <row r="20" spans="1:14">
      <c r="A20" s="3194" t="s">
        <v>3177</v>
      </c>
      <c r="B20" s="3194" t="s">
        <v>3041</v>
      </c>
      <c r="C20" s="3194" t="s">
        <v>3116</v>
      </c>
      <c r="D20" s="3194">
        <v>18899.23</v>
      </c>
      <c r="E20" s="3194">
        <v>202221.8</v>
      </c>
      <c r="F20" s="3194" t="s">
        <v>3178</v>
      </c>
      <c r="G20" s="3194" t="s">
        <v>3044</v>
      </c>
      <c r="H20" s="3194" t="s">
        <v>3179</v>
      </c>
      <c r="I20" s="3194">
        <v>44241</v>
      </c>
      <c r="J20" s="3194">
        <v>44241</v>
      </c>
      <c r="K20" s="3194">
        <v>2187.75</v>
      </c>
      <c r="L20" s="3194">
        <v>0</v>
      </c>
      <c r="M20" s="3194" t="s">
        <v>3180</v>
      </c>
      <c r="N20" s="3194" t="s">
        <v>3063</v>
      </c>
    </row>
    <row r="21" spans="1:14">
      <c r="A21" s="3194" t="s">
        <v>3181</v>
      </c>
      <c r="B21" s="3194" t="s">
        <v>3041</v>
      </c>
      <c r="C21" s="3194" t="s">
        <v>3116</v>
      </c>
      <c r="D21" s="3194">
        <v>73927.17</v>
      </c>
      <c r="E21" s="3194">
        <v>428777.6</v>
      </c>
      <c r="F21" s="3194" t="s">
        <v>3182</v>
      </c>
      <c r="G21" s="3194" t="s">
        <v>3044</v>
      </c>
      <c r="H21" s="3194" t="s">
        <v>3183</v>
      </c>
      <c r="I21" s="3194">
        <v>98900</v>
      </c>
      <c r="J21" s="3194">
        <v>98900</v>
      </c>
      <c r="K21" s="3194">
        <v>2306.5500000000002</v>
      </c>
      <c r="L21" s="3194">
        <v>0</v>
      </c>
      <c r="M21" s="3194" t="s">
        <v>3184</v>
      </c>
      <c r="N21" s="3194" t="s">
        <v>3063</v>
      </c>
    </row>
    <row r="22" spans="1:14" s="3192" customFormat="1">
      <c r="A22" s="3191" t="s">
        <v>3185</v>
      </c>
      <c r="B22" s="3191" t="s">
        <v>3041</v>
      </c>
      <c r="C22" s="3191" t="s">
        <v>3116</v>
      </c>
      <c r="D22" s="3191">
        <v>4631.21</v>
      </c>
      <c r="E22" s="3191">
        <v>18524.84</v>
      </c>
      <c r="F22" s="3191" t="s">
        <v>3142</v>
      </c>
      <c r="G22" s="3191" t="s">
        <v>3044</v>
      </c>
      <c r="H22" s="3191" t="s">
        <v>3186</v>
      </c>
      <c r="I22" s="3191">
        <v>6690</v>
      </c>
      <c r="J22" s="3191">
        <v>6790</v>
      </c>
      <c r="K22" s="3191">
        <v>3665.34</v>
      </c>
      <c r="L22" s="3191">
        <v>1.49</v>
      </c>
      <c r="M22" s="3191" t="s">
        <v>3187</v>
      </c>
      <c r="N22" s="3191" t="s">
        <v>3063</v>
      </c>
    </row>
    <row r="23" spans="1:14">
      <c r="A23" s="3194" t="s">
        <v>3188</v>
      </c>
      <c r="B23" s="3194" t="s">
        <v>3041</v>
      </c>
      <c r="C23" s="3194" t="s">
        <v>3116</v>
      </c>
      <c r="D23" s="3194">
        <v>14892.94</v>
      </c>
      <c r="E23" s="3194">
        <v>37232.35</v>
      </c>
      <c r="F23" s="3194" t="s">
        <v>3189</v>
      </c>
      <c r="G23" s="3194" t="s">
        <v>3044</v>
      </c>
      <c r="H23" s="3194" t="s">
        <v>3190</v>
      </c>
      <c r="I23" s="3194">
        <v>11400</v>
      </c>
      <c r="J23" s="3194">
        <v>11400</v>
      </c>
      <c r="K23" s="3194">
        <v>3061.84</v>
      </c>
      <c r="L23" s="3194">
        <v>0</v>
      </c>
      <c r="M23" s="3194" t="s">
        <v>3191</v>
      </c>
      <c r="N23" s="3194" t="s">
        <v>3063</v>
      </c>
    </row>
    <row r="24" spans="1:14">
      <c r="A24" s="3194" t="s">
        <v>3192</v>
      </c>
      <c r="B24" s="3194" t="s">
        <v>3041</v>
      </c>
      <c r="C24" s="3194" t="s">
        <v>3116</v>
      </c>
      <c r="D24" s="3194">
        <v>4290.6000000000004</v>
      </c>
      <c r="E24" s="3194">
        <v>23598.3</v>
      </c>
      <c r="F24" s="3194" t="s">
        <v>3193</v>
      </c>
      <c r="G24" s="3194" t="s">
        <v>3044</v>
      </c>
      <c r="H24" s="3194" t="s">
        <v>3194</v>
      </c>
      <c r="I24" s="3194">
        <v>5901</v>
      </c>
      <c r="J24" s="3194">
        <v>5901</v>
      </c>
      <c r="K24" s="3194">
        <v>2500.59</v>
      </c>
      <c r="L24" s="3194">
        <v>0</v>
      </c>
      <c r="M24" s="3194" t="s">
        <v>3195</v>
      </c>
      <c r="N24" s="3194" t="s">
        <v>3047</v>
      </c>
    </row>
    <row r="25" spans="1:14">
      <c r="A25" s="3194" t="s">
        <v>3196</v>
      </c>
      <c r="B25" s="3194" t="s">
        <v>3041</v>
      </c>
      <c r="C25" s="3194" t="s">
        <v>3116</v>
      </c>
      <c r="D25" s="3194">
        <v>21240.28</v>
      </c>
      <c r="E25" s="3194">
        <v>53100.7</v>
      </c>
      <c r="F25" s="3194" t="s">
        <v>3189</v>
      </c>
      <c r="G25" s="3194" t="s">
        <v>3044</v>
      </c>
      <c r="H25" s="3194" t="s">
        <v>3197</v>
      </c>
      <c r="I25" s="3194">
        <v>16258</v>
      </c>
      <c r="J25" s="3194">
        <v>16258</v>
      </c>
      <c r="K25" s="3194">
        <v>3061.73</v>
      </c>
      <c r="L25" s="3194">
        <v>0</v>
      </c>
      <c r="M25" s="3194" t="s">
        <v>3198</v>
      </c>
      <c r="N25" s="3194" t="s">
        <v>3058</v>
      </c>
    </row>
    <row r="26" spans="1:14">
      <c r="A26" s="3194" t="s">
        <v>3199</v>
      </c>
      <c r="B26" s="3194" t="s">
        <v>3041</v>
      </c>
      <c r="C26" s="3194" t="s">
        <v>3116</v>
      </c>
      <c r="D26" s="3194">
        <v>60393.26</v>
      </c>
      <c r="E26" s="3194">
        <v>380477.5</v>
      </c>
      <c r="F26" s="3194" t="s">
        <v>3200</v>
      </c>
      <c r="G26" s="3194" t="s">
        <v>3168</v>
      </c>
      <c r="H26" s="3194" t="s">
        <v>3201</v>
      </c>
      <c r="I26" s="3194">
        <v>83000</v>
      </c>
      <c r="J26" s="3194">
        <v>83000</v>
      </c>
      <c r="K26" s="3194">
        <v>2181.46</v>
      </c>
      <c r="L26" s="3194">
        <v>0</v>
      </c>
      <c r="M26" s="3194" t="s">
        <v>3184</v>
      </c>
      <c r="N26" s="3194" t="s">
        <v>3063</v>
      </c>
    </row>
    <row r="27" spans="1:14">
      <c r="A27" s="3194" t="s">
        <v>3202</v>
      </c>
      <c r="B27" s="3194" t="s">
        <v>3041</v>
      </c>
      <c r="C27" s="3194" t="s">
        <v>3116</v>
      </c>
      <c r="D27" s="3194">
        <v>22155.97</v>
      </c>
      <c r="E27" s="3194">
        <v>88623.88</v>
      </c>
      <c r="F27" s="3194" t="s">
        <v>3154</v>
      </c>
      <c r="G27" s="3194" t="s">
        <v>3044</v>
      </c>
      <c r="H27" s="3194" t="s">
        <v>3203</v>
      </c>
      <c r="I27" s="3194">
        <v>26600</v>
      </c>
      <c r="J27" s="3194">
        <v>26600</v>
      </c>
      <c r="K27" s="3194">
        <v>3001.44</v>
      </c>
      <c r="L27" s="3194">
        <v>0</v>
      </c>
      <c r="M27" s="3194" t="s">
        <v>3204</v>
      </c>
      <c r="N27" s="3194" t="s">
        <v>3063</v>
      </c>
    </row>
    <row r="28" spans="1:14">
      <c r="A28" s="3194" t="s">
        <v>3205</v>
      </c>
      <c r="B28" s="3194" t="s">
        <v>3041</v>
      </c>
      <c r="C28" s="3194" t="s">
        <v>3116</v>
      </c>
      <c r="D28" s="3194">
        <v>7239.82</v>
      </c>
      <c r="E28" s="3194">
        <v>43438.92</v>
      </c>
      <c r="F28" s="3194" t="s">
        <v>3206</v>
      </c>
      <c r="G28" s="3194" t="s">
        <v>3044</v>
      </c>
      <c r="H28" s="3194" t="s">
        <v>3203</v>
      </c>
      <c r="I28" s="3194">
        <v>9900</v>
      </c>
      <c r="J28" s="3194">
        <v>9900</v>
      </c>
      <c r="K28" s="3194">
        <v>2279.0500000000002</v>
      </c>
      <c r="L28" s="3194">
        <v>0</v>
      </c>
      <c r="M28" s="3194" t="s">
        <v>3204</v>
      </c>
      <c r="N28" s="3194" t="s">
        <v>3063</v>
      </c>
    </row>
    <row r="29" spans="1:14">
      <c r="A29" s="3194" t="s">
        <v>3207</v>
      </c>
      <c r="B29" s="3194" t="s">
        <v>3041</v>
      </c>
      <c r="C29" s="3194" t="s">
        <v>3116</v>
      </c>
      <c r="D29" s="3194">
        <v>24171.45</v>
      </c>
      <c r="E29" s="3194">
        <v>41091.47</v>
      </c>
      <c r="F29" s="3194" t="s">
        <v>3208</v>
      </c>
      <c r="G29" s="3194" t="s">
        <v>3044</v>
      </c>
      <c r="H29" s="3194" t="s">
        <v>3203</v>
      </c>
      <c r="I29" s="3194">
        <v>30700</v>
      </c>
      <c r="J29" s="3194">
        <v>30700</v>
      </c>
      <c r="K29" s="3194">
        <v>7471.14</v>
      </c>
      <c r="L29" s="3194">
        <v>0</v>
      </c>
      <c r="M29" s="3194" t="s">
        <v>3137</v>
      </c>
      <c r="N29" s="3194" t="s">
        <v>3063</v>
      </c>
    </row>
    <row r="30" spans="1:14">
      <c r="A30" s="3194" t="s">
        <v>3209</v>
      </c>
      <c r="B30" s="3194" t="s">
        <v>3041</v>
      </c>
      <c r="C30" s="3194" t="s">
        <v>3116</v>
      </c>
      <c r="D30" s="3194">
        <v>7239.84</v>
      </c>
      <c r="E30" s="3194">
        <v>43439.040000000001</v>
      </c>
      <c r="F30" s="3194" t="s">
        <v>3206</v>
      </c>
      <c r="G30" s="3194" t="s">
        <v>3044</v>
      </c>
      <c r="H30" s="3194" t="s">
        <v>3203</v>
      </c>
      <c r="I30" s="3194">
        <v>9900</v>
      </c>
      <c r="J30" s="3194">
        <v>9900</v>
      </c>
      <c r="K30" s="3194">
        <v>2279.0500000000002</v>
      </c>
      <c r="L30" s="3194">
        <v>0</v>
      </c>
      <c r="M30" s="3194" t="s">
        <v>3204</v>
      </c>
      <c r="N30" s="3194" t="s">
        <v>3063</v>
      </c>
    </row>
    <row r="31" spans="1:14">
      <c r="A31" s="3194" t="s">
        <v>3210</v>
      </c>
      <c r="B31" s="3194" t="s">
        <v>3041</v>
      </c>
      <c r="C31" s="3194" t="s">
        <v>3116</v>
      </c>
      <c r="D31" s="3194">
        <v>16026.76</v>
      </c>
      <c r="E31" s="3194">
        <v>144240.79999999999</v>
      </c>
      <c r="F31" s="3194" t="s">
        <v>3211</v>
      </c>
      <c r="G31" s="3194" t="s">
        <v>3044</v>
      </c>
      <c r="H31" s="3194" t="s">
        <v>3203</v>
      </c>
      <c r="I31" s="3194">
        <v>26000</v>
      </c>
      <c r="J31" s="3194">
        <v>26000</v>
      </c>
      <c r="K31" s="3194">
        <v>1802.53</v>
      </c>
      <c r="L31" s="3194">
        <v>0</v>
      </c>
      <c r="M31" s="3194" t="s">
        <v>3204</v>
      </c>
      <c r="N31" s="3194" t="s">
        <v>3063</v>
      </c>
    </row>
    <row r="32" spans="1:14">
      <c r="A32" s="3194" t="s">
        <v>3212</v>
      </c>
      <c r="B32" s="3194" t="s">
        <v>3041</v>
      </c>
      <c r="C32" s="3194" t="s">
        <v>3116</v>
      </c>
      <c r="D32" s="3194">
        <v>25254.799999999999</v>
      </c>
      <c r="E32" s="3194">
        <v>116172.1</v>
      </c>
      <c r="F32" s="3194" t="s">
        <v>3213</v>
      </c>
      <c r="G32" s="3194" t="s">
        <v>3044</v>
      </c>
      <c r="H32" s="3194" t="s">
        <v>3203</v>
      </c>
      <c r="I32" s="3194">
        <v>32200</v>
      </c>
      <c r="J32" s="3194">
        <v>32200</v>
      </c>
      <c r="K32" s="3194">
        <v>2771.75</v>
      </c>
      <c r="L32" s="3194">
        <v>0</v>
      </c>
      <c r="M32" s="3194" t="s">
        <v>3204</v>
      </c>
      <c r="N32" s="3194" t="s">
        <v>3063</v>
      </c>
    </row>
    <row r="33" spans="1:14">
      <c r="A33" s="3194" t="s">
        <v>3214</v>
      </c>
      <c r="B33" s="3194" t="s">
        <v>3041</v>
      </c>
      <c r="C33" s="3194" t="s">
        <v>3116</v>
      </c>
      <c r="D33" s="3194">
        <v>6372.58</v>
      </c>
      <c r="E33" s="3194">
        <v>38235.480000000003</v>
      </c>
      <c r="F33" s="3194" t="s">
        <v>3206</v>
      </c>
      <c r="G33" s="3194" t="s">
        <v>3044</v>
      </c>
      <c r="H33" s="3194" t="s">
        <v>3203</v>
      </c>
      <c r="I33" s="3194">
        <v>8700</v>
      </c>
      <c r="J33" s="3194">
        <v>8700</v>
      </c>
      <c r="K33" s="3194">
        <v>2275.36</v>
      </c>
      <c r="L33" s="3194">
        <v>0</v>
      </c>
      <c r="M33" s="3194" t="s">
        <v>3204</v>
      </c>
      <c r="N33" s="3194" t="s">
        <v>3063</v>
      </c>
    </row>
    <row r="34" spans="1:14">
      <c r="A34" s="3194" t="s">
        <v>3215</v>
      </c>
      <c r="B34" s="3194" t="s">
        <v>3041</v>
      </c>
      <c r="C34" s="3194" t="s">
        <v>3116</v>
      </c>
      <c r="D34" s="3194">
        <v>67694.81</v>
      </c>
      <c r="E34" s="3194">
        <v>203084.4</v>
      </c>
      <c r="F34" s="3194" t="s">
        <v>3216</v>
      </c>
      <c r="G34" s="3194" t="s">
        <v>3044</v>
      </c>
      <c r="H34" s="3194" t="s">
        <v>3203</v>
      </c>
      <c r="I34" s="3194">
        <v>84700</v>
      </c>
      <c r="J34" s="3194">
        <v>84700</v>
      </c>
      <c r="K34" s="3194">
        <v>4170.68</v>
      </c>
      <c r="L34" s="3194">
        <v>0</v>
      </c>
      <c r="M34" s="3194" t="s">
        <v>3217</v>
      </c>
      <c r="N34" s="3194" t="s">
        <v>3047</v>
      </c>
    </row>
    <row r="35" spans="1:14">
      <c r="A35" s="3194" t="s">
        <v>3218</v>
      </c>
      <c r="B35" s="3194" t="s">
        <v>3041</v>
      </c>
      <c r="C35" s="3194" t="s">
        <v>3116</v>
      </c>
      <c r="D35" s="3194">
        <v>11775.14</v>
      </c>
      <c r="E35" s="3194">
        <v>41212.99</v>
      </c>
      <c r="F35" s="3194" t="s">
        <v>3219</v>
      </c>
      <c r="G35" s="3194" t="s">
        <v>3044</v>
      </c>
      <c r="H35" s="3194" t="s">
        <v>3203</v>
      </c>
      <c r="I35" s="3194">
        <v>15800</v>
      </c>
      <c r="J35" s="3194">
        <v>15800</v>
      </c>
      <c r="K35" s="3194">
        <v>3833.73</v>
      </c>
      <c r="L35" s="3194">
        <v>0</v>
      </c>
      <c r="M35" s="3194" t="s">
        <v>3220</v>
      </c>
      <c r="N35" s="3194" t="s">
        <v>3063</v>
      </c>
    </row>
    <row r="36" spans="1:14">
      <c r="A36" s="3194" t="s">
        <v>3221</v>
      </c>
      <c r="B36" s="3194" t="s">
        <v>3041</v>
      </c>
      <c r="C36" s="3194" t="s">
        <v>3116</v>
      </c>
      <c r="D36" s="3194">
        <v>18992.830000000002</v>
      </c>
      <c r="E36" s="3194">
        <v>170935.5</v>
      </c>
      <c r="F36" s="3194" t="s">
        <v>3211</v>
      </c>
      <c r="G36" s="3194" t="s">
        <v>3044</v>
      </c>
      <c r="H36" s="3194" t="s">
        <v>3203</v>
      </c>
      <c r="I36" s="3194">
        <v>30900</v>
      </c>
      <c r="J36" s="3194">
        <v>30900</v>
      </c>
      <c r="K36" s="3194">
        <v>1807.7</v>
      </c>
      <c r="L36" s="3194">
        <v>0</v>
      </c>
      <c r="M36" s="3194" t="s">
        <v>3204</v>
      </c>
      <c r="N36" s="3194" t="s">
        <v>3063</v>
      </c>
    </row>
    <row r="37" spans="1:14">
      <c r="A37" s="3194" t="s">
        <v>3222</v>
      </c>
      <c r="B37" s="3194" t="s">
        <v>3041</v>
      </c>
      <c r="C37" s="3194" t="s">
        <v>3116</v>
      </c>
      <c r="D37" s="3194">
        <v>8925.6</v>
      </c>
      <c r="E37" s="3194">
        <v>71404.800000000003</v>
      </c>
      <c r="F37" s="3194" t="s">
        <v>3223</v>
      </c>
      <c r="G37" s="3194" t="s">
        <v>3044</v>
      </c>
      <c r="H37" s="3194" t="s">
        <v>3203</v>
      </c>
      <c r="I37" s="3194">
        <v>14000</v>
      </c>
      <c r="J37" s="3194">
        <v>14000</v>
      </c>
      <c r="K37" s="3194">
        <v>1960.65</v>
      </c>
      <c r="L37" s="3194">
        <v>0</v>
      </c>
      <c r="M37" s="3194" t="s">
        <v>3204</v>
      </c>
      <c r="N37" s="3194" t="s">
        <v>3063</v>
      </c>
    </row>
    <row r="38" spans="1:14">
      <c r="A38" s="3194" t="s">
        <v>3224</v>
      </c>
      <c r="B38" s="3194" t="s">
        <v>3041</v>
      </c>
      <c r="C38" s="3194" t="s">
        <v>3116</v>
      </c>
      <c r="D38" s="3194">
        <v>6998.18</v>
      </c>
      <c r="E38" s="3194">
        <v>55985.440000000002</v>
      </c>
      <c r="F38" s="3194" t="s">
        <v>3223</v>
      </c>
      <c r="G38" s="3194" t="s">
        <v>3044</v>
      </c>
      <c r="H38" s="3194" t="s">
        <v>3225</v>
      </c>
      <c r="I38" s="3194">
        <v>11000</v>
      </c>
      <c r="J38" s="3194">
        <v>11000</v>
      </c>
      <c r="K38" s="3194">
        <v>1964.79</v>
      </c>
      <c r="L38" s="3194">
        <v>0</v>
      </c>
      <c r="M38" s="3194" t="s">
        <v>3226</v>
      </c>
      <c r="N38" s="3194" t="s">
        <v>3063</v>
      </c>
    </row>
    <row r="39" spans="1:14">
      <c r="A39" s="3194" t="s">
        <v>3227</v>
      </c>
      <c r="B39" s="3194" t="s">
        <v>3041</v>
      </c>
      <c r="C39" s="3194" t="s">
        <v>3116</v>
      </c>
      <c r="D39" s="3194">
        <v>11371.15</v>
      </c>
      <c r="E39" s="3194">
        <v>39799.03</v>
      </c>
      <c r="F39" s="3194" t="s">
        <v>3219</v>
      </c>
      <c r="G39" s="3194" t="s">
        <v>3044</v>
      </c>
      <c r="H39" s="3194" t="s">
        <v>3225</v>
      </c>
      <c r="I39" s="3194">
        <v>15400</v>
      </c>
      <c r="J39" s="3194">
        <v>15400</v>
      </c>
      <c r="K39" s="3194">
        <v>3869.44</v>
      </c>
      <c r="L39" s="3194">
        <v>0</v>
      </c>
      <c r="M39" s="3194" t="s">
        <v>3228</v>
      </c>
      <c r="N39" s="3194" t="s">
        <v>3063</v>
      </c>
    </row>
    <row r="40" spans="1:14">
      <c r="A40" s="3194" t="s">
        <v>3229</v>
      </c>
      <c r="B40" s="3194" t="s">
        <v>3041</v>
      </c>
      <c r="C40" s="3194" t="s">
        <v>3116</v>
      </c>
      <c r="D40" s="3194">
        <v>14334.58</v>
      </c>
      <c r="E40" s="3194">
        <v>43003.74</v>
      </c>
      <c r="F40" s="3194" t="s">
        <v>3216</v>
      </c>
      <c r="G40" s="3194" t="s">
        <v>3044</v>
      </c>
      <c r="H40" s="3194" t="s">
        <v>3225</v>
      </c>
      <c r="I40" s="3194">
        <v>6960</v>
      </c>
      <c r="J40" s="3194">
        <v>9560</v>
      </c>
      <c r="K40" s="3194">
        <v>2223.0500000000002</v>
      </c>
      <c r="L40" s="3194">
        <v>37.36</v>
      </c>
      <c r="M40" s="3194" t="s">
        <v>3230</v>
      </c>
      <c r="N40" s="3194" t="s">
        <v>3058</v>
      </c>
    </row>
    <row r="41" spans="1:14">
      <c r="A41" s="3194" t="s">
        <v>3231</v>
      </c>
      <c r="B41" s="3194" t="s">
        <v>3041</v>
      </c>
      <c r="C41" s="3194" t="s">
        <v>3116</v>
      </c>
      <c r="D41" s="3194">
        <v>8839.14</v>
      </c>
      <c r="E41" s="3194">
        <v>13258.71</v>
      </c>
      <c r="F41" s="3194" t="s">
        <v>3136</v>
      </c>
      <c r="G41" s="3194" t="s">
        <v>3044</v>
      </c>
      <c r="H41" s="3194" t="s">
        <v>3232</v>
      </c>
      <c r="I41" s="3194">
        <v>6046</v>
      </c>
      <c r="J41" s="3194">
        <v>6046</v>
      </c>
      <c r="K41" s="3194">
        <v>4560.0200000000004</v>
      </c>
      <c r="L41" s="3194">
        <v>0</v>
      </c>
      <c r="M41" s="3194" t="s">
        <v>3233</v>
      </c>
      <c r="N41" s="3194" t="s">
        <v>3063</v>
      </c>
    </row>
    <row r="42" spans="1:14">
      <c r="A42" s="3194" t="s">
        <v>3234</v>
      </c>
      <c r="B42" s="3194" t="s">
        <v>3041</v>
      </c>
      <c r="C42" s="3194" t="s">
        <v>3116</v>
      </c>
      <c r="D42" s="3194">
        <v>19199.97</v>
      </c>
      <c r="E42" s="3194">
        <v>115199.8</v>
      </c>
      <c r="F42" s="3194" t="s">
        <v>3206</v>
      </c>
      <c r="G42" s="3194" t="s">
        <v>3044</v>
      </c>
      <c r="H42" s="3194" t="s">
        <v>3235</v>
      </c>
      <c r="I42" s="3194">
        <v>22653</v>
      </c>
      <c r="J42" s="3194">
        <v>22653</v>
      </c>
      <c r="K42" s="3194">
        <v>1966.41</v>
      </c>
      <c r="L42" s="3194">
        <v>0</v>
      </c>
      <c r="M42" s="3194" t="s">
        <v>3233</v>
      </c>
      <c r="N42" s="3194" t="s">
        <v>3063</v>
      </c>
    </row>
    <row r="43" spans="1:14">
      <c r="A43" s="3194" t="s">
        <v>3236</v>
      </c>
      <c r="B43" s="3194" t="s">
        <v>3041</v>
      </c>
      <c r="C43" s="3194" t="s">
        <v>3116</v>
      </c>
      <c r="D43" s="3194">
        <v>21755.39</v>
      </c>
      <c r="E43" s="3194">
        <v>97899.26</v>
      </c>
      <c r="F43" s="3194" t="s">
        <v>3146</v>
      </c>
      <c r="G43" s="3194" t="s">
        <v>3044</v>
      </c>
      <c r="H43" s="3194" t="s">
        <v>3237</v>
      </c>
      <c r="I43" s="3194">
        <v>16432</v>
      </c>
      <c r="J43" s="3194">
        <v>16432</v>
      </c>
      <c r="K43" s="3194">
        <v>1678.46</v>
      </c>
      <c r="L43" s="3194">
        <v>0</v>
      </c>
      <c r="M43" s="3194" t="s">
        <v>3114</v>
      </c>
      <c r="N43" s="3194" t="s">
        <v>3047</v>
      </c>
    </row>
    <row r="44" spans="1:14">
      <c r="A44" s="3194" t="s">
        <v>3238</v>
      </c>
      <c r="B44" s="3194" t="s">
        <v>3041</v>
      </c>
      <c r="C44" s="3194" t="s">
        <v>3116</v>
      </c>
      <c r="D44" s="3194">
        <v>13507.41</v>
      </c>
      <c r="E44" s="3194">
        <v>67537.05</v>
      </c>
      <c r="F44" s="3194" t="s">
        <v>3239</v>
      </c>
      <c r="G44" s="3194" t="s">
        <v>3044</v>
      </c>
      <c r="H44" s="3194" t="s">
        <v>3240</v>
      </c>
      <c r="I44" s="3194">
        <v>13470</v>
      </c>
      <c r="J44" s="3194">
        <v>13470</v>
      </c>
      <c r="K44" s="3194">
        <v>1994.46</v>
      </c>
      <c r="L44" s="3194">
        <v>0</v>
      </c>
      <c r="M44" s="3194" t="s">
        <v>3241</v>
      </c>
      <c r="N44" s="3194" t="s">
        <v>3063</v>
      </c>
    </row>
    <row r="45" spans="1:14">
      <c r="A45" s="3194" t="s">
        <v>3242</v>
      </c>
      <c r="B45" s="3194" t="s">
        <v>3041</v>
      </c>
      <c r="C45" s="3194" t="s">
        <v>3116</v>
      </c>
      <c r="D45" s="3194">
        <v>18652.150000000001</v>
      </c>
      <c r="E45" s="3194">
        <v>93260.75</v>
      </c>
      <c r="F45" s="3194" t="s">
        <v>3239</v>
      </c>
      <c r="G45" s="3194" t="s">
        <v>3044</v>
      </c>
      <c r="H45" s="3194" t="s">
        <v>3240</v>
      </c>
      <c r="I45" s="3194">
        <v>18640</v>
      </c>
      <c r="J45" s="3194">
        <v>18640</v>
      </c>
      <c r="K45" s="3194">
        <v>1998.7</v>
      </c>
      <c r="L45" s="3194">
        <v>0</v>
      </c>
      <c r="M45" s="3194" t="s">
        <v>3241</v>
      </c>
      <c r="N45" s="3194" t="s">
        <v>3063</v>
      </c>
    </row>
    <row r="46" spans="1:14">
      <c r="A46" s="3194" t="s">
        <v>3243</v>
      </c>
      <c r="B46" s="3194" t="s">
        <v>3041</v>
      </c>
      <c r="C46" s="3194" t="s">
        <v>3116</v>
      </c>
      <c r="D46" s="3194">
        <v>51273.35</v>
      </c>
      <c r="E46" s="3194">
        <v>205093.4</v>
      </c>
      <c r="F46" s="3194" t="s">
        <v>3154</v>
      </c>
      <c r="G46" s="3194" t="s">
        <v>3044</v>
      </c>
      <c r="H46" s="3194" t="s">
        <v>3240</v>
      </c>
      <c r="I46" s="3194">
        <v>63246</v>
      </c>
      <c r="J46" s="3194">
        <v>63246</v>
      </c>
      <c r="K46" s="3194">
        <v>3083.76</v>
      </c>
      <c r="L46" s="3194">
        <v>0</v>
      </c>
      <c r="M46" s="3194" t="s">
        <v>3244</v>
      </c>
      <c r="N46" s="3194" t="s">
        <v>3063</v>
      </c>
    </row>
    <row r="47" spans="1:14">
      <c r="A47" s="3194" t="s">
        <v>3245</v>
      </c>
      <c r="B47" s="3194" t="s">
        <v>3041</v>
      </c>
      <c r="C47" s="3194" t="s">
        <v>3116</v>
      </c>
      <c r="D47" s="3194">
        <v>15894.11</v>
      </c>
      <c r="E47" s="3194">
        <v>79470.55</v>
      </c>
      <c r="F47" s="3194" t="s">
        <v>3239</v>
      </c>
      <c r="G47" s="3194" t="s">
        <v>3044</v>
      </c>
      <c r="H47" s="3194" t="s">
        <v>3240</v>
      </c>
      <c r="I47" s="3194" t="s">
        <v>2812</v>
      </c>
      <c r="J47" s="3194">
        <v>15809</v>
      </c>
      <c r="K47" s="3194">
        <v>1989.28</v>
      </c>
      <c r="L47" s="3194" t="s">
        <v>2812</v>
      </c>
      <c r="M47" s="3194" t="s">
        <v>3241</v>
      </c>
      <c r="N47" s="3194" t="s">
        <v>3063</v>
      </c>
    </row>
    <row r="48" spans="1:14">
      <c r="A48" s="3194" t="s">
        <v>3246</v>
      </c>
      <c r="B48" s="3194" t="s">
        <v>3041</v>
      </c>
      <c r="C48" s="3194" t="s">
        <v>3116</v>
      </c>
      <c r="D48" s="3194">
        <v>13480.37</v>
      </c>
      <c r="E48" s="3194">
        <v>67401.850000000006</v>
      </c>
      <c r="F48" s="3194" t="s">
        <v>3239</v>
      </c>
      <c r="G48" s="3194" t="s">
        <v>3044</v>
      </c>
      <c r="H48" s="3194" t="s">
        <v>3240</v>
      </c>
      <c r="I48" s="3194">
        <v>13430</v>
      </c>
      <c r="J48" s="3194">
        <v>13430</v>
      </c>
      <c r="K48" s="3194">
        <v>1992.52</v>
      </c>
      <c r="L48" s="3194">
        <v>0</v>
      </c>
      <c r="M48" s="3194" t="s">
        <v>3241</v>
      </c>
      <c r="N48" s="3194" t="s">
        <v>3063</v>
      </c>
    </row>
    <row r="49" spans="1:14">
      <c r="A49" s="3194" t="s">
        <v>3247</v>
      </c>
      <c r="B49" s="3194" t="s">
        <v>3041</v>
      </c>
      <c r="C49" s="3194" t="s">
        <v>3116</v>
      </c>
      <c r="D49" s="3194">
        <v>13107.46</v>
      </c>
      <c r="E49" s="3194">
        <v>65537.3</v>
      </c>
      <c r="F49" s="3194" t="s">
        <v>3239</v>
      </c>
      <c r="G49" s="3194" t="s">
        <v>3044</v>
      </c>
      <c r="H49" s="3194" t="s">
        <v>3240</v>
      </c>
      <c r="I49" s="3194" t="s">
        <v>2812</v>
      </c>
      <c r="J49" s="3194">
        <v>13133</v>
      </c>
      <c r="K49" s="3194">
        <v>2003.9</v>
      </c>
      <c r="L49" s="3194" t="s">
        <v>2812</v>
      </c>
      <c r="M49" s="3194" t="s">
        <v>3241</v>
      </c>
      <c r="N49" s="3194" t="s">
        <v>3063</v>
      </c>
    </row>
    <row r="50" spans="1:14">
      <c r="A50" s="3194" t="s">
        <v>3248</v>
      </c>
      <c r="B50" s="3194" t="s">
        <v>3041</v>
      </c>
      <c r="C50" s="3194" t="s">
        <v>3116</v>
      </c>
      <c r="D50" s="3194">
        <v>17587.18</v>
      </c>
      <c r="E50" s="3194">
        <v>52761.54</v>
      </c>
      <c r="F50" s="3194" t="s">
        <v>3249</v>
      </c>
      <c r="G50" s="3194" t="s">
        <v>3044</v>
      </c>
      <c r="H50" s="3194" t="s">
        <v>3250</v>
      </c>
      <c r="I50" s="3194">
        <v>11965</v>
      </c>
      <c r="J50" s="3194">
        <v>11965</v>
      </c>
      <c r="K50" s="3194">
        <v>2267.75</v>
      </c>
      <c r="L50" s="3194">
        <v>0</v>
      </c>
      <c r="M50" s="3194" t="s">
        <v>3251</v>
      </c>
      <c r="N50" s="3194" t="s">
        <v>3047</v>
      </c>
    </row>
    <row r="51" spans="1:14">
      <c r="A51" s="3194" t="s">
        <v>3252</v>
      </c>
      <c r="B51" s="3194" t="s">
        <v>3041</v>
      </c>
      <c r="C51" s="3194" t="s">
        <v>3116</v>
      </c>
      <c r="D51" s="3194">
        <v>22509.54</v>
      </c>
      <c r="E51" s="3194">
        <v>101292.9</v>
      </c>
      <c r="F51" s="3194" t="s">
        <v>3146</v>
      </c>
      <c r="G51" s="3194" t="s">
        <v>3044</v>
      </c>
      <c r="H51" s="3194" t="s">
        <v>3250</v>
      </c>
      <c r="I51" s="3194">
        <v>24684</v>
      </c>
      <c r="J51" s="3194">
        <v>24684</v>
      </c>
      <c r="K51" s="3194">
        <v>2436.88</v>
      </c>
      <c r="L51" s="3194">
        <v>0</v>
      </c>
      <c r="M51" s="3194" t="s">
        <v>3251</v>
      </c>
      <c r="N51" s="3194" t="s">
        <v>3047</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4"/>
      <c r="C1" s="2089"/>
      <c r="D1" s="2089"/>
      <c r="E1" s="2089"/>
      <c r="F1" s="2089"/>
      <c r="G1" s="2089"/>
      <c r="H1" s="2089"/>
      <c r="I1" s="2089"/>
      <c r="J1" s="2089"/>
      <c r="K1" s="422">
        <f>MATCH(B1,'数据-取费表'!A6:A16,0)+5</f>
        <v>7</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1022</v>
      </c>
      <c r="D13" s="451"/>
      <c r="E13" s="365"/>
      <c r="F13" s="452"/>
      <c r="G13" s="444"/>
      <c r="H13" s="447"/>
      <c r="I13" s="447"/>
      <c r="J13" s="447"/>
      <c r="K13" s="448"/>
    </row>
    <row r="14" spans="1:41" s="2101" customFormat="1" ht="13.5" customHeight="1">
      <c r="A14" s="1618" t="s">
        <v>1848</v>
      </c>
      <c r="B14" s="449" t="s">
        <v>479</v>
      </c>
      <c r="C14" s="53">
        <f ca="1">ROUND(C13*F14,0)</f>
        <v>51</v>
      </c>
      <c r="D14" s="451"/>
      <c r="E14" s="365"/>
      <c r="F14" s="453">
        <f>'数据-取费表'!B33</f>
        <v>0.05</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51</v>
      </c>
      <c r="D15" s="451"/>
      <c r="E15" s="365"/>
      <c r="F15" s="453">
        <f>'数据-取费表'!B34</f>
        <v>0.05</v>
      </c>
      <c r="G15" s="444" t="s">
        <v>501</v>
      </c>
      <c r="H15" s="447"/>
      <c r="I15" s="447"/>
      <c r="J15" s="447"/>
      <c r="K15" s="448"/>
    </row>
    <row r="16" spans="1:41" s="2102" customFormat="1" ht="13.5" customHeight="1">
      <c r="A16" s="1618" t="s">
        <v>1850</v>
      </c>
      <c r="B16" s="449" t="s">
        <v>483</v>
      </c>
      <c r="C16" s="53">
        <f ca="1">ROUND(D16*E16/10000,0)</f>
        <v>82</v>
      </c>
      <c r="D16" s="451">
        <f ca="1">IF(B1="",'数据-汇总表'!E3,INDIRECT("'数据-取费表'!K"&amp;$K$1)+INDIRECT("'数据-取费表'!S"&amp;$K$1))</f>
        <v>4086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15</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1221</v>
      </c>
      <c r="D18" s="461"/>
      <c r="E18" s="462"/>
      <c r="F18" s="462"/>
      <c r="G18" s="1322" t="s">
        <v>2429</v>
      </c>
      <c r="H18" s="447"/>
      <c r="I18" s="447"/>
      <c r="J18" s="447"/>
      <c r="K18" s="448"/>
    </row>
    <row r="19" spans="1:14" s="2104" customFormat="1" ht="13.5" customHeight="1">
      <c r="A19" s="1619" t="s">
        <v>1853</v>
      </c>
      <c r="B19" s="459" t="s">
        <v>492</v>
      </c>
      <c r="C19" s="460">
        <f ca="1">ROUND(C18*F19,0)</f>
        <v>37</v>
      </c>
      <c r="D19" s="462"/>
      <c r="E19" s="462"/>
      <c r="F19" s="466">
        <f>'数据-取费表'!B37</f>
        <v>0.03</v>
      </c>
      <c r="G19" s="444" t="s">
        <v>502</v>
      </c>
      <c r="H19" s="447"/>
      <c r="I19" s="447"/>
      <c r="J19" s="447"/>
      <c r="K19" s="448"/>
      <c r="L19" s="2106"/>
      <c r="M19" s="2106"/>
      <c r="N19" s="2106"/>
    </row>
    <row r="20" spans="1:14" s="2104" customFormat="1" ht="13.5" customHeight="1">
      <c r="A20" s="1619" t="s">
        <v>1854</v>
      </c>
      <c r="B20" s="459" t="s">
        <v>503</v>
      </c>
      <c r="C20" s="2982">
        <f>F20</f>
        <v>0.03</v>
      </c>
      <c r="D20" s="469" t="s">
        <v>504</v>
      </c>
      <c r="E20" s="469"/>
      <c r="F20" s="486">
        <f>'数据-取费表'!B38</f>
        <v>0.03</v>
      </c>
      <c r="G20" s="1322" t="s">
        <v>505</v>
      </c>
      <c r="H20" s="447"/>
      <c r="I20" s="447"/>
      <c r="J20" s="447"/>
      <c r="K20" s="448"/>
      <c r="L20" s="2106"/>
      <c r="M20" s="2106"/>
      <c r="N20" s="2106"/>
    </row>
    <row r="21" spans="1:14" s="2106" customFormat="1" ht="13.5" customHeight="1">
      <c r="A21" s="1619" t="s">
        <v>1857</v>
      </c>
      <c r="B21" s="461" t="s">
        <v>493</v>
      </c>
      <c r="C21" s="470">
        <f ca="1">C22</f>
        <v>45</v>
      </c>
      <c r="D21" s="467">
        <f ca="1">C23</f>
        <v>1.1000000000000001E-3</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2450</v>
      </c>
    </row>
    <row r="22" spans="1:14" s="2105" customFormat="1" ht="13.5" customHeight="1">
      <c r="A22" s="1618" t="s">
        <v>1847</v>
      </c>
      <c r="B22" s="1323" t="s">
        <v>2432</v>
      </c>
      <c r="C22" s="487">
        <f ca="1">ROUND(IF('数据-取费表'!B22&lt;=1,(C18+C19)*F21*'数据-取费表'!B20/2,(C18+C19)*(POWER((1+F21),'数据-取费表'!B20/2)-1)),0)</f>
        <v>45</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507</v>
      </c>
      <c r="C23" s="488">
        <f ca="1">ROUND(IF('数据-取费表'!B22&lt;=1,F20*F21*'数据-取费表'!B20/2,F20*(POWER((1+F21),'数据-取费表'!B20/2)-1)),4)</f>
        <v>1.1000000000000001E-3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4" t="s">
        <v>2826</v>
      </c>
      <c r="C24" s="478">
        <f ca="1">C25</f>
        <v>189</v>
      </c>
      <c r="D24" s="489">
        <f ca="1">C26</f>
        <v>4.4999999999999997E-3</v>
      </c>
      <c r="E24" s="469" t="s">
        <v>506</v>
      </c>
      <c r="F24" s="479">
        <f ca="1">IF(B1="",'数据-取费表'!Q16,INDIRECT("'数据-取费表'!q"&amp;$K$1))</f>
        <v>0.15</v>
      </c>
      <c r="G24" s="444"/>
      <c r="H24" s="447"/>
      <c r="I24" s="447"/>
      <c r="J24" s="447"/>
      <c r="K24" s="448"/>
    </row>
    <row r="25" spans="1:14" s="2105" customFormat="1" ht="13.5" customHeight="1">
      <c r="A25" s="1618" t="s">
        <v>1847</v>
      </c>
      <c r="B25" s="1323" t="s">
        <v>2433</v>
      </c>
      <c r="C25" s="490">
        <f ca="1">ROUND((C18+C19)*F24,0)</f>
        <v>189</v>
      </c>
      <c r="D25" s="472"/>
      <c r="E25" s="473"/>
      <c r="F25" s="480"/>
      <c r="G25" s="1321" t="s">
        <v>2430</v>
      </c>
      <c r="H25" s="457"/>
      <c r="I25" s="457"/>
      <c r="J25" s="457"/>
      <c r="K25" s="458"/>
    </row>
    <row r="26" spans="1:14" s="2105" customFormat="1" ht="13.5" customHeight="1">
      <c r="A26" s="1618" t="s">
        <v>1848</v>
      </c>
      <c r="B26" s="1323" t="s">
        <v>508</v>
      </c>
      <c r="C26" s="491">
        <f ca="1">ROUND(F20*F24,4)</f>
        <v>4.4999999999999997E-3</v>
      </c>
      <c r="D26" s="472"/>
      <c r="E26" s="481"/>
      <c r="F26" s="480"/>
      <c r="G26" s="1321" t="s">
        <v>509</v>
      </c>
      <c r="H26" s="457"/>
      <c r="I26" s="457"/>
      <c r="J26" s="457"/>
      <c r="K26" s="458"/>
    </row>
    <row r="27" spans="1:14" s="2105" customFormat="1" ht="13.5" customHeight="1">
      <c r="A27" s="1622" t="s">
        <v>1866</v>
      </c>
      <c r="B27" s="459" t="s">
        <v>510</v>
      </c>
      <c r="C27" s="2983">
        <f>ROUND(F27/(1+'数据-取费表'!C42),4)</f>
        <v>5.33E-2</v>
      </c>
      <c r="D27" s="462" t="s">
        <v>2824</v>
      </c>
      <c r="E27" s="462"/>
      <c r="F27" s="466">
        <f>'数据-取费表'!B41</f>
        <v>5.6000000000000001E-2</v>
      </c>
      <c r="G27" s="1945" t="s">
        <v>2288</v>
      </c>
      <c r="H27" s="447"/>
      <c r="I27" s="447"/>
      <c r="J27" s="447"/>
      <c r="K27" s="448"/>
    </row>
    <row r="28" spans="1:14" s="2106" customFormat="1" ht="13.5" customHeight="1">
      <c r="A28" s="1622" t="s">
        <v>1867</v>
      </c>
      <c r="B28" s="476" t="s">
        <v>511</v>
      </c>
      <c r="C28" s="470">
        <f ca="1">ROUND((C18+C19+C21+C24)/(1-C20-D21-D24-C27),0)</f>
        <v>1638</v>
      </c>
      <c r="D28" s="477"/>
      <c r="E28" s="469"/>
      <c r="F28" s="471"/>
      <c r="G28" s="1322" t="s">
        <v>2431</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4" t="s">
        <v>514</v>
      </c>
      <c r="H30" s="496"/>
      <c r="I30" s="496"/>
      <c r="J30" s="447"/>
      <c r="K30" s="448"/>
    </row>
    <row r="31" spans="1:14" s="2111" customFormat="1" ht="13.5" customHeight="1">
      <c r="A31" s="2446" t="s">
        <v>1864</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75" style="1332" customWidth="1"/>
    <col min="17" max="17" width="19.5" style="1332" customWidth="1"/>
    <col min="18" max="22" width="6.125" style="1332" customWidth="1"/>
    <col min="23" max="23" width="5.75" style="1332" customWidth="1"/>
    <col min="24" max="24" width="4.1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520</v>
      </c>
      <c r="B6" s="513"/>
      <c r="C6" s="3399" t="s">
        <v>521</v>
      </c>
      <c r="D6" s="3400"/>
      <c r="E6" s="3424" t="s">
        <v>522</v>
      </c>
      <c r="F6" s="3425"/>
      <c r="G6" s="3399" t="s">
        <v>523</v>
      </c>
      <c r="H6" s="3400"/>
      <c r="I6" s="3399" t="s">
        <v>524</v>
      </c>
      <c r="J6" s="3400"/>
      <c r="K6" s="514" t="s">
        <v>525</v>
      </c>
      <c r="L6" s="2118"/>
      <c r="M6" s="2119"/>
      <c r="N6" s="2119"/>
      <c r="O6" s="2119"/>
      <c r="P6" s="3401" t="s">
        <v>526</v>
      </c>
      <c r="Q6" s="3402"/>
      <c r="R6" s="3387" t="s">
        <v>522</v>
      </c>
      <c r="S6" s="3388"/>
      <c r="T6" s="3387" t="s">
        <v>523</v>
      </c>
      <c r="U6" s="3388"/>
      <c r="V6" s="3407" t="s">
        <v>524</v>
      </c>
      <c r="W6" s="3407"/>
      <c r="X6" s="1553"/>
      <c r="Y6" s="3387" t="s">
        <v>526</v>
      </c>
      <c r="Z6" s="3388"/>
      <c r="AA6" s="3382" t="s">
        <v>522</v>
      </c>
      <c r="AB6" s="3383" t="s">
        <v>523</v>
      </c>
      <c r="AC6" s="3382" t="s">
        <v>524</v>
      </c>
    </row>
    <row r="7" spans="1:29" ht="15">
      <c r="A7" s="515"/>
      <c r="B7" s="516"/>
      <c r="C7" s="3412" t="s">
        <v>2914</v>
      </c>
      <c r="D7" s="3411"/>
      <c r="E7" s="3426" t="s">
        <v>2915</v>
      </c>
      <c r="F7" s="3427"/>
      <c r="G7" s="3412" t="s">
        <v>2916</v>
      </c>
      <c r="H7" s="3411"/>
      <c r="I7" s="3412" t="s">
        <v>2917</v>
      </c>
      <c r="J7" s="3411"/>
      <c r="K7" s="514"/>
      <c r="L7" s="2118"/>
      <c r="M7" s="2119"/>
      <c r="N7" s="2119"/>
      <c r="O7" s="2119"/>
      <c r="P7" s="3403"/>
      <c r="Q7" s="3404"/>
      <c r="R7" s="3389"/>
      <c r="S7" s="3390"/>
      <c r="T7" s="3389"/>
      <c r="U7" s="3390"/>
      <c r="V7" s="3407"/>
      <c r="W7" s="3407"/>
      <c r="X7" s="1553"/>
      <c r="Y7" s="3389"/>
      <c r="Z7" s="3390"/>
      <c r="AA7" s="3383"/>
      <c r="AB7" s="3383"/>
      <c r="AC7" s="3383"/>
    </row>
    <row r="8" spans="1:29" ht="15.75" thickBot="1">
      <c r="A8" s="517"/>
      <c r="B8" s="518"/>
      <c r="C8" s="3408" t="s">
        <v>2918</v>
      </c>
      <c r="D8" s="3409"/>
      <c r="E8" s="3428" t="s">
        <v>2918</v>
      </c>
      <c r="F8" s="3429"/>
      <c r="G8" s="3408" t="s">
        <v>2918</v>
      </c>
      <c r="H8" s="3409"/>
      <c r="I8" s="3408" t="s">
        <v>2918</v>
      </c>
      <c r="J8" s="3409"/>
      <c r="K8" s="514" t="s">
        <v>527</v>
      </c>
      <c r="L8" s="2118"/>
      <c r="M8" s="2119"/>
      <c r="N8" s="2119"/>
      <c r="O8" s="2119"/>
      <c r="P8" s="3405"/>
      <c r="Q8" s="3406"/>
      <c r="R8" s="3389"/>
      <c r="S8" s="3390"/>
      <c r="T8" s="3391"/>
      <c r="U8" s="3392"/>
      <c r="V8" s="3407"/>
      <c r="W8" s="3407"/>
      <c r="X8" s="1553"/>
      <c r="Y8" s="3391"/>
      <c r="Z8" s="3392"/>
      <c r="AA8" s="3384"/>
      <c r="AB8" s="3384"/>
      <c r="AC8" s="3384"/>
    </row>
    <row r="9" spans="1:29" s="1215" customFormat="1" ht="15.75" thickBot="1">
      <c r="A9" s="2867"/>
      <c r="B9" s="2874" t="s">
        <v>528</v>
      </c>
      <c r="C9" s="519">
        <f>'数据-取费表'!B2</f>
        <v>43961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85" t="s">
        <v>529</v>
      </c>
      <c r="Q9" s="3394"/>
      <c r="R9" s="1554" t="s">
        <v>8</v>
      </c>
      <c r="S9" s="1555">
        <f t="shared" ref="S9:S17" si="0">F9</f>
        <v>0</v>
      </c>
      <c r="T9" s="1554" t="s">
        <v>8</v>
      </c>
      <c r="U9" s="1555">
        <f t="shared" ref="U9:U17" si="1">H9</f>
        <v>0</v>
      </c>
      <c r="V9" s="1554" t="s">
        <v>8</v>
      </c>
      <c r="W9" s="1555">
        <f t="shared" ref="W9:W17" si="2">J9</f>
        <v>0</v>
      </c>
      <c r="X9" s="1556"/>
      <c r="Y9" s="3385" t="s">
        <v>529</v>
      </c>
      <c r="Z9" s="3386"/>
      <c r="AA9" s="1557" t="e">
        <f>D9/F9</f>
        <v>#DIV/0!</v>
      </c>
      <c r="AB9" s="1557" t="e">
        <f>D9/H9</f>
        <v>#DIV/0!</v>
      </c>
      <c r="AC9" s="1557" t="e">
        <f>D9/J9</f>
        <v>#DIV/0!</v>
      </c>
    </row>
    <row r="10" spans="1:29" s="1215" customFormat="1" ht="15.7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85" t="s">
        <v>532</v>
      </c>
      <c r="Q10" s="3386"/>
      <c r="R10" s="1554" t="s">
        <v>8</v>
      </c>
      <c r="S10" s="1555">
        <f t="shared" si="0"/>
        <v>0</v>
      </c>
      <c r="T10" s="1554" t="s">
        <v>8</v>
      </c>
      <c r="U10" s="1555">
        <f t="shared" si="1"/>
        <v>0</v>
      </c>
      <c r="V10" s="1554" t="s">
        <v>8</v>
      </c>
      <c r="W10" s="1555">
        <f t="shared" si="2"/>
        <v>0</v>
      </c>
      <c r="X10" s="1556"/>
      <c r="Y10" s="3385" t="s">
        <v>532</v>
      </c>
      <c r="Z10" s="3386"/>
      <c r="AA10" s="1557" t="e">
        <f t="shared" ref="AA10:AA42" si="3">D10/F10</f>
        <v>#DIV/0!</v>
      </c>
      <c r="AB10" s="1557" t="e">
        <f t="shared" ref="AB10:AB42" si="4">D10/H10</f>
        <v>#DIV/0!</v>
      </c>
      <c r="AC10" s="1557" t="e">
        <f t="shared" ref="AC10:AC42" si="5">D10/J10</f>
        <v>#DIV/0!</v>
      </c>
    </row>
    <row r="11" spans="1:29" s="1215" customFormat="1" ht="15">
      <c r="A11" s="2869"/>
      <c r="B11" s="2876"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93" t="s">
        <v>534</v>
      </c>
      <c r="Q11" s="1146" t="str">
        <f t="shared" ref="Q11:Q17" si="6">B11</f>
        <v>用途</v>
      </c>
      <c r="R11" s="1554" t="s">
        <v>8</v>
      </c>
      <c r="S11" s="1555">
        <f t="shared" si="0"/>
        <v>100</v>
      </c>
      <c r="T11" s="1554" t="s">
        <v>8</v>
      </c>
      <c r="U11" s="1555">
        <f t="shared" si="1"/>
        <v>100</v>
      </c>
      <c r="V11" s="1554" t="s">
        <v>8</v>
      </c>
      <c r="W11" s="1555">
        <f t="shared" si="2"/>
        <v>100</v>
      </c>
      <c r="X11" s="1556"/>
      <c r="Y11" s="3350" t="s">
        <v>535</v>
      </c>
      <c r="Z11" s="1145" t="str">
        <f t="shared" ref="Z11:Z17" si="7">Q11</f>
        <v>用途</v>
      </c>
      <c r="AA11" s="1557">
        <f t="shared" si="3"/>
        <v>1</v>
      </c>
      <c r="AB11" s="1557">
        <f t="shared" si="4"/>
        <v>1</v>
      </c>
      <c r="AC11" s="1557">
        <f t="shared" si="5"/>
        <v>1</v>
      </c>
    </row>
    <row r="12" spans="1:29" s="1333" customFormat="1" ht="27">
      <c r="A12" s="2870"/>
      <c r="B12" s="2875" t="s">
        <v>2751</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93"/>
      <c r="Q12" s="1146" t="str">
        <f t="shared" si="6"/>
        <v>土地使用年限（年）</v>
      </c>
      <c r="R12" s="1554" t="s">
        <v>8</v>
      </c>
      <c r="S12" s="1555">
        <f t="shared" si="0"/>
        <v>101</v>
      </c>
      <c r="T12" s="1554" t="s">
        <v>8</v>
      </c>
      <c r="U12" s="1555">
        <f t="shared" si="1"/>
        <v>101</v>
      </c>
      <c r="V12" s="1554" t="s">
        <v>8</v>
      </c>
      <c r="W12" s="1555">
        <f t="shared" si="2"/>
        <v>101</v>
      </c>
      <c r="X12" s="1556"/>
      <c r="Y12" s="3350"/>
      <c r="Z12" s="1145" t="str">
        <f t="shared" si="7"/>
        <v>土地使用年限（年）</v>
      </c>
      <c r="AA12" s="1557">
        <f t="shared" si="3"/>
        <v>0.99009900990099009</v>
      </c>
      <c r="AB12" s="1557">
        <f t="shared" si="4"/>
        <v>0.99009900990099009</v>
      </c>
      <c r="AC12" s="1557">
        <f t="shared" si="5"/>
        <v>0.99009900990099009</v>
      </c>
    </row>
    <row r="13" spans="1:29" ht="15">
      <c r="A13" s="2871"/>
      <c r="B13" s="287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93"/>
      <c r="Q13" s="1146" t="str">
        <f t="shared" si="6"/>
        <v>容积率</v>
      </c>
      <c r="R13" s="1554" t="s">
        <v>8</v>
      </c>
      <c r="S13" s="1555" t="e">
        <f t="shared" si="0"/>
        <v>#N/A</v>
      </c>
      <c r="T13" s="1554" t="s">
        <v>8</v>
      </c>
      <c r="U13" s="1555" t="e">
        <f t="shared" si="1"/>
        <v>#N/A</v>
      </c>
      <c r="V13" s="1554" t="s">
        <v>8</v>
      </c>
      <c r="W13" s="1555" t="e">
        <f t="shared" si="2"/>
        <v>#N/A</v>
      </c>
      <c r="X13" s="1556"/>
      <c r="Y13" s="3350"/>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93"/>
      <c r="Q14" s="1146">
        <f t="shared" si="6"/>
        <v>111</v>
      </c>
      <c r="R14" s="1554" t="s">
        <v>8</v>
      </c>
      <c r="S14" s="1555">
        <f t="shared" si="0"/>
        <v>100</v>
      </c>
      <c r="T14" s="1554" t="s">
        <v>8</v>
      </c>
      <c r="U14" s="1555">
        <f t="shared" si="1"/>
        <v>100</v>
      </c>
      <c r="V14" s="1554" t="s">
        <v>8</v>
      </c>
      <c r="W14" s="1555">
        <f t="shared" si="2"/>
        <v>100</v>
      </c>
      <c r="X14" s="1556"/>
      <c r="Y14" s="3350"/>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93"/>
      <c r="Q15" s="1146">
        <f t="shared" si="6"/>
        <v>111</v>
      </c>
      <c r="R15" s="1554" t="s">
        <v>8</v>
      </c>
      <c r="S15" s="1555">
        <f t="shared" si="0"/>
        <v>100</v>
      </c>
      <c r="T15" s="1554" t="s">
        <v>8</v>
      </c>
      <c r="U15" s="1555">
        <f t="shared" si="1"/>
        <v>100</v>
      </c>
      <c r="V15" s="1554" t="s">
        <v>8</v>
      </c>
      <c r="W15" s="1555">
        <f t="shared" si="2"/>
        <v>100</v>
      </c>
      <c r="X15" s="1556"/>
      <c r="Y15" s="3350"/>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93"/>
      <c r="Q16" s="1146">
        <f t="shared" si="6"/>
        <v>111</v>
      </c>
      <c r="R16" s="1554" t="s">
        <v>8</v>
      </c>
      <c r="S16" s="1555">
        <f t="shared" si="0"/>
        <v>100</v>
      </c>
      <c r="T16" s="1554" t="s">
        <v>8</v>
      </c>
      <c r="U16" s="1555">
        <f t="shared" si="1"/>
        <v>100</v>
      </c>
      <c r="V16" s="1554" t="s">
        <v>8</v>
      </c>
      <c r="W16" s="1555">
        <f t="shared" si="2"/>
        <v>100</v>
      </c>
      <c r="X16" s="1556"/>
      <c r="Y16" s="3350"/>
      <c r="Z16" s="1145">
        <f t="shared" si="7"/>
        <v>111</v>
      </c>
      <c r="AA16" s="1557">
        <f t="shared" si="3"/>
        <v>1</v>
      </c>
      <c r="AB16" s="1557">
        <f t="shared" si="4"/>
        <v>1</v>
      </c>
      <c r="AC16" s="1557">
        <f t="shared" si="5"/>
        <v>1</v>
      </c>
    </row>
    <row r="17" spans="1:29" ht="15">
      <c r="A17" s="2865" t="s">
        <v>2748</v>
      </c>
      <c r="B17" s="166" t="s">
        <v>597</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95" t="s">
        <v>539</v>
      </c>
      <c r="Q17" s="1558" t="str">
        <f t="shared" si="6"/>
        <v>产业集聚程度</v>
      </c>
      <c r="R17" s="1559" t="s">
        <v>8</v>
      </c>
      <c r="S17" s="1560">
        <f t="shared" si="0"/>
        <v>100</v>
      </c>
      <c r="T17" s="1559" t="s">
        <v>8</v>
      </c>
      <c r="U17" s="1560">
        <f t="shared" si="1"/>
        <v>100</v>
      </c>
      <c r="V17" s="1559" t="s">
        <v>8</v>
      </c>
      <c r="W17" s="1560">
        <f t="shared" si="2"/>
        <v>100</v>
      </c>
      <c r="X17" s="1553"/>
      <c r="Y17" s="3395"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96"/>
      <c r="Q18" s="1558"/>
      <c r="R18" s="1559"/>
      <c r="S18" s="1560"/>
      <c r="T18" s="1559"/>
      <c r="U18" s="1560"/>
      <c r="V18" s="1559"/>
      <c r="W18" s="1560"/>
      <c r="X18" s="1553"/>
      <c r="Y18" s="3396"/>
      <c r="Z18" s="1561"/>
      <c r="AA18" s="1562">
        <v>1</v>
      </c>
      <c r="AB18" s="1562">
        <v>1</v>
      </c>
      <c r="AC18" s="1562">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6"/>
      <c r="Q19" s="1558" t="str">
        <f>B19</f>
        <v>交通便捷度</v>
      </c>
      <c r="R19" s="1559" t="s">
        <v>8</v>
      </c>
      <c r="S19" s="1560">
        <f>F19</f>
        <v>100</v>
      </c>
      <c r="T19" s="1559" t="s">
        <v>8</v>
      </c>
      <c r="U19" s="1560">
        <f>H19</f>
        <v>100</v>
      </c>
      <c r="V19" s="1559" t="s">
        <v>8</v>
      </c>
      <c r="W19" s="1560">
        <f>J19</f>
        <v>100</v>
      </c>
      <c r="X19" s="1553"/>
      <c r="Y19" s="3396"/>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396"/>
      <c r="Q20" s="1558"/>
      <c r="R20" s="1559"/>
      <c r="S20" s="1560"/>
      <c r="T20" s="1559"/>
      <c r="U20" s="1560"/>
      <c r="V20" s="1559"/>
      <c r="W20" s="1560"/>
      <c r="X20" s="1553"/>
      <c r="Y20" s="3396"/>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96"/>
      <c r="Q21" s="1558" t="str">
        <f t="shared" ref="Q21:Q35" si="8">B21</f>
        <v>区域土地利用方向</v>
      </c>
      <c r="R21" s="1559" t="s">
        <v>8</v>
      </c>
      <c r="S21" s="1560">
        <f>F21</f>
        <v>100</v>
      </c>
      <c r="T21" s="1559" t="s">
        <v>8</v>
      </c>
      <c r="U21" s="1560">
        <f>H21</f>
        <v>100</v>
      </c>
      <c r="V21" s="1559" t="s">
        <v>8</v>
      </c>
      <c r="W21" s="1560">
        <f>J21</f>
        <v>100</v>
      </c>
      <c r="X21" s="1553"/>
      <c r="Y21" s="3396"/>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96"/>
      <c r="Q22" s="1558"/>
      <c r="R22" s="1559"/>
      <c r="S22" s="1560"/>
      <c r="T22" s="1559"/>
      <c r="U22" s="1560"/>
      <c r="V22" s="1559"/>
      <c r="W22" s="1560"/>
      <c r="X22" s="1553"/>
      <c r="Y22" s="3396"/>
      <c r="Z22" s="1561"/>
      <c r="AA22" s="1562"/>
      <c r="AB22" s="1562"/>
      <c r="AC22" s="1562"/>
    </row>
    <row r="23" spans="1:29" ht="15">
      <c r="A23" s="515"/>
      <c r="B23" s="921"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6"/>
      <c r="Q23" s="1558" t="str">
        <f t="shared" si="8"/>
        <v>环境状况</v>
      </c>
      <c r="R23" s="1559" t="s">
        <v>8</v>
      </c>
      <c r="S23" s="1560">
        <f>F23</f>
        <v>100</v>
      </c>
      <c r="T23" s="1559" t="s">
        <v>8</v>
      </c>
      <c r="U23" s="1560">
        <f>H23</f>
        <v>100</v>
      </c>
      <c r="V23" s="1559" t="s">
        <v>8</v>
      </c>
      <c r="W23" s="1560">
        <f>J23</f>
        <v>100</v>
      </c>
      <c r="X23" s="1553"/>
      <c r="Y23" s="3396"/>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96"/>
      <c r="Q24" s="1558"/>
      <c r="R24" s="1559"/>
      <c r="S24" s="1560"/>
      <c r="T24" s="1559"/>
      <c r="U24" s="1560"/>
      <c r="V24" s="1559"/>
      <c r="W24" s="1560"/>
      <c r="X24" s="1553"/>
      <c r="Y24" s="3396"/>
      <c r="Z24" s="1561"/>
      <c r="AA24" s="1562">
        <v>1</v>
      </c>
      <c r="AB24" s="1562">
        <v>1</v>
      </c>
      <c r="AC24" s="1562">
        <v>1</v>
      </c>
    </row>
    <row r="25" spans="1:29" s="1215" customFormat="1" ht="15">
      <c r="A25" s="577"/>
      <c r="B25" s="2557" t="s">
        <v>2543</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6"/>
      <c r="Q25" s="1146" t="str">
        <f t="shared" si="8"/>
        <v>公共配套设施</v>
      </c>
      <c r="R25" s="1554" t="s">
        <v>8</v>
      </c>
      <c r="S25" s="1555">
        <f>F25</f>
        <v>100</v>
      </c>
      <c r="T25" s="1554" t="s">
        <v>8</v>
      </c>
      <c r="U25" s="1555">
        <f>H25</f>
        <v>100</v>
      </c>
      <c r="V25" s="1554" t="s">
        <v>8</v>
      </c>
      <c r="W25" s="1555">
        <f>J25</f>
        <v>100</v>
      </c>
      <c r="X25" s="1556"/>
      <c r="Y25" s="3396"/>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396"/>
      <c r="Q26" s="1146"/>
      <c r="R26" s="1554"/>
      <c r="S26" s="1555"/>
      <c r="T26" s="1554"/>
      <c r="U26" s="1555"/>
      <c r="V26" s="1554"/>
      <c r="W26" s="1555"/>
      <c r="X26" s="1556"/>
      <c r="Y26" s="3396"/>
      <c r="Z26" s="1145"/>
      <c r="AA26" s="1557">
        <v>1</v>
      </c>
      <c r="AB26" s="1557">
        <v>1</v>
      </c>
      <c r="AC26" s="1557">
        <v>1</v>
      </c>
    </row>
    <row r="27" spans="1:29" s="1215" customFormat="1" ht="15">
      <c r="A27" s="577"/>
      <c r="B27" s="2557" t="s">
        <v>2544</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6"/>
      <c r="Q27" s="2542" t="str">
        <f t="shared" ref="Q27" si="9">B27</f>
        <v>基础设施水平</v>
      </c>
      <c r="R27" s="1554" t="s">
        <v>8</v>
      </c>
      <c r="S27" s="1555">
        <f>F27</f>
        <v>100</v>
      </c>
      <c r="T27" s="1554" t="s">
        <v>8</v>
      </c>
      <c r="U27" s="1555">
        <f>H27</f>
        <v>100</v>
      </c>
      <c r="V27" s="1554" t="s">
        <v>8</v>
      </c>
      <c r="W27" s="1555">
        <f>J27</f>
        <v>100</v>
      </c>
      <c r="X27" s="1556"/>
      <c r="Y27" s="3396"/>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396"/>
      <c r="Q28" s="2542"/>
      <c r="R28" s="1554"/>
      <c r="S28" s="1555"/>
      <c r="T28" s="1554"/>
      <c r="U28" s="1555"/>
      <c r="V28" s="1554"/>
      <c r="W28" s="1555"/>
      <c r="X28" s="1556"/>
      <c r="Y28" s="3396"/>
      <c r="Z28" s="2539"/>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6"/>
      <c r="Z29" s="1561" t="str">
        <f t="shared" ref="Z29:Z42" si="13">Q29</f>
        <v>临街状况</v>
      </c>
      <c r="AA29" s="1562">
        <f t="shared" si="3"/>
        <v>1</v>
      </c>
      <c r="AB29" s="1562">
        <f t="shared" si="4"/>
        <v>1</v>
      </c>
      <c r="AC29" s="1562">
        <f t="shared" si="5"/>
        <v>1</v>
      </c>
    </row>
    <row r="30" spans="1:29" ht="27">
      <c r="A30" s="532"/>
      <c r="B30" s="921"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6"/>
      <c r="Q30" s="1558" t="str">
        <f t="shared" si="8"/>
        <v>毗邻道路的类型与等级</v>
      </c>
      <c r="R30" s="1559" t="s">
        <v>8</v>
      </c>
      <c r="S30" s="1560">
        <f t="shared" si="10"/>
        <v>100</v>
      </c>
      <c r="T30" s="1559" t="s">
        <v>8</v>
      </c>
      <c r="U30" s="1560">
        <f t="shared" si="11"/>
        <v>100</v>
      </c>
      <c r="V30" s="1559" t="s">
        <v>8</v>
      </c>
      <c r="W30" s="1560">
        <f t="shared" si="12"/>
        <v>100</v>
      </c>
      <c r="X30" s="1553"/>
      <c r="Y30" s="3396"/>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96"/>
      <c r="Q31" s="1558"/>
      <c r="R31" s="1559"/>
      <c r="S31" s="1560"/>
      <c r="T31" s="1559"/>
      <c r="U31" s="1560"/>
      <c r="V31" s="1559"/>
      <c r="W31" s="1560"/>
      <c r="X31" s="1553"/>
      <c r="Y31" s="3396"/>
      <c r="Z31" s="1561"/>
      <c r="AA31" s="1562">
        <v>1</v>
      </c>
      <c r="AB31" s="1562">
        <v>1</v>
      </c>
      <c r="AC31" s="1562">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6"/>
      <c r="Q32" s="1558" t="str">
        <f t="shared" si="8"/>
        <v>土地级别</v>
      </c>
      <c r="R32" s="1559" t="s">
        <v>8</v>
      </c>
      <c r="S32" s="1560">
        <f t="shared" si="10"/>
        <v>100</v>
      </c>
      <c r="T32" s="1559" t="s">
        <v>8</v>
      </c>
      <c r="U32" s="1560">
        <f t="shared" si="11"/>
        <v>100</v>
      </c>
      <c r="V32" s="1559" t="s">
        <v>8</v>
      </c>
      <c r="W32" s="1560">
        <f t="shared" si="12"/>
        <v>100</v>
      </c>
      <c r="X32" s="1553"/>
      <c r="Y32" s="3396"/>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6"/>
      <c r="Q33" s="1558">
        <f t="shared" si="8"/>
        <v>111</v>
      </c>
      <c r="R33" s="1559" t="s">
        <v>8</v>
      </c>
      <c r="S33" s="1560">
        <f t="shared" si="10"/>
        <v>100</v>
      </c>
      <c r="T33" s="1559" t="s">
        <v>8</v>
      </c>
      <c r="U33" s="1560">
        <f t="shared" si="11"/>
        <v>100</v>
      </c>
      <c r="V33" s="1559" t="s">
        <v>8</v>
      </c>
      <c r="W33" s="1560">
        <f t="shared" si="12"/>
        <v>100</v>
      </c>
      <c r="X33" s="1553"/>
      <c r="Y33" s="3396"/>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97" t="s">
        <v>549</v>
      </c>
      <c r="Q34" s="1558">
        <f t="shared" si="8"/>
        <v>111</v>
      </c>
      <c r="R34" s="1559" t="s">
        <v>8</v>
      </c>
      <c r="S34" s="1560">
        <f t="shared" si="10"/>
        <v>100</v>
      </c>
      <c r="T34" s="1559" t="s">
        <v>8</v>
      </c>
      <c r="U34" s="1560">
        <f t="shared" si="11"/>
        <v>100</v>
      </c>
      <c r="V34" s="1559" t="s">
        <v>8</v>
      </c>
      <c r="W34" s="1560">
        <f t="shared" si="12"/>
        <v>100</v>
      </c>
      <c r="X34" s="1553"/>
      <c r="Y34" s="3398" t="s">
        <v>549</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98"/>
      <c r="Q35" s="1558">
        <f t="shared" si="8"/>
        <v>111</v>
      </c>
      <c r="R35" s="1563" t="s">
        <v>8</v>
      </c>
      <c r="S35" s="1564">
        <f t="shared" si="10"/>
        <v>100</v>
      </c>
      <c r="T35" s="1563" t="s">
        <v>8</v>
      </c>
      <c r="U35" s="1564">
        <f t="shared" si="11"/>
        <v>100</v>
      </c>
      <c r="V35" s="1563" t="s">
        <v>8</v>
      </c>
      <c r="W35" s="1564">
        <f t="shared" si="12"/>
        <v>100</v>
      </c>
      <c r="X35" s="1565"/>
      <c r="Y35" s="3398"/>
      <c r="Z35" s="1566">
        <f t="shared" si="13"/>
        <v>111</v>
      </c>
      <c r="AA35" s="1562">
        <f t="shared" si="3"/>
        <v>1</v>
      </c>
      <c r="AB35" s="1562">
        <f t="shared" si="4"/>
        <v>1</v>
      </c>
      <c r="AC35" s="1562">
        <f t="shared" si="5"/>
        <v>1</v>
      </c>
    </row>
    <row r="36" spans="1:29" ht="15">
      <c r="A36" s="2862" t="s">
        <v>2749</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98"/>
      <c r="Q36" s="1558" t="str">
        <f>B36</f>
        <v>宗地面积</v>
      </c>
      <c r="R36" s="1559" t="s">
        <v>8</v>
      </c>
      <c r="S36" s="1560" t="e">
        <f t="shared" si="10"/>
        <v>#N/A</v>
      </c>
      <c r="T36" s="1559" t="s">
        <v>8</v>
      </c>
      <c r="U36" s="1560" t="e">
        <f t="shared" si="11"/>
        <v>#N/A</v>
      </c>
      <c r="V36" s="1559" t="s">
        <v>8</v>
      </c>
      <c r="W36" s="1560" t="e">
        <f t="shared" si="12"/>
        <v>#N/A</v>
      </c>
      <c r="X36" s="1553"/>
      <c r="Y36" s="3398"/>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98"/>
      <c r="Q37" s="1558" t="str">
        <f t="shared" ref="Q37:Q42" si="14">B37</f>
        <v>宗地形状</v>
      </c>
      <c r="R37" s="1559" t="s">
        <v>8</v>
      </c>
      <c r="S37" s="1560">
        <f t="shared" si="10"/>
        <v>100</v>
      </c>
      <c r="T37" s="1559" t="s">
        <v>8</v>
      </c>
      <c r="U37" s="1560">
        <f t="shared" si="11"/>
        <v>100</v>
      </c>
      <c r="V37" s="1559" t="s">
        <v>8</v>
      </c>
      <c r="W37" s="1560">
        <f t="shared" si="12"/>
        <v>100</v>
      </c>
      <c r="X37" s="1553"/>
      <c r="Y37" s="3398"/>
      <c r="Z37" s="1561" t="str">
        <f t="shared" si="13"/>
        <v>宗地形状</v>
      </c>
      <c r="AA37" s="1562">
        <f t="shared" si="3"/>
        <v>1</v>
      </c>
      <c r="AB37" s="1562">
        <f t="shared" si="4"/>
        <v>1</v>
      </c>
      <c r="AC37" s="1562">
        <f t="shared" si="5"/>
        <v>1</v>
      </c>
    </row>
    <row r="38" spans="1:29" s="1215"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98"/>
      <c r="Q38" s="1558" t="str">
        <f t="shared" si="14"/>
        <v>宗地开发程度</v>
      </c>
      <c r="R38" s="1554" t="s">
        <v>8</v>
      </c>
      <c r="S38" s="1555">
        <f t="shared" si="10"/>
        <v>100</v>
      </c>
      <c r="T38" s="1554" t="s">
        <v>8</v>
      </c>
      <c r="U38" s="1555">
        <f t="shared" si="11"/>
        <v>100</v>
      </c>
      <c r="V38" s="1554" t="s">
        <v>8</v>
      </c>
      <c r="W38" s="1555">
        <f t="shared" si="12"/>
        <v>100</v>
      </c>
      <c r="X38" s="1556"/>
      <c r="Y38" s="3398"/>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8" t="s">
        <v>600</v>
      </c>
      <c r="Q39" s="1558" t="str">
        <f t="shared" si="14"/>
        <v>工程地质条件</v>
      </c>
      <c r="R39" s="1559" t="s">
        <v>8</v>
      </c>
      <c r="S39" s="1560">
        <f t="shared" si="10"/>
        <v>100</v>
      </c>
      <c r="T39" s="1559" t="s">
        <v>8</v>
      </c>
      <c r="U39" s="1560">
        <f t="shared" si="11"/>
        <v>100</v>
      </c>
      <c r="V39" s="1559" t="s">
        <v>8</v>
      </c>
      <c r="W39" s="1560">
        <f t="shared" si="12"/>
        <v>100</v>
      </c>
      <c r="X39" s="1553"/>
      <c r="Y39" s="3398"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98"/>
      <c r="Q40" s="1558">
        <f t="shared" si="14"/>
        <v>111</v>
      </c>
      <c r="R40" s="1559" t="s">
        <v>8</v>
      </c>
      <c r="S40" s="1560">
        <f t="shared" si="10"/>
        <v>100</v>
      </c>
      <c r="T40" s="1559" t="s">
        <v>8</v>
      </c>
      <c r="U40" s="1560">
        <f t="shared" si="11"/>
        <v>100</v>
      </c>
      <c r="V40" s="1559" t="s">
        <v>8</v>
      </c>
      <c r="W40" s="1560">
        <f t="shared" si="12"/>
        <v>100</v>
      </c>
      <c r="X40" s="1553"/>
      <c r="Y40" s="3398"/>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98"/>
      <c r="Q41" s="1558">
        <f t="shared" si="14"/>
        <v>111</v>
      </c>
      <c r="R41" s="1559" t="s">
        <v>8</v>
      </c>
      <c r="S41" s="1560">
        <f t="shared" si="10"/>
        <v>100</v>
      </c>
      <c r="T41" s="1559" t="s">
        <v>8</v>
      </c>
      <c r="U41" s="1560">
        <f t="shared" si="11"/>
        <v>100</v>
      </c>
      <c r="V41" s="1559" t="s">
        <v>8</v>
      </c>
      <c r="W41" s="1560">
        <f t="shared" si="12"/>
        <v>100</v>
      </c>
      <c r="X41" s="1553"/>
      <c r="Y41" s="3398"/>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98"/>
      <c r="Q42" s="1558">
        <f t="shared" si="14"/>
        <v>111</v>
      </c>
      <c r="R42" s="1563" t="s">
        <v>8</v>
      </c>
      <c r="S42" s="1564">
        <f t="shared" si="10"/>
        <v>100</v>
      </c>
      <c r="T42" s="1563" t="s">
        <v>8</v>
      </c>
      <c r="U42" s="1564">
        <f t="shared" si="11"/>
        <v>100</v>
      </c>
      <c r="V42" s="1563" t="s">
        <v>8</v>
      </c>
      <c r="W42" s="1564">
        <f t="shared" si="12"/>
        <v>100</v>
      </c>
      <c r="X42" s="1565"/>
      <c r="Y42" s="3398"/>
      <c r="Z42" s="1566">
        <f t="shared" si="13"/>
        <v>111</v>
      </c>
      <c r="AA42" s="1562">
        <f t="shared" si="3"/>
        <v>1</v>
      </c>
      <c r="AB42" s="1562">
        <f t="shared" si="4"/>
        <v>1</v>
      </c>
      <c r="AC42" s="1562">
        <f t="shared" si="5"/>
        <v>1</v>
      </c>
    </row>
    <row r="43" spans="1:29" ht="15">
      <c r="A43" s="607" t="s">
        <v>555</v>
      </c>
      <c r="B43" s="608" t="s">
        <v>2919</v>
      </c>
      <c r="C43" s="609" t="s">
        <v>1</v>
      </c>
      <c r="D43" s="610"/>
      <c r="E43" s="611"/>
      <c r="F43" s="612"/>
      <c r="G43" s="613"/>
      <c r="H43" s="614"/>
      <c r="I43" s="611"/>
      <c r="J43" s="614"/>
      <c r="K43" s="1335"/>
      <c r="L43" s="2129"/>
      <c r="M43" s="2119"/>
      <c r="N43" s="2119"/>
      <c r="O43" s="2130"/>
      <c r="P43" s="3393" t="str">
        <f>A43</f>
        <v>成交单价</v>
      </c>
      <c r="Q43" s="3393"/>
      <c r="R43" s="3407">
        <f>E43</f>
        <v>0</v>
      </c>
      <c r="S43" s="3407"/>
      <c r="T43" s="3407">
        <f>G43</f>
        <v>0</v>
      </c>
      <c r="U43" s="3407"/>
      <c r="V43" s="3407">
        <f>I43</f>
        <v>0</v>
      </c>
      <c r="W43" s="3407"/>
      <c r="X43" s="1545"/>
      <c r="Y43" s="1567"/>
      <c r="Z43" s="1545"/>
      <c r="AA43" s="1545"/>
      <c r="AB43" s="1545"/>
      <c r="AC43" s="1545"/>
    </row>
    <row r="44" spans="1:29" ht="15.7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393" t="str">
        <f>A44</f>
        <v>比较价格（元/平方米）</v>
      </c>
      <c r="Q44" s="3393"/>
      <c r="R44" s="3418" t="e">
        <f>ROUND(PRODUCT(R43,AA9:AA42),0)</f>
        <v>#DIV/0!</v>
      </c>
      <c r="S44" s="3418"/>
      <c r="T44" s="3418" t="e">
        <f>ROUND(PRODUCT(T43,AB9:AB42),0)</f>
        <v>#DIV/0!</v>
      </c>
      <c r="U44" s="3418"/>
      <c r="V44" s="3418" t="e">
        <f>ROUND(PRODUCT(V43,AC9:AC42),0)</f>
        <v>#DIV/0!</v>
      </c>
      <c r="W44" s="3418"/>
      <c r="X44" s="1545"/>
      <c r="Y44" s="1545"/>
      <c r="Z44" s="1545"/>
      <c r="AA44" s="1545"/>
      <c r="AB44" s="1545"/>
      <c r="AC44" s="1545"/>
    </row>
    <row r="45" spans="1:29" ht="15.75" thickBot="1">
      <c r="A45" s="621" t="s">
        <v>2920</v>
      </c>
      <c r="B45" s="622"/>
      <c r="C45" s="623" t="e">
        <f>R45</f>
        <v>#DIV/0!</v>
      </c>
      <c r="D45" s="623"/>
      <c r="E45" s="623"/>
      <c r="F45" s="623"/>
      <c r="G45" s="623"/>
      <c r="H45" s="623"/>
      <c r="I45" s="623"/>
      <c r="J45" s="623"/>
      <c r="K45" s="1337"/>
      <c r="L45" s="2129"/>
      <c r="M45" s="2119"/>
      <c r="N45" s="2119"/>
      <c r="O45" s="2130"/>
      <c r="P45" s="3415" t="str">
        <f>A45</f>
        <v>估价对象XX用房的比较价格（楼面单价，元/平方米）</v>
      </c>
      <c r="Q45" s="3416"/>
      <c r="R45" s="3417" t="e">
        <f>ROUND(AVERAGE(R44:V44),0)</f>
        <v>#DIV/0!</v>
      </c>
      <c r="S45" s="3417"/>
      <c r="T45" s="3417"/>
      <c r="U45" s="3417"/>
      <c r="V45" s="3417"/>
      <c r="W45" s="341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6" t="s">
        <v>1723</v>
      </c>
      <c r="D52" s="2212" t="s">
        <v>2290</v>
      </c>
      <c r="E52" s="631" t="s">
        <v>561</v>
      </c>
      <c r="F52" s="1936" t="s">
        <v>562</v>
      </c>
      <c r="G52" s="3419" t="s">
        <v>2281</v>
      </c>
      <c r="H52" s="3420"/>
      <c r="I52" s="1937" t="s">
        <v>1942</v>
      </c>
      <c r="J52" s="1541" t="str">
        <f>项目基本情况!F41</f>
        <v>河南省郑州市</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563</v>
      </c>
      <c r="B53" s="634" t="e">
        <f>C45</f>
        <v>#DIV/0!</v>
      </c>
      <c r="C53" s="635">
        <v>1</v>
      </c>
      <c r="D53" s="2213">
        <v>1</v>
      </c>
      <c r="E53" s="635">
        <f>'数据-汇总表'!E8+'数据-汇总表'!E9</f>
        <v>4086</v>
      </c>
      <c r="F53" s="1935" t="e">
        <f t="shared" ref="F53:F62" si="15">ROUND(B53*E53/10000,0)</f>
        <v>#DIV/0!</v>
      </c>
      <c r="G53" s="3421"/>
      <c r="H53" s="3422"/>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564</v>
      </c>
      <c r="B54" s="638" t="e">
        <f>ROUND($C$45*C54*D54,0)</f>
        <v>#DIV/0!</v>
      </c>
      <c r="C54" s="378">
        <f t="shared" ref="C54:C62" si="16">IF($C$52="北京市系数",I54,J54)</f>
        <v>0</v>
      </c>
      <c r="D54" s="2214">
        <v>0.25</v>
      </c>
      <c r="E54" s="639"/>
      <c r="F54" s="1935" t="e">
        <f t="shared" si="15"/>
        <v>#DIV/0!</v>
      </c>
      <c r="G54" s="3423" t="s">
        <v>2282</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565</v>
      </c>
      <c r="B55" s="638" t="e">
        <f t="shared" ref="B55:B62" si="17">ROUND($C$45*C55*D55,0)</f>
        <v>#DIV/0!</v>
      </c>
      <c r="C55" s="378">
        <f t="shared" si="16"/>
        <v>0</v>
      </c>
      <c r="D55" s="2214">
        <v>0.25</v>
      </c>
      <c r="E55" s="639"/>
      <c r="F55" s="1935" t="e">
        <f t="shared" si="15"/>
        <v>#DIV/0!</v>
      </c>
      <c r="G55" s="3423"/>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566</v>
      </c>
      <c r="B56" s="638" t="e">
        <f t="shared" si="17"/>
        <v>#DIV/0!</v>
      </c>
      <c r="C56" s="378">
        <f t="shared" si="16"/>
        <v>0</v>
      </c>
      <c r="D56" s="2214">
        <v>0.25</v>
      </c>
      <c r="E56" s="639"/>
      <c r="F56" s="1935" t="e">
        <f t="shared" si="15"/>
        <v>#DIV/0!</v>
      </c>
      <c r="G56" s="3423"/>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567</v>
      </c>
      <c r="B57" s="638" t="e">
        <f t="shared" si="17"/>
        <v>#DIV/0!</v>
      </c>
      <c r="C57" s="378">
        <f t="shared" si="16"/>
        <v>0</v>
      </c>
      <c r="D57" s="2214">
        <v>0.25</v>
      </c>
      <c r="E57" s="639"/>
      <c r="F57" s="1935" t="e">
        <f t="shared" si="15"/>
        <v>#DIV/0!</v>
      </c>
      <c r="G57" s="3423"/>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2325</v>
      </c>
      <c r="B58" s="638" t="e">
        <f t="shared" si="17"/>
        <v>#DIV/0!</v>
      </c>
      <c r="C58" s="378">
        <f t="shared" si="16"/>
        <v>0</v>
      </c>
      <c r="D58" s="2214">
        <v>0.25</v>
      </c>
      <c r="E58" s="641">
        <f>'数据-汇总表'!E11</f>
        <v>0</v>
      </c>
      <c r="F58" s="1935" t="e">
        <f t="shared" si="15"/>
        <v>#DIV/0!</v>
      </c>
      <c r="G58" s="1941" t="s">
        <v>2283</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569</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570</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571</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572</v>
      </c>
      <c r="B63" s="643" t="s">
        <v>17</v>
      </c>
      <c r="C63" s="643" t="s">
        <v>18</v>
      </c>
      <c r="D63" s="643" t="s">
        <v>2291</v>
      </c>
      <c r="E63" s="643">
        <f>IF(B43="楼面地价",SUM(E53:E62),'数据-汇总表'!D3)</f>
        <v>817.26</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2020-5-1</v>
      </c>
      <c r="D65" s="2754">
        <f>EDATE(C65,-3)</f>
        <v>43862</v>
      </c>
      <c r="E65" s="2754">
        <f t="shared" ref="E65:N65" si="18">EDATE(D65,-3)</f>
        <v>43770</v>
      </c>
      <c r="F65" s="2754">
        <f t="shared" si="18"/>
        <v>43678</v>
      </c>
      <c r="G65" s="2754">
        <f t="shared" si="18"/>
        <v>43586</v>
      </c>
      <c r="H65" s="2754">
        <f t="shared" si="18"/>
        <v>43497</v>
      </c>
      <c r="I65" s="2754">
        <f t="shared" si="18"/>
        <v>43405</v>
      </c>
      <c r="J65" s="2754">
        <f t="shared" si="18"/>
        <v>43313</v>
      </c>
      <c r="K65" s="2754">
        <f t="shared" si="18"/>
        <v>43221</v>
      </c>
      <c r="L65" s="2754">
        <f t="shared" si="18"/>
        <v>43132</v>
      </c>
      <c r="M65" s="2754">
        <f t="shared" si="18"/>
        <v>43040</v>
      </c>
      <c r="N65" s="2754">
        <f t="shared" si="18"/>
        <v>42948</v>
      </c>
      <c r="O65" s="2130"/>
      <c r="P65" s="2130"/>
      <c r="Q65" s="2130"/>
      <c r="R65" s="2130"/>
      <c r="S65" s="2130"/>
      <c r="T65" s="2130"/>
      <c r="U65" s="2130"/>
      <c r="V65" s="2130"/>
      <c r="W65" s="2130"/>
      <c r="X65" s="2130"/>
      <c r="Y65" s="2130"/>
      <c r="Z65" s="2130"/>
      <c r="AA65" s="2130"/>
      <c r="AB65" s="2130"/>
      <c r="AC65" s="2130"/>
    </row>
    <row r="66" spans="1:29" ht="21.75"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2528</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2643</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2543</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75" style="1515" customWidth="1"/>
    <col min="3" max="4" width="12" style="1401"/>
    <col min="5" max="5" width="14.625" style="1401" customWidth="1"/>
    <col min="6" max="8" width="12" style="1401"/>
    <col min="9" max="9" width="12.1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2423</v>
      </c>
      <c r="D1" s="1508">
        <f>SUM(D29:D30,D33:D39)</f>
        <v>0</v>
      </c>
      <c r="E1" s="1402" t="s">
        <v>2424</v>
      </c>
      <c r="F1" s="2416"/>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2756</v>
      </c>
      <c r="S1" s="2891" t="s">
        <v>2757</v>
      </c>
      <c r="T1" s="2891" t="s">
        <v>2778</v>
      </c>
      <c r="U1" s="2891" t="s">
        <v>2779</v>
      </c>
      <c r="V1" s="2891" t="s">
        <v>2780</v>
      </c>
      <c r="W1" s="2174"/>
      <c r="X1" s="2174"/>
      <c r="Y1" s="2174"/>
      <c r="Z1" s="2174"/>
      <c r="AA1" s="2174"/>
      <c r="AB1" s="2174"/>
      <c r="AC1" s="2175"/>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1686</v>
      </c>
      <c r="B3" s="1037" t="e">
        <f>ROUND(B2*10000/D1,0)</f>
        <v>#DIV/0!</v>
      </c>
      <c r="C3" s="1403" t="s">
        <v>926</v>
      </c>
      <c r="D3" s="1404" t="s">
        <v>927</v>
      </c>
      <c r="E3" s="1408"/>
      <c r="F3" s="1409"/>
      <c r="G3" s="1038">
        <f>IF(F3="宗地容积率",'数据-汇总表'!I4,IF(F3="估价对象容积率",'数据-汇总表'!I6,'数据-汇总表'!I7))</f>
        <v>4</v>
      </c>
      <c r="H3" s="1410" t="s">
        <v>928</v>
      </c>
      <c r="I3" s="1039">
        <v>8</v>
      </c>
      <c r="J3" s="1406" t="s">
        <v>929</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2277</v>
      </c>
      <c r="B4" s="2417" t="e">
        <f>ROUND(B2*10000/F1,0)</f>
        <v>#DIV/0!</v>
      </c>
      <c r="C4" s="1879" t="s">
        <v>2251</v>
      </c>
      <c r="D4" s="1879" t="e">
        <f>ROUND(B2/(F1/666.67),0)</f>
        <v>#DIV/0!</v>
      </c>
      <c r="E4" s="1879" t="s">
        <v>2252</v>
      </c>
      <c r="F4" s="1877"/>
      <c r="G4" s="1877"/>
      <c r="H4" s="1877"/>
      <c r="I4" s="1877"/>
      <c r="J4" s="1878"/>
      <c r="K4" s="3147"/>
      <c r="L4" s="1870" t="s">
        <v>2238</v>
      </c>
      <c r="M4" s="1871">
        <f>SUMPRODUCT((区片价!B49:B75=I2)*(区片价!C3:F3=E2)*(区片价!C49:F75))</f>
        <v>0</v>
      </c>
      <c r="N4" s="1872">
        <f>SUMPRODUCT((因素修正幅度!B49:B75=I2)*(因素修正幅度!C3:F3=E2)*(因素修正幅度!C49:F75))</f>
        <v>0</v>
      </c>
      <c r="O4" s="3147"/>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1822</v>
      </c>
      <c r="B5" s="1411" t="s">
        <v>930</v>
      </c>
      <c r="C5" s="1040" t="e">
        <f>ROUND(IF(E2="商业",C6*C7+C16,(IF(E2="住宅",C6*C12+C16,C6+C16))),0)</f>
        <v>#DIV/0!</v>
      </c>
      <c r="D5" s="3071" t="e">
        <f>ROUND(C6+C16,0)</f>
        <v>#DIV/0!</v>
      </c>
      <c r="E5" s="3071"/>
      <c r="F5" s="1412"/>
      <c r="G5" s="1413"/>
      <c r="H5" s="1413"/>
      <c r="I5" s="1413"/>
      <c r="J5" s="1414"/>
      <c r="K5" s="3148"/>
      <c r="L5" s="1870" t="s">
        <v>2239</v>
      </c>
      <c r="M5" s="1871">
        <f>SUMPRODUCT((区片价!B76:B109=I2)*(区片价!C3:F3=E2)*(区片价!C76:F109))</f>
        <v>0</v>
      </c>
      <c r="N5" s="1872">
        <f>SUMPRODUCT((因素修正幅度!B76:B109=I2)*(因素修正幅度!C3:F3=E2)*(因素修正幅度!C76:F109))</f>
        <v>0</v>
      </c>
      <c r="O5" s="3148"/>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1" t="str">
        <f>IF(E2="商业",IF(C8="不临58条商业街","",2),"")</f>
        <v/>
      </c>
      <c r="B7" s="1423" t="s">
        <v>931</v>
      </c>
      <c r="C7" s="1042" t="e">
        <f>IF(C8="不临58条商业街",1,ROUND(1+(1.6*E8+1.2*E9+0.8*E10+0.4*E11)*C9,4))</f>
        <v>#DIV/0!</v>
      </c>
      <c r="D7" s="1424" t="s">
        <v>932</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2759</v>
      </c>
      <c r="X7" s="2882">
        <f>G2</f>
        <v>0</v>
      </c>
      <c r="Y7" s="2882" t="s">
        <v>2760</v>
      </c>
      <c r="Z7" s="2883">
        <f>G3</f>
        <v>4</v>
      </c>
      <c r="AA7" s="2177"/>
      <c r="AB7" s="2177"/>
      <c r="AC7" s="2178"/>
      <c r="AD7" s="2884"/>
      <c r="AE7" s="2884"/>
      <c r="AF7" s="2884"/>
      <c r="AG7" s="2884"/>
      <c r="AH7" s="2884"/>
      <c r="AI7" s="2884"/>
      <c r="AJ7" s="2885"/>
    </row>
    <row r="8" spans="1:39" ht="15">
      <c r="A8" s="3432"/>
      <c r="B8" s="1410" t="s">
        <v>933</v>
      </c>
      <c r="C8" s="1516"/>
      <c r="D8" s="1044" t="s">
        <v>934</v>
      </c>
      <c r="E8" s="1045" t="e">
        <f>ROUND(C11/E7,4)</f>
        <v>#DIV/0!</v>
      </c>
      <c r="F8" s="1428" t="s">
        <v>935</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42" t="s">
        <v>2777</v>
      </c>
      <c r="X8" s="3443"/>
      <c r="Y8" s="1834" t="s">
        <v>2761</v>
      </c>
      <c r="Z8" s="1834" t="s">
        <v>2762</v>
      </c>
      <c r="AA8" s="1834" t="s">
        <v>2763</v>
      </c>
      <c r="AB8" s="1834" t="s">
        <v>2764</v>
      </c>
      <c r="AC8" s="1834" t="s">
        <v>2765</v>
      </c>
      <c r="AD8" s="1834" t="s">
        <v>2766</v>
      </c>
      <c r="AE8" s="1834" t="s">
        <v>2767</v>
      </c>
      <c r="AF8" s="1834" t="s">
        <v>2768</v>
      </c>
      <c r="AG8" s="1834" t="s">
        <v>2769</v>
      </c>
      <c r="AH8" s="1834" t="s">
        <v>2770</v>
      </c>
      <c r="AI8" s="1834" t="s">
        <v>2771</v>
      </c>
      <c r="AJ8" s="1834" t="s">
        <v>2772</v>
      </c>
    </row>
    <row r="9" spans="1:39" ht="15">
      <c r="A9" s="3432"/>
      <c r="B9" s="1410" t="s">
        <v>936</v>
      </c>
      <c r="C9" s="1046">
        <f>SUMIF(修正!C59:C119,C8,修正!E59:E119)</f>
        <v>0</v>
      </c>
      <c r="D9" s="1047" t="s">
        <v>937</v>
      </c>
      <c r="E9" s="1047" t="e">
        <f>ROUND(C11/E7,4)</f>
        <v>#DIV/0!</v>
      </c>
      <c r="F9" s="1428" t="s">
        <v>938</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41" t="s">
        <v>2773</v>
      </c>
      <c r="X9" s="2886" t="s">
        <v>2774</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2"/>
      <c r="B10" s="1410" t="s">
        <v>939</v>
      </c>
      <c r="C10" s="1047">
        <f>SUMIF(修正!C59:C119,C8,修正!F59:F119)</f>
        <v>0</v>
      </c>
      <c r="D10" s="1047" t="s">
        <v>940</v>
      </c>
      <c r="E10" s="1047" t="e">
        <f>ROUND(C11/E7,4)</f>
        <v>#DIV/0!</v>
      </c>
      <c r="F10" s="1428" t="s">
        <v>941</v>
      </c>
      <c r="G10" s="1429"/>
      <c r="H10" s="1429"/>
      <c r="I10" s="1429"/>
      <c r="J10" s="1430"/>
      <c r="K10" s="1452"/>
      <c r="L10" s="1870" t="s">
        <v>2244</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41"/>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2"/>
      <c r="B11" s="1431" t="s">
        <v>942</v>
      </c>
      <c r="C11" s="1048">
        <f>C10/4</f>
        <v>0</v>
      </c>
      <c r="D11" s="1048" t="s">
        <v>943</v>
      </c>
      <c r="E11" s="1048" t="e">
        <f>ROUND(C11/E7,4)</f>
        <v>#DIV/0!</v>
      </c>
      <c r="F11" s="1432" t="s">
        <v>944</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41" t="s">
        <v>2775</v>
      </c>
      <c r="X11" s="1047" t="s">
        <v>2760</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31" t="s">
        <v>1870</v>
      </c>
      <c r="B12" s="1435" t="s">
        <v>945</v>
      </c>
      <c r="C12" s="1042">
        <f>ROUND(C15*D15*E15*F15*G15*H15*I15*J15,4)</f>
        <v>1</v>
      </c>
      <c r="D12" s="1436" t="s">
        <v>946</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41"/>
      <c r="X12" s="2889" t="s">
        <v>2776</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3"/>
      <c r="B13" s="1440" t="s">
        <v>1695</v>
      </c>
      <c r="C13" s="1441" t="s">
        <v>1696</v>
      </c>
      <c r="D13" s="1084" t="s">
        <v>1697</v>
      </c>
      <c r="E13" s="1084" t="s">
        <v>1698</v>
      </c>
      <c r="F13" s="1442" t="s">
        <v>947</v>
      </c>
      <c r="G13" s="1443" t="s">
        <v>1641</v>
      </c>
      <c r="H13" s="1444" t="s">
        <v>1641</v>
      </c>
      <c r="I13" s="1445" t="s">
        <v>1641</v>
      </c>
      <c r="J13" s="1446" t="s">
        <v>1641</v>
      </c>
      <c r="K13" s="3163"/>
      <c r="L13" s="3163"/>
      <c r="M13" s="3163"/>
      <c r="N13" s="3163"/>
      <c r="O13" s="3163"/>
      <c r="P13" s="1397"/>
      <c r="Q13" s="2174"/>
      <c r="R13" s="2892">
        <v>12</v>
      </c>
      <c r="S13" s="2881"/>
      <c r="T13" s="2892" t="e">
        <f t="shared" si="0"/>
        <v>#DIV/0!</v>
      </c>
      <c r="U13" s="2881"/>
      <c r="V13" s="2892" t="e">
        <f t="shared" si="1"/>
        <v>#DIV/0!</v>
      </c>
      <c r="W13" s="3441"/>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33"/>
      <c r="B14" s="1447"/>
      <c r="C14" s="1448"/>
      <c r="D14" s="1449"/>
      <c r="E14" s="1449"/>
      <c r="F14" s="1450"/>
      <c r="G14" s="1451" t="s">
        <v>948</v>
      </c>
      <c r="H14" s="1452"/>
      <c r="I14" s="1453"/>
      <c r="J14" s="1454"/>
      <c r="K14" s="3149"/>
      <c r="L14" s="3149"/>
      <c r="M14" s="3149"/>
      <c r="N14" s="3149"/>
      <c r="O14" s="3149"/>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4"/>
      <c r="B15" s="3168" t="s">
        <v>1699</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4"/>
      <c r="R15" s="2892">
        <v>14</v>
      </c>
      <c r="S15" s="2881"/>
      <c r="T15" s="2892" t="e">
        <f t="shared" si="0"/>
        <v>#DIV/0!</v>
      </c>
      <c r="U15" s="2881"/>
      <c r="V15" s="2892" t="e">
        <f t="shared" si="1"/>
        <v>#DIV/0!</v>
      </c>
      <c r="W15" s="2174"/>
      <c r="X15" s="2174"/>
      <c r="Y15" s="2174"/>
      <c r="Z15" s="2174"/>
      <c r="AA15" s="2174"/>
      <c r="AB15" s="2174"/>
      <c r="AC15" s="2175"/>
    </row>
    <row r="16" spans="1:39" ht="24.4" customHeight="1">
      <c r="A16" s="3431" t="s">
        <v>1837</v>
      </c>
      <c r="B16" s="1423" t="s">
        <v>949</v>
      </c>
      <c r="C16" s="1051" t="e">
        <f>ROUND(IF(F17="与级别开发程度一致",0,(G17-E17)/C17),0)</f>
        <v>#DIV/0!</v>
      </c>
      <c r="D16" s="3449" t="s">
        <v>953</v>
      </c>
      <c r="E16" s="3450"/>
      <c r="F16" s="3449" t="s">
        <v>950</v>
      </c>
      <c r="G16" s="3450"/>
      <c r="H16" s="1455"/>
      <c r="I16" s="1455"/>
      <c r="J16" s="1455"/>
      <c r="K16" s="1455"/>
      <c r="L16" s="1455"/>
      <c r="M16" s="1455"/>
      <c r="N16" s="1455"/>
      <c r="O16" s="3173"/>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5"/>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69" t="s">
        <v>954</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43961</v>
      </c>
      <c r="H19" s="1463" t="s">
        <v>2975</v>
      </c>
      <c r="I19" s="2740" t="str">
        <f>IF(H19="季度增幅（自定义）",SUMIF(N21:N24,E2,O21:O24),"")</f>
        <v/>
      </c>
      <c r="J19" s="1459"/>
      <c r="K19" s="3148"/>
      <c r="L19" s="2992" t="s">
        <v>2835</v>
      </c>
      <c r="M19" s="2993">
        <f>ROUND(SUMIF(地价!B2:F2,E2,地价!B29:F29),0)</f>
        <v>0</v>
      </c>
      <c r="N19" s="2742" t="s">
        <v>1675</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4" t="s">
        <v>2836</v>
      </c>
      <c r="M20" s="3157">
        <f>ROUND(SUMPRODUCT((地价!A4:A29=YEAR(G19)&amp;"-"&amp;ROUNDUP(MONTH(G19)/3,0))*(地价!B2:F2=E2)*(地价!B4:F29)),0)</f>
        <v>0</v>
      </c>
      <c r="N20" s="2745" t="s">
        <v>2639</v>
      </c>
      <c r="O20" s="2743" t="s">
        <v>2638</v>
      </c>
      <c r="P20" s="2744" t="s">
        <v>2644</v>
      </c>
      <c r="Q20" s="2880"/>
      <c r="R20" s="2180"/>
      <c r="S20" s="2180"/>
      <c r="T20" s="2180"/>
      <c r="U20" s="2180"/>
      <c r="V20" s="2180"/>
      <c r="W20" s="2180"/>
      <c r="X20" s="2180"/>
      <c r="Y20" s="1460"/>
      <c r="Z20" s="1460"/>
      <c r="AA20" s="1460"/>
      <c r="AB20" s="1460"/>
      <c r="AC20" s="1460"/>
      <c r="AD20" s="1460"/>
    </row>
    <row r="21" spans="1:40" s="1417" customFormat="1" ht="14.25">
      <c r="A21" s="1627" t="s">
        <v>1836</v>
      </c>
      <c r="B21" s="1468" t="s">
        <v>2755</v>
      </c>
      <c r="C21" s="1153">
        <f>IF(B21="容积率修正",IF(G3&lt;=10,D22,J22),C23)</f>
        <v>0</v>
      </c>
      <c r="D21" s="1469"/>
      <c r="E21" s="1469"/>
      <c r="F21" s="1469"/>
      <c r="G21" s="1469"/>
      <c r="H21" s="1469"/>
      <c r="I21" s="1469"/>
      <c r="J21" s="1470"/>
      <c r="K21" s="3148"/>
      <c r="L21" s="1469"/>
      <c r="M21" s="1469"/>
      <c r="N21" s="1466" t="s">
        <v>974</v>
      </c>
      <c r="O21" s="1529"/>
      <c r="P21" s="2732">
        <f>SUMPRODUCT((地价!A3:A29=YEAR(G19)&amp;"-"&amp;ROUNDUP(MONTH(G19)/3,0))*(地价!AD2:AH2=N21)*(地价!AD3:AH29))</f>
        <v>0</v>
      </c>
      <c r="Q21" s="2880"/>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1"/>
      <c r="L22" s="1469"/>
      <c r="M22" s="1469"/>
      <c r="N22" s="1466" t="s">
        <v>977</v>
      </c>
      <c r="O22" s="1529"/>
      <c r="P22" s="2732">
        <f>SUMPRODUCT((地价!A3:A29=YEAR(G19)&amp;"-"&amp;ROUNDUP(MONTH(G19)/3,0))*(地价!AD2:AH2=N22)*(地价!AD3:AH29))</f>
        <v>0</v>
      </c>
      <c r="Q22" s="2880"/>
      <c r="R22" s="2180"/>
      <c r="S22" s="2180"/>
      <c r="T22" s="2180"/>
      <c r="U22" s="2180"/>
      <c r="V22" s="2180"/>
      <c r="W22" s="2180"/>
      <c r="X22" s="2180"/>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922</v>
      </c>
      <c r="O23" s="1529"/>
      <c r="P23" s="2732">
        <f>SUMPRODUCT((地价!A3:A29=YEAR(G19)&amp;"-"&amp;ROUNDUP(MONTH(G19)/3,0))*(地价!AD2:AH2=N23)*(地价!AD3:AH29))</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52"/>
      <c r="L24" s="1469"/>
      <c r="M24" s="1469"/>
      <c r="N24" s="1466" t="s">
        <v>980</v>
      </c>
      <c r="O24" s="3156"/>
      <c r="P24" s="2732">
        <f>SUMPRODUCT((地价!A3:A29=YEAR(G19)&amp;"-"&amp;ROUNDUP(MONTH(G19)/3,0))*(地价!AD2:AH2=N24)*(地价!AD3:AH29))</f>
        <v>0</v>
      </c>
      <c r="Q24" s="2880"/>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8" t="s">
        <v>2642</v>
      </c>
      <c r="O25" s="3159"/>
      <c r="P25" s="2411">
        <f>SUMPRODUCT((地价!A3:A29=YEAR(G19)&amp;"-"&amp;ROUNDUP(MONTH(G19)/3,0))*(地价!AD2:AH2=N25)*(地价!AD3:AH29))</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992</v>
      </c>
      <c r="C29" s="1058" t="e">
        <f>ROUND(C5*C18*C19*C20*C21*C24,0)</f>
        <v>#DIV/0!</v>
      </c>
      <c r="D29" s="1491"/>
      <c r="E29" s="1834" t="e">
        <f>ROUND(C29*D29/10000,0)</f>
        <v>#DIV/0!</v>
      </c>
      <c r="F29" s="1492" t="s">
        <v>1700</v>
      </c>
      <c r="G29" s="1493"/>
      <c r="H29" s="1493"/>
      <c r="I29" s="1493"/>
      <c r="J29" s="1494"/>
      <c r="K29" s="3153"/>
      <c r="L29" s="3153"/>
      <c r="M29" s="3153"/>
      <c r="N29" s="3153"/>
      <c r="O29" s="3153"/>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8" t="s">
        <v>2945</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9"/>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9"/>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0"/>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2969</v>
      </c>
      <c r="C41" s="839" t="e">
        <f>ROUND(POWER(1+E41,H41-G41)*(POWER(1+E41,G41)-1)/(POWER(1+E41,H41)-1),4)</f>
        <v>#DIV/0!</v>
      </c>
      <c r="D41" s="378" t="s">
        <v>2967</v>
      </c>
      <c r="E41" s="3145">
        <f>G20</f>
        <v>0</v>
      </c>
      <c r="F41" s="378" t="s">
        <v>2968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2247</v>
      </c>
      <c r="G46" s="2395" t="s">
        <v>1013</v>
      </c>
      <c r="H46" s="2378" t="s">
        <v>2415</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1019</v>
      </c>
      <c r="B47" s="2375">
        <f>估价对象房地状况!C16</f>
        <v>0</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2" t="s">
        <v>1020</v>
      </c>
      <c r="B48" s="2372">
        <f>估价对象房地状况!C18</f>
        <v>0</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3048" t="s">
        <v>2922</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3047" t="s">
        <v>2921</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f>估价对象房地状况!C21</f>
        <v>0</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f>估价对象房地状况!C22</f>
        <v>0</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f>估价对象房地状况!C20</f>
        <v>0</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2248</v>
      </c>
      <c r="G57" s="2395" t="s">
        <v>1013</v>
      </c>
      <c r="H57" s="2378" t="s">
        <v>2415</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1029</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2" t="s">
        <v>1020</v>
      </c>
      <c r="B59" s="2372">
        <f>估价对象房地状况!C18</f>
        <v>0</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3048" t="s">
        <v>2923</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3047" t="s">
        <v>2921</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f>估价对象房地状况!C21</f>
        <v>0</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f>估价对象房地状况!C22</f>
        <v>0</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f>估价对象房地状况!C20</f>
        <v>0</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2249</v>
      </c>
      <c r="G68" s="2395" t="s">
        <v>1013</v>
      </c>
      <c r="H68" s="2378" t="s">
        <v>2415</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1031</v>
      </c>
      <c r="B69" s="2375">
        <f>估价对象房地状况!C15</f>
        <v>0</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2" t="s">
        <v>1032</v>
      </c>
      <c r="B70" s="2372">
        <f>估价对象房地状况!C18</f>
        <v>0</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f>估价对象房地状况!C21</f>
        <v>0</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f>估价对象房地状况!C22</f>
        <v>0</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3047" t="s">
        <v>2921</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f>估价对象房地状况!C20</f>
        <v>0</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2250</v>
      </c>
      <c r="G79" s="2395" t="s">
        <v>1013</v>
      </c>
      <c r="H79" s="2378" t="s">
        <v>2415</v>
      </c>
      <c r="I79" s="2395" t="s">
        <v>1011</v>
      </c>
      <c r="J79" s="2398" t="s">
        <v>1014</v>
      </c>
      <c r="K79" s="2398" t="s">
        <v>1015</v>
      </c>
      <c r="L79" s="2398" t="s">
        <v>1016</v>
      </c>
      <c r="M79" s="2398" t="s">
        <v>1017</v>
      </c>
      <c r="N79" s="2398" t="s">
        <v>1018</v>
      </c>
      <c r="AC79" s="1401"/>
      <c r="AD79" s="1400"/>
      <c r="AJ79" s="1399"/>
      <c r="AN79" s="1400"/>
    </row>
    <row r="80" spans="1:40" ht="24">
      <c r="A80" s="1062" t="s">
        <v>1036</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14.25">
      <c r="A81" s="1062" t="s">
        <v>1032</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1024</v>
      </c>
      <c r="B86" s="3047" t="s">
        <v>2921</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5" thickBot="1">
      <c r="A87" s="2405" t="s">
        <v>1037</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6" t="s">
        <v>1632</v>
      </c>
      <c r="B90" s="3436"/>
      <c r="C90" s="3436"/>
      <c r="D90" s="3436"/>
      <c r="E90" s="3436"/>
      <c r="F90" s="3436"/>
      <c r="G90" s="3436"/>
      <c r="H90" s="3436"/>
      <c r="I90" s="3436"/>
      <c r="J90" s="3436"/>
      <c r="K90" s="2414"/>
      <c r="L90" s="2414"/>
      <c r="M90" s="2414"/>
      <c r="N90" s="2414"/>
    </row>
    <row r="91" spans="1:40">
      <c r="A91" s="3437" t="s">
        <v>1442</v>
      </c>
      <c r="B91" s="3437" t="s">
        <v>1633</v>
      </c>
      <c r="C91" s="1135" t="s">
        <v>1634</v>
      </c>
      <c r="D91" s="1136"/>
      <c r="E91" s="1136"/>
      <c r="F91" s="1136"/>
      <c r="G91" s="1136"/>
      <c r="H91" s="1136"/>
      <c r="I91" s="1136"/>
      <c r="J91" s="1137"/>
      <c r="K91" s="1129"/>
      <c r="L91" s="1129"/>
      <c r="M91" s="1129"/>
      <c r="N91" s="1129"/>
    </row>
    <row r="92" spans="1:40">
      <c r="A92" s="3437"/>
      <c r="B92" s="3437"/>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44"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5"/>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4" t="s">
        <v>1636</v>
      </c>
      <c r="B101" s="1142" t="s">
        <v>905</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45"/>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45"/>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45"/>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45"/>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45"/>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45"/>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45"/>
      <c r="B108" s="3447"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6"/>
      <c r="B109" s="3448"/>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0" t="s">
        <v>1638</v>
      </c>
      <c r="B110" s="3430"/>
      <c r="C110" s="3430"/>
      <c r="D110" s="3430"/>
      <c r="E110" s="3430"/>
      <c r="F110" s="3430"/>
      <c r="G110" s="3430"/>
      <c r="H110" s="3430"/>
      <c r="I110" s="3430"/>
      <c r="J110" s="3430"/>
      <c r="K110" s="2412"/>
      <c r="L110" s="2412"/>
      <c r="M110" s="2412"/>
      <c r="N110" s="2412"/>
    </row>
    <row r="112" spans="1:14" ht="12.75" thickBot="1"/>
    <row r="113" spans="1:13" ht="25.5" thickBot="1">
      <c r="A113" s="1015" t="s">
        <v>895</v>
      </c>
      <c r="B113" s="2415">
        <f>G3</f>
        <v>4</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900</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901</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902</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1" customWidth="1"/>
    <col min="2" max="9" width="8.125" style="1100" customWidth="1"/>
    <col min="10" max="13" width="8.125" style="1061"/>
    <col min="14" max="14" width="10" style="1061" customWidth="1"/>
    <col min="15" max="16" width="8.125" style="1061"/>
    <col min="17" max="17" width="34.125" style="1061" customWidth="1"/>
    <col min="18" max="18" width="8.125" style="1061" customWidth="1"/>
    <col min="19" max="19" width="8.125" style="1061"/>
    <col min="20" max="20" width="11.625" style="1061" customWidth="1"/>
    <col min="21" max="16384" width="8.1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2972</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37" t="s">
        <v>1006</v>
      </c>
      <c r="B18" s="1149" t="s">
        <v>1445</v>
      </c>
      <c r="C18" s="1126" t="s">
        <v>1446</v>
      </c>
      <c r="D18" s="1127"/>
      <c r="E18" s="1149">
        <v>1</v>
      </c>
      <c r="F18" s="1128" t="s">
        <v>1447</v>
      </c>
      <c r="G18" s="1129"/>
      <c r="H18" s="1100"/>
      <c r="I18" s="1100"/>
    </row>
    <row r="19" spans="1:9" s="1584" customFormat="1" ht="19.5" customHeight="1">
      <c r="A19" s="3437"/>
      <c r="B19" s="3437" t="s">
        <v>1448</v>
      </c>
      <c r="C19" s="1126" t="s">
        <v>1449</v>
      </c>
      <c r="D19" s="1127"/>
      <c r="E19" s="1149">
        <v>0.9</v>
      </c>
      <c r="F19" s="1128" t="s">
        <v>1450</v>
      </c>
      <c r="G19" s="1129"/>
      <c r="H19" s="1100"/>
      <c r="I19" s="1100"/>
    </row>
    <row r="20" spans="1:9" s="1584" customFormat="1" ht="19.5" customHeight="1">
      <c r="A20" s="3437"/>
      <c r="B20" s="3437"/>
      <c r="C20" s="1126" t="s">
        <v>1451</v>
      </c>
      <c r="D20" s="1127"/>
      <c r="E20" s="1149">
        <v>1.1000000000000001</v>
      </c>
      <c r="F20" s="1128" t="s">
        <v>1452</v>
      </c>
      <c r="G20" s="1129"/>
      <c r="H20" s="1100"/>
      <c r="I20" s="1100"/>
    </row>
    <row r="21" spans="1:9" s="1584" customFormat="1" ht="19.5" customHeight="1">
      <c r="A21" s="3437"/>
      <c r="B21" s="3437"/>
      <c r="C21" s="1126" t="s">
        <v>1453</v>
      </c>
      <c r="D21" s="1127"/>
      <c r="E21" s="1149">
        <v>0.8</v>
      </c>
      <c r="F21" s="1128" t="s">
        <v>1454</v>
      </c>
      <c r="G21" s="1129"/>
      <c r="H21" s="1100"/>
      <c r="I21" s="1100"/>
    </row>
    <row r="22" spans="1:9" s="1584" customFormat="1" ht="19.5" customHeight="1">
      <c r="A22" s="3437"/>
      <c r="B22" s="3437"/>
      <c r="C22" s="1126" t="s">
        <v>1455</v>
      </c>
      <c r="D22" s="1127"/>
      <c r="E22" s="1149">
        <v>0.5</v>
      </c>
      <c r="F22" s="1128"/>
      <c r="G22" s="1129"/>
      <c r="H22" s="1100"/>
      <c r="I22" s="1100"/>
    </row>
    <row r="23" spans="1:9" s="1584" customFormat="1" ht="19.5" customHeight="1">
      <c r="A23" s="3437" t="s">
        <v>1028</v>
      </c>
      <c r="B23" s="1149" t="s">
        <v>1445</v>
      </c>
      <c r="C23" s="1126" t="s">
        <v>1456</v>
      </c>
      <c r="D23" s="1127"/>
      <c r="E23" s="1149">
        <v>1</v>
      </c>
      <c r="F23" s="1128" t="s">
        <v>1457</v>
      </c>
      <c r="G23" s="1129"/>
      <c r="H23" s="1100"/>
      <c r="I23" s="1100"/>
    </row>
    <row r="24" spans="1:9" s="1584" customFormat="1" ht="19.5" customHeight="1">
      <c r="A24" s="3437"/>
      <c r="B24" s="3437" t="s">
        <v>1448</v>
      </c>
      <c r="C24" s="1126" t="s">
        <v>1458</v>
      </c>
      <c r="D24" s="1127"/>
      <c r="E24" s="1149">
        <v>0.5</v>
      </c>
      <c r="F24" s="1128"/>
      <c r="G24" s="1129"/>
      <c r="H24" s="1100"/>
      <c r="I24" s="1100"/>
    </row>
    <row r="25" spans="1:9" s="1584" customFormat="1" ht="19.5" customHeight="1">
      <c r="A25" s="3437"/>
      <c r="B25" s="3437"/>
      <c r="C25" s="1126" t="s">
        <v>1459</v>
      </c>
      <c r="D25" s="1127"/>
      <c r="E25" s="1149">
        <v>1.1000000000000001</v>
      </c>
      <c r="F25" s="1128"/>
      <c r="G25" s="1129"/>
      <c r="H25" s="1100"/>
      <c r="I25" s="1100"/>
    </row>
    <row r="26" spans="1:9" s="1584" customFormat="1" ht="19.5" customHeight="1">
      <c r="A26" s="3437"/>
      <c r="B26" s="3437"/>
      <c r="C26" s="1126" t="s">
        <v>1460</v>
      </c>
      <c r="D26" s="1127"/>
      <c r="E26" s="1149">
        <v>1.1000000000000001</v>
      </c>
      <c r="F26" s="1128"/>
      <c r="G26" s="1129"/>
      <c r="H26" s="1100"/>
      <c r="I26" s="1100"/>
    </row>
    <row r="27" spans="1:9" s="1584" customFormat="1" ht="19.5" customHeight="1">
      <c r="A27" s="3437"/>
      <c r="B27" s="3437"/>
      <c r="C27" s="1126" t="s">
        <v>1461</v>
      </c>
      <c r="D27" s="1127"/>
      <c r="E27" s="1149">
        <v>0.9</v>
      </c>
      <c r="F27" s="1128" t="s">
        <v>1462</v>
      </c>
      <c r="G27" s="1129"/>
      <c r="H27" s="1100"/>
      <c r="I27" s="1100"/>
    </row>
    <row r="28" spans="1:9" s="1584" customFormat="1" ht="19.5" customHeight="1">
      <c r="A28" s="3437"/>
      <c r="B28" s="3437"/>
      <c r="C28" s="1126" t="s">
        <v>1463</v>
      </c>
      <c r="D28" s="1127"/>
      <c r="E28" s="1149">
        <v>0.9</v>
      </c>
      <c r="F28" s="1128" t="s">
        <v>1464</v>
      </c>
      <c r="G28" s="1129"/>
      <c r="H28" s="1100"/>
      <c r="I28" s="1100"/>
    </row>
    <row r="29" spans="1:9" s="1584" customFormat="1" ht="19.5" customHeight="1">
      <c r="A29" s="3437"/>
      <c r="B29" s="3437"/>
      <c r="C29" s="1126" t="s">
        <v>1465</v>
      </c>
      <c r="D29" s="1127"/>
      <c r="E29" s="1149">
        <v>0.9</v>
      </c>
      <c r="F29" s="1128" t="s">
        <v>1466</v>
      </c>
      <c r="G29" s="1129"/>
      <c r="H29" s="1100"/>
      <c r="I29" s="1100"/>
    </row>
    <row r="30" spans="1:9" s="1584" customFormat="1" ht="19.5" customHeight="1">
      <c r="A30" s="3437"/>
      <c r="B30" s="3437"/>
      <c r="C30" s="1126" t="s">
        <v>1467</v>
      </c>
      <c r="D30" s="1127"/>
      <c r="E30" s="1149">
        <v>0.9</v>
      </c>
      <c r="F30" s="1128" t="s">
        <v>1468</v>
      </c>
      <c r="G30" s="1129"/>
      <c r="H30" s="1100"/>
      <c r="I30" s="1100"/>
    </row>
    <row r="31" spans="1:9" s="1584" customFormat="1" ht="19.5" customHeight="1">
      <c r="A31" s="3437"/>
      <c r="B31" s="3437"/>
      <c r="C31" s="1126" t="s">
        <v>1469</v>
      </c>
      <c r="D31" s="1127"/>
      <c r="E31" s="1149">
        <v>0.8</v>
      </c>
      <c r="F31" s="1128" t="s">
        <v>1470</v>
      </c>
      <c r="G31" s="1129"/>
      <c r="H31" s="1100"/>
      <c r="I31" s="1100"/>
    </row>
    <row r="32" spans="1:9" s="1584" customFormat="1" ht="19.5" customHeight="1">
      <c r="A32" s="3437"/>
      <c r="B32" s="3437"/>
      <c r="C32" s="1126" t="s">
        <v>1471</v>
      </c>
      <c r="D32" s="1127"/>
      <c r="E32" s="1149">
        <v>0.8</v>
      </c>
      <c r="F32" s="1128" t="s">
        <v>1472</v>
      </c>
      <c r="G32" s="1129"/>
      <c r="H32" s="1100"/>
      <c r="I32" s="1100"/>
    </row>
    <row r="33" spans="1:9" s="1584" customFormat="1" ht="19.5" customHeight="1">
      <c r="A33" s="3437" t="s">
        <v>1473</v>
      </c>
      <c r="B33" s="1149" t="s">
        <v>1445</v>
      </c>
      <c r="C33" s="1126" t="s">
        <v>1474</v>
      </c>
      <c r="D33" s="1127"/>
      <c r="E33" s="1149">
        <v>1</v>
      </c>
      <c r="F33" s="1128" t="s">
        <v>1475</v>
      </c>
      <c r="G33" s="1129"/>
      <c r="H33" s="1100"/>
      <c r="I33" s="1100"/>
    </row>
    <row r="34" spans="1:9" s="1584" customFormat="1" ht="19.5" customHeight="1">
      <c r="A34" s="3437"/>
      <c r="B34" s="1149" t="s">
        <v>1448</v>
      </c>
      <c r="C34" s="1126" t="s">
        <v>1476</v>
      </c>
      <c r="D34" s="1127"/>
      <c r="E34" s="1149">
        <v>1.5</v>
      </c>
      <c r="F34" s="1128" t="s">
        <v>1477</v>
      </c>
      <c r="G34" s="1129"/>
      <c r="H34" s="1100"/>
      <c r="I34" s="1100"/>
    </row>
    <row r="35" spans="1:9" s="1584" customFormat="1" ht="19.5" customHeight="1">
      <c r="A35" s="3437" t="s">
        <v>1431</v>
      </c>
      <c r="B35" s="1149" t="s">
        <v>1445</v>
      </c>
      <c r="C35" s="1126" t="s">
        <v>1478</v>
      </c>
      <c r="D35" s="1127"/>
      <c r="E35" s="1149">
        <v>1</v>
      </c>
      <c r="F35" s="1128" t="s">
        <v>1479</v>
      </c>
      <c r="G35" s="1129"/>
      <c r="H35" s="1100"/>
      <c r="I35" s="1100"/>
    </row>
    <row r="36" spans="1:9" s="1584" customFormat="1" ht="19.5" customHeight="1">
      <c r="A36" s="3437"/>
      <c r="B36" s="3437" t="s">
        <v>1448</v>
      </c>
      <c r="C36" s="1126" t="s">
        <v>1480</v>
      </c>
      <c r="D36" s="1127"/>
      <c r="E36" s="1149">
        <v>1</v>
      </c>
      <c r="F36" s="1128" t="s">
        <v>1481</v>
      </c>
      <c r="G36" s="1129"/>
      <c r="H36" s="1100"/>
      <c r="I36" s="1100"/>
    </row>
    <row r="37" spans="1:9" s="1584" customFormat="1" ht="19.5" customHeight="1">
      <c r="A37" s="3437"/>
      <c r="B37" s="3437"/>
      <c r="C37" s="1126" t="s">
        <v>1482</v>
      </c>
      <c r="D37" s="1127"/>
      <c r="E37" s="1149">
        <v>1.5</v>
      </c>
      <c r="F37" s="1128" t="s">
        <v>1483</v>
      </c>
      <c r="G37" s="1129"/>
      <c r="H37" s="1100"/>
      <c r="I37" s="1100"/>
    </row>
    <row r="38" spans="1:9" s="1584" customFormat="1" ht="19.5" customHeight="1">
      <c r="A38" s="3437"/>
      <c r="B38" s="3437"/>
      <c r="C38" s="1126" t="s">
        <v>1484</v>
      </c>
      <c r="D38" s="1127"/>
      <c r="E38" s="1149">
        <v>1</v>
      </c>
      <c r="F38" s="1128" t="s">
        <v>1485</v>
      </c>
      <c r="G38" s="1129"/>
      <c r="H38" s="1100"/>
      <c r="I38" s="1100"/>
    </row>
    <row r="39" spans="1:9" s="1584" customFormat="1" ht="19.5" customHeight="1">
      <c r="A39" s="3437"/>
      <c r="B39" s="3437"/>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37" t="s">
        <v>1500</v>
      </c>
      <c r="C61" s="1063" t="s">
        <v>1501</v>
      </c>
      <c r="D61" s="1063" t="s">
        <v>1502</v>
      </c>
      <c r="E61" s="1134">
        <v>0.5</v>
      </c>
      <c r="F61" s="1149">
        <v>80</v>
      </c>
      <c r="H61" s="1100">
        <f>SUMIF(C59:C119,基准地价!C8,E59:E119)</f>
        <v>0</v>
      </c>
    </row>
    <row r="62" spans="1:8" s="1100" customFormat="1" ht="24">
      <c r="A62" s="1149">
        <v>2</v>
      </c>
      <c r="B62" s="3437"/>
      <c r="C62" s="1063" t="s">
        <v>1503</v>
      </c>
      <c r="D62" s="1063" t="s">
        <v>1504</v>
      </c>
      <c r="E62" s="1134">
        <v>0.5</v>
      </c>
      <c r="F62" s="1149">
        <v>80</v>
      </c>
    </row>
    <row r="63" spans="1:8" s="1100" customFormat="1" ht="36">
      <c r="A63" s="1149">
        <v>3</v>
      </c>
      <c r="B63" s="3437"/>
      <c r="C63" s="1063" t="s">
        <v>1505</v>
      </c>
      <c r="D63" s="1063" t="s">
        <v>1506</v>
      </c>
      <c r="E63" s="1134">
        <v>0.5</v>
      </c>
      <c r="F63" s="1149">
        <v>80</v>
      </c>
    </row>
    <row r="64" spans="1:8" s="1100" customFormat="1" ht="36">
      <c r="A64" s="1149">
        <v>4</v>
      </c>
      <c r="B64" s="3437"/>
      <c r="C64" s="1063" t="s">
        <v>1507</v>
      </c>
      <c r="D64" s="1063" t="s">
        <v>1508</v>
      </c>
      <c r="E64" s="1134">
        <v>0.4</v>
      </c>
      <c r="F64" s="1149">
        <v>60</v>
      </c>
    </row>
    <row r="65" spans="1:6" s="1100" customFormat="1" ht="36">
      <c r="A65" s="1149">
        <v>5</v>
      </c>
      <c r="B65" s="3437"/>
      <c r="C65" s="1063" t="s">
        <v>1509</v>
      </c>
      <c r="D65" s="1063" t="s">
        <v>1510</v>
      </c>
      <c r="E65" s="1134">
        <v>0.2</v>
      </c>
      <c r="F65" s="1149">
        <v>30</v>
      </c>
    </row>
    <row r="66" spans="1:6" s="1100" customFormat="1" ht="36">
      <c r="A66" s="1149">
        <v>6</v>
      </c>
      <c r="B66" s="3437"/>
      <c r="C66" s="1063" t="s">
        <v>1511</v>
      </c>
      <c r="D66" s="1063" t="s">
        <v>1512</v>
      </c>
      <c r="E66" s="1134">
        <v>0.3</v>
      </c>
      <c r="F66" s="1149">
        <v>50</v>
      </c>
    </row>
    <row r="67" spans="1:6" s="1100" customFormat="1" ht="36">
      <c r="A67" s="1149">
        <v>7</v>
      </c>
      <c r="B67" s="3437"/>
      <c r="C67" s="1063" t="s">
        <v>1513</v>
      </c>
      <c r="D67" s="1063" t="s">
        <v>1514</v>
      </c>
      <c r="E67" s="1134">
        <v>0.2</v>
      </c>
      <c r="F67" s="1149">
        <v>30</v>
      </c>
    </row>
    <row r="68" spans="1:6" s="1100" customFormat="1" ht="36">
      <c r="A68" s="1149">
        <v>8</v>
      </c>
      <c r="B68" s="3437"/>
      <c r="C68" s="1063" t="s">
        <v>1515</v>
      </c>
      <c r="D68" s="1063" t="s">
        <v>1516</v>
      </c>
      <c r="E68" s="1134">
        <v>0.2</v>
      </c>
      <c r="F68" s="1149">
        <v>30</v>
      </c>
    </row>
    <row r="69" spans="1:6" s="1100" customFormat="1" ht="36">
      <c r="A69" s="1149">
        <v>9</v>
      </c>
      <c r="B69" s="3437"/>
      <c r="C69" s="1063" t="s">
        <v>1517</v>
      </c>
      <c r="D69" s="1063" t="s">
        <v>1518</v>
      </c>
      <c r="E69" s="1134">
        <v>0.2</v>
      </c>
      <c r="F69" s="1149">
        <v>30</v>
      </c>
    </row>
    <row r="70" spans="1:6" s="1100" customFormat="1" ht="48">
      <c r="A70" s="1149">
        <v>10</v>
      </c>
      <c r="B70" s="3437"/>
      <c r="C70" s="1063" t="s">
        <v>1519</v>
      </c>
      <c r="D70" s="1063" t="s">
        <v>1520</v>
      </c>
      <c r="E70" s="1134">
        <v>0.2</v>
      </c>
      <c r="F70" s="1149">
        <v>30</v>
      </c>
    </row>
    <row r="71" spans="1:6" s="1100" customFormat="1" ht="48">
      <c r="A71" s="1149">
        <v>11</v>
      </c>
      <c r="B71" s="3437"/>
      <c r="C71" s="1063" t="s">
        <v>1521</v>
      </c>
      <c r="D71" s="1063" t="s">
        <v>1522</v>
      </c>
      <c r="E71" s="1134">
        <v>0.2</v>
      </c>
      <c r="F71" s="1149">
        <v>30</v>
      </c>
    </row>
    <row r="72" spans="1:6" s="1100" customFormat="1" ht="36">
      <c r="A72" s="1149">
        <v>12</v>
      </c>
      <c r="B72" s="3437"/>
      <c r="C72" s="1063" t="s">
        <v>1523</v>
      </c>
      <c r="D72" s="1063" t="s">
        <v>1524</v>
      </c>
      <c r="E72" s="1134">
        <v>0.5</v>
      </c>
      <c r="F72" s="1149">
        <v>80</v>
      </c>
    </row>
    <row r="73" spans="1:6" s="1100" customFormat="1" ht="24">
      <c r="A73" s="1149">
        <v>13</v>
      </c>
      <c r="B73" s="3437"/>
      <c r="C73" s="1063" t="s">
        <v>1525</v>
      </c>
      <c r="D73" s="1063" t="s">
        <v>1526</v>
      </c>
      <c r="E73" s="1134">
        <v>0.4</v>
      </c>
      <c r="F73" s="1149">
        <v>60</v>
      </c>
    </row>
    <row r="74" spans="1:6" s="1100" customFormat="1" ht="24">
      <c r="A74" s="1149">
        <v>14</v>
      </c>
      <c r="B74" s="3437"/>
      <c r="C74" s="1063" t="s">
        <v>1527</v>
      </c>
      <c r="D74" s="1063" t="s">
        <v>1528</v>
      </c>
      <c r="E74" s="1134">
        <v>0.2</v>
      </c>
      <c r="F74" s="1149">
        <v>30</v>
      </c>
    </row>
    <row r="75" spans="1:6" s="1100" customFormat="1" ht="24">
      <c r="A75" s="1149">
        <v>15</v>
      </c>
      <c r="B75" s="3437"/>
      <c r="C75" s="1063" t="s">
        <v>1529</v>
      </c>
      <c r="D75" s="1063" t="s">
        <v>1530</v>
      </c>
      <c r="E75" s="1134">
        <v>0.2</v>
      </c>
      <c r="F75" s="1149">
        <v>30</v>
      </c>
    </row>
    <row r="76" spans="1:6" s="1100" customFormat="1" ht="24">
      <c r="A76" s="1149">
        <v>16</v>
      </c>
      <c r="B76" s="3437" t="s">
        <v>1531</v>
      </c>
      <c r="C76" s="1063" t="s">
        <v>1532</v>
      </c>
      <c r="D76" s="1063" t="s">
        <v>1533</v>
      </c>
      <c r="E76" s="1134">
        <v>0.5</v>
      </c>
      <c r="F76" s="1149">
        <v>80</v>
      </c>
    </row>
    <row r="77" spans="1:6" s="1100" customFormat="1" ht="24">
      <c r="A77" s="1149">
        <v>17</v>
      </c>
      <c r="B77" s="3437"/>
      <c r="C77" s="1063" t="s">
        <v>1534</v>
      </c>
      <c r="D77" s="1063" t="s">
        <v>1535</v>
      </c>
      <c r="E77" s="1134">
        <v>0.5</v>
      </c>
      <c r="F77" s="1149">
        <v>80</v>
      </c>
    </row>
    <row r="78" spans="1:6" s="1100" customFormat="1" ht="24">
      <c r="A78" s="1149">
        <v>18</v>
      </c>
      <c r="B78" s="3437"/>
      <c r="C78" s="1063" t="s">
        <v>1536</v>
      </c>
      <c r="D78" s="1063" t="s">
        <v>1537</v>
      </c>
      <c r="E78" s="1134">
        <v>0.2</v>
      </c>
      <c r="F78" s="1149">
        <v>30</v>
      </c>
    </row>
    <row r="79" spans="1:6" s="1100" customFormat="1" ht="24">
      <c r="A79" s="1149">
        <v>19</v>
      </c>
      <c r="B79" s="3437"/>
      <c r="C79" s="1063" t="s">
        <v>1538</v>
      </c>
      <c r="D79" s="1063" t="s">
        <v>1539</v>
      </c>
      <c r="E79" s="1134">
        <v>0.5</v>
      </c>
      <c r="F79" s="1149">
        <v>80</v>
      </c>
    </row>
    <row r="80" spans="1:6" s="1100" customFormat="1" ht="36">
      <c r="A80" s="1149">
        <v>20</v>
      </c>
      <c r="B80" s="3437"/>
      <c r="C80" s="1063" t="s">
        <v>1540</v>
      </c>
      <c r="D80" s="1063" t="s">
        <v>1541</v>
      </c>
      <c r="E80" s="1134">
        <v>0.2</v>
      </c>
      <c r="F80" s="1149">
        <v>30</v>
      </c>
    </row>
    <row r="81" spans="1:6" s="1100" customFormat="1" ht="36">
      <c r="A81" s="1149">
        <v>21</v>
      </c>
      <c r="B81" s="3437"/>
      <c r="C81" s="1063" t="s">
        <v>1542</v>
      </c>
      <c r="D81" s="1063" t="s">
        <v>1543</v>
      </c>
      <c r="E81" s="1134">
        <v>0.2</v>
      </c>
      <c r="F81" s="1149">
        <v>30</v>
      </c>
    </row>
    <row r="82" spans="1:6" s="1100" customFormat="1" ht="48">
      <c r="A82" s="1149">
        <v>22</v>
      </c>
      <c r="B82" s="3437"/>
      <c r="C82" s="1063" t="s">
        <v>1544</v>
      </c>
      <c r="D82" s="1063" t="s">
        <v>1545</v>
      </c>
      <c r="E82" s="1134">
        <v>0.2</v>
      </c>
      <c r="F82" s="1149">
        <v>30</v>
      </c>
    </row>
    <row r="83" spans="1:6" s="1100" customFormat="1" ht="48">
      <c r="A83" s="1149">
        <v>23</v>
      </c>
      <c r="B83" s="3437"/>
      <c r="C83" s="1063" t="s">
        <v>1546</v>
      </c>
      <c r="D83" s="1063" t="s">
        <v>1547</v>
      </c>
      <c r="E83" s="1134">
        <v>0.2</v>
      </c>
      <c r="F83" s="1149">
        <v>30</v>
      </c>
    </row>
    <row r="84" spans="1:6" s="1100" customFormat="1" ht="36">
      <c r="A84" s="1149">
        <v>24</v>
      </c>
      <c r="B84" s="3437"/>
      <c r="C84" s="1063" t="s">
        <v>1548</v>
      </c>
      <c r="D84" s="1063" t="s">
        <v>1549</v>
      </c>
      <c r="E84" s="1134">
        <v>0.2</v>
      </c>
      <c r="F84" s="1149">
        <v>30</v>
      </c>
    </row>
    <row r="85" spans="1:6" s="1100" customFormat="1" ht="36">
      <c r="A85" s="1149">
        <v>25</v>
      </c>
      <c r="B85" s="3437"/>
      <c r="C85" s="1063" t="s">
        <v>1550</v>
      </c>
      <c r="D85" s="1063" t="s">
        <v>1551</v>
      </c>
      <c r="E85" s="1134">
        <v>0.5</v>
      </c>
      <c r="F85" s="1149">
        <v>80</v>
      </c>
    </row>
    <row r="86" spans="1:6" s="1100" customFormat="1" ht="36">
      <c r="A86" s="1149">
        <v>26</v>
      </c>
      <c r="B86" s="3437"/>
      <c r="C86" s="1063" t="s">
        <v>1552</v>
      </c>
      <c r="D86" s="1063" t="s">
        <v>1553</v>
      </c>
      <c r="E86" s="1134">
        <v>0.2</v>
      </c>
      <c r="F86" s="1149">
        <v>30</v>
      </c>
    </row>
    <row r="87" spans="1:6" s="1100" customFormat="1" ht="36">
      <c r="A87" s="1149">
        <v>27</v>
      </c>
      <c r="B87" s="3437"/>
      <c r="C87" s="1063" t="s">
        <v>1554</v>
      </c>
      <c r="D87" s="1063" t="s">
        <v>1555</v>
      </c>
      <c r="E87" s="1134">
        <v>0.2</v>
      </c>
      <c r="F87" s="1149">
        <v>30</v>
      </c>
    </row>
    <row r="88" spans="1:6" s="1100" customFormat="1" ht="36">
      <c r="A88" s="1149">
        <v>28</v>
      </c>
      <c r="B88" s="3437"/>
      <c r="C88" s="1063" t="s">
        <v>1556</v>
      </c>
      <c r="D88" s="1063" t="s">
        <v>1557</v>
      </c>
      <c r="E88" s="1134">
        <v>0.2</v>
      </c>
      <c r="F88" s="1149">
        <v>30</v>
      </c>
    </row>
    <row r="89" spans="1:6" s="1100" customFormat="1" ht="24">
      <c r="A89" s="1149">
        <v>29</v>
      </c>
      <c r="B89" s="3437"/>
      <c r="C89" s="1063" t="s">
        <v>1558</v>
      </c>
      <c r="D89" s="1063" t="s">
        <v>1559</v>
      </c>
      <c r="E89" s="1134">
        <v>0.2</v>
      </c>
      <c r="F89" s="1149">
        <v>30</v>
      </c>
    </row>
    <row r="90" spans="1:6" s="1100" customFormat="1" ht="24">
      <c r="A90" s="1149">
        <v>30</v>
      </c>
      <c r="B90" s="3437"/>
      <c r="C90" s="1063" t="s">
        <v>1560</v>
      </c>
      <c r="D90" s="1063" t="s">
        <v>1561</v>
      </c>
      <c r="E90" s="1134">
        <v>0.2</v>
      </c>
      <c r="F90" s="1149">
        <v>30</v>
      </c>
    </row>
    <row r="91" spans="1:6" s="1100" customFormat="1" ht="36">
      <c r="A91" s="1149">
        <v>31</v>
      </c>
      <c r="B91" s="3437"/>
      <c r="C91" s="1063" t="s">
        <v>1562</v>
      </c>
      <c r="D91" s="1063" t="s">
        <v>1563</v>
      </c>
      <c r="E91" s="1134">
        <v>0.2</v>
      </c>
      <c r="F91" s="1149">
        <v>30</v>
      </c>
    </row>
    <row r="92" spans="1:6" s="1100" customFormat="1" ht="24">
      <c r="A92" s="1149">
        <v>32</v>
      </c>
      <c r="B92" s="3437" t="s">
        <v>1564</v>
      </c>
      <c r="C92" s="1149" t="s">
        <v>1565</v>
      </c>
      <c r="D92" s="1063" t="s">
        <v>1566</v>
      </c>
      <c r="E92" s="1134">
        <v>0.2</v>
      </c>
      <c r="F92" s="1149">
        <v>30</v>
      </c>
    </row>
    <row r="93" spans="1:6" s="1100" customFormat="1" ht="36">
      <c r="A93" s="1149">
        <v>33</v>
      </c>
      <c r="B93" s="3437"/>
      <c r="C93" s="1149" t="s">
        <v>1567</v>
      </c>
      <c r="D93" s="1063" t="s">
        <v>1568</v>
      </c>
      <c r="E93" s="1134">
        <v>0.2</v>
      </c>
      <c r="F93" s="1149">
        <v>30</v>
      </c>
    </row>
    <row r="94" spans="1:6" s="1100" customFormat="1" ht="48">
      <c r="A94" s="1149">
        <v>34</v>
      </c>
      <c r="B94" s="3437"/>
      <c r="C94" s="1149" t="s">
        <v>1569</v>
      </c>
      <c r="D94" s="1063" t="s">
        <v>1570</v>
      </c>
      <c r="E94" s="1134">
        <v>0.2</v>
      </c>
      <c r="F94" s="1149">
        <v>30</v>
      </c>
    </row>
    <row r="95" spans="1:6" s="1100" customFormat="1" ht="36">
      <c r="A95" s="1149">
        <v>35</v>
      </c>
      <c r="B95" s="3437"/>
      <c r="C95" s="1149" t="s">
        <v>1571</v>
      </c>
      <c r="D95" s="1063" t="s">
        <v>1572</v>
      </c>
      <c r="E95" s="1134">
        <v>0.2</v>
      </c>
      <c r="F95" s="1149">
        <v>30</v>
      </c>
    </row>
    <row r="96" spans="1:6" s="1100" customFormat="1" ht="48">
      <c r="A96" s="1149">
        <v>36</v>
      </c>
      <c r="B96" s="3437"/>
      <c r="C96" s="1063" t="s">
        <v>1573</v>
      </c>
      <c r="D96" s="1063" t="s">
        <v>1574</v>
      </c>
      <c r="E96" s="1134">
        <v>0.2</v>
      </c>
      <c r="F96" s="1149">
        <v>30</v>
      </c>
    </row>
    <row r="97" spans="1:6" s="1100" customFormat="1" ht="36">
      <c r="A97" s="1149">
        <v>37</v>
      </c>
      <c r="B97" s="3437"/>
      <c r="C97" s="1149" t="s">
        <v>1575</v>
      </c>
      <c r="D97" s="1063" t="s">
        <v>1576</v>
      </c>
      <c r="E97" s="1134">
        <v>0.2</v>
      </c>
      <c r="F97" s="1149">
        <v>30</v>
      </c>
    </row>
    <row r="98" spans="1:6" s="1100" customFormat="1" ht="36">
      <c r="A98" s="1149">
        <v>38</v>
      </c>
      <c r="B98" s="3437"/>
      <c r="C98" s="1149" t="s">
        <v>1577</v>
      </c>
      <c r="D98" s="1063" t="s">
        <v>1578</v>
      </c>
      <c r="E98" s="1134">
        <v>0.2</v>
      </c>
      <c r="F98" s="1149">
        <v>30</v>
      </c>
    </row>
    <row r="99" spans="1:6" s="1100" customFormat="1" ht="36">
      <c r="A99" s="1149">
        <v>39</v>
      </c>
      <c r="B99" s="3437" t="s">
        <v>1579</v>
      </c>
      <c r="C99" s="1149" t="s">
        <v>1580</v>
      </c>
      <c r="D99" s="1063" t="s">
        <v>1581</v>
      </c>
      <c r="E99" s="1134">
        <v>0.3</v>
      </c>
      <c r="F99" s="1149">
        <v>50</v>
      </c>
    </row>
    <row r="100" spans="1:6" s="1100" customFormat="1" ht="24">
      <c r="A100" s="1149">
        <v>40</v>
      </c>
      <c r="B100" s="3437"/>
      <c r="C100" s="1149" t="s">
        <v>1582</v>
      </c>
      <c r="D100" s="1063" t="s">
        <v>1583</v>
      </c>
      <c r="E100" s="1134">
        <v>0.2</v>
      </c>
      <c r="F100" s="1149">
        <v>30</v>
      </c>
    </row>
    <row r="101" spans="1:6" s="1100" customFormat="1" ht="36">
      <c r="A101" s="1149">
        <v>41</v>
      </c>
      <c r="B101" s="3437"/>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37" t="s">
        <v>1594</v>
      </c>
      <c r="C105" s="1149" t="s">
        <v>1595</v>
      </c>
      <c r="D105" s="1063" t="s">
        <v>1596</v>
      </c>
      <c r="E105" s="1134">
        <v>0.2</v>
      </c>
      <c r="F105" s="1149">
        <v>30</v>
      </c>
    </row>
    <row r="106" spans="1:6" s="1100" customFormat="1" ht="36">
      <c r="A106" s="1149">
        <v>46</v>
      </c>
      <c r="B106" s="3437"/>
      <c r="C106" s="1149" t="s">
        <v>1597</v>
      </c>
      <c r="D106" s="1063" t="s">
        <v>1598</v>
      </c>
      <c r="E106" s="1134">
        <v>0.2</v>
      </c>
      <c r="F106" s="1149">
        <v>30</v>
      </c>
    </row>
    <row r="107" spans="1:6" s="1100" customFormat="1" ht="36">
      <c r="A107" s="1149">
        <v>47</v>
      </c>
      <c r="B107" s="3437" t="s">
        <v>1599</v>
      </c>
      <c r="C107" s="1149" t="s">
        <v>1600</v>
      </c>
      <c r="D107" s="1063" t="s">
        <v>1601</v>
      </c>
      <c r="E107" s="1134">
        <v>0.3</v>
      </c>
      <c r="F107" s="1149">
        <v>50</v>
      </c>
    </row>
    <row r="108" spans="1:6" s="1100" customFormat="1" ht="36">
      <c r="A108" s="1149">
        <v>48</v>
      </c>
      <c r="B108" s="3437"/>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37" t="s">
        <v>1610</v>
      </c>
      <c r="C111" s="1149" t="s">
        <v>1611</v>
      </c>
      <c r="D111" s="1063" t="s">
        <v>1612</v>
      </c>
      <c r="E111" s="1134">
        <v>0.2</v>
      </c>
      <c r="F111" s="1149">
        <v>30</v>
      </c>
    </row>
    <row r="112" spans="1:6" s="1100" customFormat="1" ht="24">
      <c r="A112" s="1149">
        <v>52</v>
      </c>
      <c r="B112" s="3437"/>
      <c r="C112" s="1149" t="s">
        <v>1613</v>
      </c>
      <c r="D112" s="1063" t="s">
        <v>1614</v>
      </c>
      <c r="E112" s="1134">
        <v>0.2</v>
      </c>
      <c r="F112" s="1149">
        <v>30</v>
      </c>
    </row>
    <row r="113" spans="1:14" s="1100" customFormat="1" ht="24">
      <c r="A113" s="1149">
        <v>53</v>
      </c>
      <c r="B113" s="3437"/>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37" t="s">
        <v>1623</v>
      </c>
      <c r="C116" s="1149" t="s">
        <v>1624</v>
      </c>
      <c r="D116" s="1063" t="s">
        <v>1625</v>
      </c>
      <c r="E116" s="1134">
        <v>0.2</v>
      </c>
      <c r="F116" s="1149">
        <v>30</v>
      </c>
    </row>
    <row r="117" spans="1:14" ht="36">
      <c r="A117" s="1149">
        <v>57</v>
      </c>
      <c r="B117" s="3437"/>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36" t="s">
        <v>1632</v>
      </c>
      <c r="B121" s="3436"/>
      <c r="C121" s="3436"/>
      <c r="D121" s="3436"/>
      <c r="E121" s="3436"/>
      <c r="F121" s="3436"/>
      <c r="G121" s="3436"/>
      <c r="H121" s="3436"/>
      <c r="I121" s="3436"/>
      <c r="J121" s="343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125" style="1061" customWidth="1"/>
    <col min="6" max="6" width="9" style="1061"/>
    <col min="7" max="7" width="9" style="1064"/>
    <col min="8" max="8" width="9" style="1061"/>
    <col min="9" max="9" width="9" style="1064"/>
    <col min="10" max="16384" width="9" style="1061"/>
  </cols>
  <sheetData>
    <row r="1" spans="1:20">
      <c r="A1" s="3451" t="s">
        <v>1038</v>
      </c>
      <c r="B1" s="3451"/>
      <c r="C1" s="3451"/>
      <c r="D1" s="3451"/>
      <c r="E1" s="3451"/>
      <c r="F1" s="3451"/>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52" t="s">
        <v>1051</v>
      </c>
      <c r="B2" s="3452"/>
      <c r="C2" s="3452"/>
      <c r="D2" s="3452"/>
      <c r="E2" s="3452"/>
      <c r="F2" s="3452"/>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53"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54"/>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2419</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2420</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75" defaultRowHeight="13.5"/>
  <cols>
    <col min="1" max="1" width="12.625" style="1865" customWidth="1"/>
    <col min="2" max="2" width="10.125" style="1866" customWidth="1"/>
  </cols>
  <sheetData>
    <row r="1" spans="1:6">
      <c r="A1" s="3455" t="s">
        <v>2076</v>
      </c>
      <c r="B1" s="3455"/>
    </row>
    <row r="2" spans="1:6" ht="14.25" thickBot="1">
      <c r="A2" s="1836"/>
      <c r="B2" s="1836"/>
    </row>
    <row r="3" spans="1:6" ht="14.25" thickBot="1">
      <c r="A3" s="1836"/>
      <c r="B3" s="1836"/>
      <c r="C3" s="1837" t="s">
        <v>2077</v>
      </c>
      <c r="D3" s="1837" t="s">
        <v>2078</v>
      </c>
      <c r="E3" s="1837" t="s">
        <v>2079</v>
      </c>
      <c r="F3" s="1837" t="s">
        <v>2080</v>
      </c>
    </row>
    <row r="4" spans="1:6" ht="14.25" thickBot="1">
      <c r="A4" s="1838" t="s">
        <v>2081</v>
      </c>
      <c r="B4" s="1839" t="s">
        <v>2082</v>
      </c>
      <c r="C4" s="1837"/>
      <c r="D4" s="1837"/>
      <c r="E4" s="1837"/>
      <c r="F4" s="1837"/>
    </row>
    <row r="5" spans="1:6" ht="14.25" thickBot="1">
      <c r="A5" s="1840" t="s">
        <v>2083</v>
      </c>
      <c r="B5" s="1841" t="s">
        <v>2084</v>
      </c>
      <c r="C5" s="1842">
        <v>8.8999999999999996E-2</v>
      </c>
      <c r="D5" s="1842">
        <v>7.3999999999999996E-2</v>
      </c>
      <c r="E5" s="1842">
        <v>7.4999999999999997E-2</v>
      </c>
      <c r="F5" s="1843">
        <v>0.1</v>
      </c>
    </row>
    <row r="6" spans="1:6" ht="14.25" thickBot="1">
      <c r="A6" s="1840" t="s">
        <v>1095</v>
      </c>
      <c r="B6" s="1844" t="s">
        <v>2085</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2086</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2087</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2088</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2089</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24.75" thickBot="1">
      <c r="A72" s="1840" t="s">
        <v>924</v>
      </c>
      <c r="B72" s="1844" t="s">
        <v>2090</v>
      </c>
      <c r="C72" s="1854"/>
      <c r="D72" s="1854"/>
      <c r="E72" s="1854"/>
      <c r="F72" s="1846">
        <v>0.05</v>
      </c>
    </row>
    <row r="73" spans="1:6" ht="24.75" thickBot="1">
      <c r="A73" s="1840" t="s">
        <v>924</v>
      </c>
      <c r="B73" s="1844" t="s">
        <v>2091</v>
      </c>
      <c r="C73" s="1854"/>
      <c r="D73" s="1854"/>
      <c r="E73" s="1854"/>
      <c r="F73" s="1846">
        <v>0.05</v>
      </c>
    </row>
    <row r="74" spans="1:6" ht="24.75" thickBot="1">
      <c r="A74" s="1840" t="s">
        <v>924</v>
      </c>
      <c r="B74" s="1844" t="s">
        <v>2092</v>
      </c>
      <c r="C74" s="1854"/>
      <c r="D74" s="1854"/>
      <c r="E74" s="1854"/>
      <c r="F74" s="1846">
        <v>0.05</v>
      </c>
    </row>
    <row r="75" spans="1:6" ht="24.75" thickBot="1">
      <c r="A75" s="1848" t="s">
        <v>924</v>
      </c>
      <c r="B75" s="1855" t="s">
        <v>2093</v>
      </c>
      <c r="C75" s="1851"/>
      <c r="D75" s="1851"/>
      <c r="E75" s="1851"/>
      <c r="F75" s="1856">
        <v>0.05</v>
      </c>
    </row>
    <row r="76" spans="1:6" ht="14.25" thickBot="1">
      <c r="A76" s="1840" t="s">
        <v>1406</v>
      </c>
      <c r="B76" s="1841" t="s">
        <v>2094</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24.75" thickBot="1">
      <c r="A102" s="1840" t="s">
        <v>1406</v>
      </c>
      <c r="B102" s="1844" t="s">
        <v>2095</v>
      </c>
      <c r="C102" s="1854"/>
      <c r="D102" s="1854"/>
      <c r="E102" s="1854"/>
      <c r="F102" s="1846">
        <v>0.05</v>
      </c>
    </row>
    <row r="103" spans="1:6" ht="24.75" thickBot="1">
      <c r="A103" s="1840" t="s">
        <v>1406</v>
      </c>
      <c r="B103" s="1844" t="s">
        <v>2096</v>
      </c>
      <c r="C103" s="1854"/>
      <c r="D103" s="1854"/>
      <c r="E103" s="1854"/>
      <c r="F103" s="1846">
        <v>0.05</v>
      </c>
    </row>
    <row r="104" spans="1:6" ht="14.25" thickBot="1">
      <c r="A104" s="1840" t="s">
        <v>1406</v>
      </c>
      <c r="B104" s="1844" t="s">
        <v>2097</v>
      </c>
      <c r="C104" s="1854"/>
      <c r="D104" s="1854"/>
      <c r="E104" s="1854"/>
      <c r="F104" s="1846">
        <v>0.05</v>
      </c>
    </row>
    <row r="105" spans="1:6" ht="14.25" thickBot="1">
      <c r="A105" s="1840" t="s">
        <v>1406</v>
      </c>
      <c r="B105" s="1844" t="s">
        <v>2098</v>
      </c>
      <c r="C105" s="1854"/>
      <c r="D105" s="1854"/>
      <c r="E105" s="1854"/>
      <c r="F105" s="1846">
        <v>0.05</v>
      </c>
    </row>
    <row r="106" spans="1:6" ht="14.25" thickBot="1">
      <c r="A106" s="1840" t="s">
        <v>1406</v>
      </c>
      <c r="B106" s="1844" t="s">
        <v>2099</v>
      </c>
      <c r="C106" s="1854"/>
      <c r="D106" s="1854"/>
      <c r="E106" s="1854"/>
      <c r="F106" s="1846">
        <v>0.05</v>
      </c>
    </row>
    <row r="107" spans="1:6" ht="24.75" thickBot="1">
      <c r="A107" s="1840" t="s">
        <v>1406</v>
      </c>
      <c r="B107" s="1844" t="s">
        <v>2100</v>
      </c>
      <c r="C107" s="1854"/>
      <c r="D107" s="1854"/>
      <c r="E107" s="1854"/>
      <c r="F107" s="1846">
        <v>0.05</v>
      </c>
    </row>
    <row r="108" spans="1:6" ht="24.75" thickBot="1">
      <c r="A108" s="1840" t="s">
        <v>1406</v>
      </c>
      <c r="B108" s="1844" t="s">
        <v>2101</v>
      </c>
      <c r="C108" s="1854"/>
      <c r="D108" s="1854"/>
      <c r="E108" s="1854"/>
      <c r="F108" s="1846">
        <v>0.05</v>
      </c>
    </row>
    <row r="109" spans="1:6" ht="24.75" thickBot="1">
      <c r="A109" s="1848" t="s">
        <v>1406</v>
      </c>
      <c r="B109" s="1855" t="s">
        <v>2102</v>
      </c>
      <c r="C109" s="1851"/>
      <c r="D109" s="1851"/>
      <c r="E109" s="1851"/>
      <c r="F109" s="1856">
        <v>0.05</v>
      </c>
    </row>
    <row r="110" spans="1:6" ht="14.25" thickBot="1">
      <c r="A110" s="1840" t="s">
        <v>1408</v>
      </c>
      <c r="B110" s="1841" t="s">
        <v>2103</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2104</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2105</v>
      </c>
      <c r="C138" s="1845">
        <v>0.105</v>
      </c>
      <c r="D138" s="1845">
        <v>0.125</v>
      </c>
      <c r="E138" s="1845">
        <v>0.112</v>
      </c>
      <c r="F138" s="1853"/>
    </row>
    <row r="139" spans="1:6" ht="14.25" thickBot="1">
      <c r="A139" s="1840" t="s">
        <v>1408</v>
      </c>
      <c r="B139" s="1844" t="s">
        <v>2106</v>
      </c>
      <c r="C139" s="1845">
        <v>0.127</v>
      </c>
      <c r="D139" s="1845">
        <v>0.127</v>
      </c>
      <c r="E139" s="1845">
        <v>0.122</v>
      </c>
      <c r="F139" s="1846">
        <v>0.13</v>
      </c>
    </row>
    <row r="140" spans="1:6" ht="14.25" thickBot="1">
      <c r="A140" s="1840" t="s">
        <v>1408</v>
      </c>
      <c r="B140" s="1844" t="s">
        <v>2107</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2108</v>
      </c>
      <c r="C144" s="1858">
        <v>0.126</v>
      </c>
      <c r="D144" s="1858">
        <v>0.126</v>
      </c>
      <c r="E144" s="1858">
        <v>0.121</v>
      </c>
      <c r="F144" s="1853"/>
    </row>
    <row r="145" spans="1:6" ht="14.25" thickBot="1">
      <c r="A145" s="1848" t="s">
        <v>1408</v>
      </c>
      <c r="B145" s="1859" t="s">
        <v>2109</v>
      </c>
      <c r="C145" s="1860"/>
      <c r="D145" s="1860"/>
      <c r="E145" s="1860"/>
      <c r="F145" s="1861">
        <v>0.05</v>
      </c>
    </row>
    <row r="146" spans="1:6" ht="24.75" thickBot="1">
      <c r="A146" s="1862" t="s">
        <v>1408</v>
      </c>
      <c r="B146" s="1847" t="s">
        <v>2110</v>
      </c>
      <c r="C146" s="1854"/>
      <c r="D146" s="1854"/>
      <c r="E146" s="1854"/>
      <c r="F146" s="1863">
        <v>0.05</v>
      </c>
    </row>
    <row r="147" spans="1:6" ht="24.75" thickBot="1">
      <c r="A147" s="1840" t="s">
        <v>1408</v>
      </c>
      <c r="B147" s="1844" t="s">
        <v>2111</v>
      </c>
      <c r="C147" s="1854"/>
      <c r="D147" s="1854"/>
      <c r="E147" s="1854"/>
      <c r="F147" s="1846">
        <v>0.05</v>
      </c>
    </row>
    <row r="148" spans="1:6" ht="24.75" thickBot="1">
      <c r="A148" s="1840" t="s">
        <v>1408</v>
      </c>
      <c r="B148" s="1844" t="s">
        <v>2112</v>
      </c>
      <c r="C148" s="1854"/>
      <c r="D148" s="1854"/>
      <c r="E148" s="1854"/>
      <c r="F148" s="1846">
        <v>0.05</v>
      </c>
    </row>
    <row r="149" spans="1:6" ht="24.75" thickBot="1">
      <c r="A149" s="1840" t="s">
        <v>1408</v>
      </c>
      <c r="B149" s="1844" t="s">
        <v>2113</v>
      </c>
      <c r="C149" s="1854"/>
      <c r="D149" s="1854"/>
      <c r="E149" s="1854"/>
      <c r="F149" s="1846">
        <v>0.05</v>
      </c>
    </row>
    <row r="150" spans="1:6" ht="24.75" thickBot="1">
      <c r="A150" s="1840" t="s">
        <v>1408</v>
      </c>
      <c r="B150" s="1844" t="s">
        <v>2114</v>
      </c>
      <c r="C150" s="1854"/>
      <c r="D150" s="1854"/>
      <c r="E150" s="1854"/>
      <c r="F150" s="1846">
        <v>0.05</v>
      </c>
    </row>
    <row r="151" spans="1:6" ht="24.75" thickBot="1">
      <c r="A151" s="1840" t="s">
        <v>1408</v>
      </c>
      <c r="B151" s="1844" t="s">
        <v>2115</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2116</v>
      </c>
      <c r="C153" s="1854"/>
      <c r="D153" s="1854"/>
      <c r="E153" s="1854"/>
      <c r="F153" s="1846">
        <v>0.05</v>
      </c>
    </row>
    <row r="154" spans="1:6" ht="14.25" thickBot="1">
      <c r="A154" s="1840" t="s">
        <v>1408</v>
      </c>
      <c r="B154" s="1844" t="s">
        <v>2117</v>
      </c>
      <c r="C154" s="1854"/>
      <c r="D154" s="1854"/>
      <c r="E154" s="1854"/>
      <c r="F154" s="1846">
        <v>0.05</v>
      </c>
    </row>
    <row r="155" spans="1:6" ht="24.75" thickBot="1">
      <c r="A155" s="1840" t="s">
        <v>1408</v>
      </c>
      <c r="B155" s="1844" t="s">
        <v>2118</v>
      </c>
      <c r="C155" s="1854"/>
      <c r="D155" s="1854"/>
      <c r="E155" s="1854"/>
      <c r="F155" s="1846">
        <v>0.05</v>
      </c>
    </row>
    <row r="156" spans="1:6" ht="24.75" thickBot="1">
      <c r="A156" s="1840" t="s">
        <v>1408</v>
      </c>
      <c r="B156" s="1844" t="s">
        <v>2119</v>
      </c>
      <c r="C156" s="1854"/>
      <c r="D156" s="1854"/>
      <c r="E156" s="1854"/>
      <c r="F156" s="1846">
        <v>0.05</v>
      </c>
    </row>
    <row r="157" spans="1:6" ht="14.25" thickBot="1">
      <c r="A157" s="1848" t="s">
        <v>1408</v>
      </c>
      <c r="B157" s="1855" t="s">
        <v>2120</v>
      </c>
      <c r="C157" s="1851"/>
      <c r="D157" s="1851"/>
      <c r="E157" s="1851"/>
      <c r="F157" s="1856">
        <v>0.05</v>
      </c>
    </row>
    <row r="158" spans="1:6" ht="14.25" thickBot="1">
      <c r="A158" s="1840" t="s">
        <v>1410</v>
      </c>
      <c r="B158" s="1841" t="s">
        <v>2121</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2122</v>
      </c>
      <c r="C171" s="1845">
        <v>0.127</v>
      </c>
      <c r="D171" s="1845">
        <v>0.126</v>
      </c>
      <c r="E171" s="1845">
        <v>0.126</v>
      </c>
      <c r="F171" s="1846">
        <v>0.11799999999999999</v>
      </c>
    </row>
    <row r="172" spans="1:6" ht="14.25" thickBot="1">
      <c r="A172" s="1840" t="s">
        <v>1410</v>
      </c>
      <c r="B172" s="1844" t="s">
        <v>2123</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2124</v>
      </c>
      <c r="C174" s="1845">
        <v>0.13</v>
      </c>
      <c r="D174" s="1845">
        <v>0.13</v>
      </c>
      <c r="E174" s="1845">
        <v>0.13</v>
      </c>
      <c r="F174" s="1846">
        <v>0.13</v>
      </c>
    </row>
    <row r="175" spans="1:6" ht="14.25" thickBot="1">
      <c r="A175" s="1840" t="s">
        <v>1410</v>
      </c>
      <c r="B175" s="1844" t="s">
        <v>2125</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2126</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2127</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2128</v>
      </c>
      <c r="C185" s="1845">
        <v>0.127</v>
      </c>
      <c r="D185" s="1845">
        <v>0.127</v>
      </c>
      <c r="E185" s="1845">
        <v>0.128</v>
      </c>
      <c r="F185" s="1846">
        <v>0.13</v>
      </c>
    </row>
    <row r="186" spans="1:6" ht="24.75" thickBot="1">
      <c r="A186" s="1840" t="s">
        <v>1410</v>
      </c>
      <c r="B186" s="1844" t="s">
        <v>2129</v>
      </c>
      <c r="C186" s="1854"/>
      <c r="D186" s="1854"/>
      <c r="E186" s="1854"/>
      <c r="F186" s="1846">
        <v>0.05</v>
      </c>
    </row>
    <row r="187" spans="1:6" ht="14.25" thickBot="1">
      <c r="A187" s="1840" t="s">
        <v>1410</v>
      </c>
      <c r="B187" s="1844" t="s">
        <v>2130</v>
      </c>
      <c r="C187" s="1854"/>
      <c r="D187" s="1854"/>
      <c r="E187" s="1854"/>
      <c r="F187" s="1846">
        <v>0.05</v>
      </c>
    </row>
    <row r="188" spans="1:6" ht="24.75" thickBot="1">
      <c r="A188" s="1840" t="s">
        <v>1410</v>
      </c>
      <c r="B188" s="1844" t="s">
        <v>2131</v>
      </c>
      <c r="C188" s="1854"/>
      <c r="D188" s="1854"/>
      <c r="E188" s="1854"/>
      <c r="F188" s="1846">
        <v>0.05</v>
      </c>
    </row>
    <row r="189" spans="1:6" ht="24.75" thickBot="1">
      <c r="A189" s="1840" t="s">
        <v>1410</v>
      </c>
      <c r="B189" s="1844" t="s">
        <v>2132</v>
      </c>
      <c r="C189" s="1854"/>
      <c r="D189" s="1854"/>
      <c r="E189" s="1854"/>
      <c r="F189" s="1846">
        <v>0.05</v>
      </c>
    </row>
    <row r="190" spans="1:6" ht="24.75" thickBot="1">
      <c r="A190" s="1840" t="s">
        <v>1410</v>
      </c>
      <c r="B190" s="1844" t="s">
        <v>2133</v>
      </c>
      <c r="C190" s="1854"/>
      <c r="D190" s="1854"/>
      <c r="E190" s="1854"/>
      <c r="F190" s="1846">
        <v>0.05</v>
      </c>
    </row>
    <row r="191" spans="1:6" ht="24.75" thickBot="1">
      <c r="A191" s="1840" t="s">
        <v>1410</v>
      </c>
      <c r="B191" s="1844" t="s">
        <v>2134</v>
      </c>
      <c r="C191" s="1854"/>
      <c r="D191" s="1854"/>
      <c r="E191" s="1854"/>
      <c r="F191" s="1846">
        <v>0.05</v>
      </c>
    </row>
    <row r="192" spans="1:6" ht="24.75" thickBot="1">
      <c r="A192" s="1840" t="s">
        <v>1410</v>
      </c>
      <c r="B192" s="1844" t="s">
        <v>2135</v>
      </c>
      <c r="C192" s="1854"/>
      <c r="D192" s="1854"/>
      <c r="E192" s="1854"/>
      <c r="F192" s="1846">
        <v>0.05</v>
      </c>
    </row>
    <row r="193" spans="1:6" ht="24.75" thickBot="1">
      <c r="A193" s="1840" t="s">
        <v>1410</v>
      </c>
      <c r="B193" s="1844" t="s">
        <v>2136</v>
      </c>
      <c r="C193" s="1854"/>
      <c r="D193" s="1854"/>
      <c r="E193" s="1854"/>
      <c r="F193" s="1846">
        <v>0.05</v>
      </c>
    </row>
    <row r="194" spans="1:6" ht="24.75" thickBot="1">
      <c r="A194" s="1840" t="s">
        <v>1410</v>
      </c>
      <c r="B194" s="1844" t="s">
        <v>2137</v>
      </c>
      <c r="C194" s="1854"/>
      <c r="D194" s="1854"/>
      <c r="E194" s="1854"/>
      <c r="F194" s="1846">
        <v>0.05</v>
      </c>
    </row>
    <row r="195" spans="1:6" ht="14.25" thickBot="1">
      <c r="A195" s="1840" t="s">
        <v>1410</v>
      </c>
      <c r="B195" s="1844" t="s">
        <v>2138</v>
      </c>
      <c r="C195" s="1854"/>
      <c r="D195" s="1854"/>
      <c r="E195" s="1854"/>
      <c r="F195" s="1846">
        <v>0.05</v>
      </c>
    </row>
    <row r="196" spans="1:6" ht="24.75" thickBot="1">
      <c r="A196" s="1840" t="s">
        <v>1410</v>
      </c>
      <c r="B196" s="1844" t="s">
        <v>2139</v>
      </c>
      <c r="C196" s="1854"/>
      <c r="D196" s="1854"/>
      <c r="E196" s="1854"/>
      <c r="F196" s="1846">
        <v>0.05</v>
      </c>
    </row>
    <row r="197" spans="1:6" ht="24.75" thickBot="1">
      <c r="A197" s="1840" t="s">
        <v>1410</v>
      </c>
      <c r="B197" s="1844" t="s">
        <v>2140</v>
      </c>
      <c r="C197" s="1854"/>
      <c r="D197" s="1854"/>
      <c r="E197" s="1854"/>
      <c r="F197" s="1846">
        <v>0.05</v>
      </c>
    </row>
    <row r="198" spans="1:6" ht="24.75" thickBot="1">
      <c r="A198" s="1840" t="s">
        <v>1410</v>
      </c>
      <c r="B198" s="1844" t="s">
        <v>2141</v>
      </c>
      <c r="C198" s="1854"/>
      <c r="D198" s="1854"/>
      <c r="E198" s="1854"/>
      <c r="F198" s="1846">
        <v>0.05</v>
      </c>
    </row>
    <row r="199" spans="1:6" ht="24.75" thickBot="1">
      <c r="A199" s="1840" t="s">
        <v>1410</v>
      </c>
      <c r="B199" s="1844" t="s">
        <v>2142</v>
      </c>
      <c r="C199" s="1854"/>
      <c r="D199" s="1854"/>
      <c r="E199" s="1854"/>
      <c r="F199" s="1846">
        <v>0.05</v>
      </c>
    </row>
    <row r="200" spans="1:6" ht="24.75" thickBot="1">
      <c r="A200" s="1840" t="s">
        <v>1410</v>
      </c>
      <c r="B200" s="1844" t="s">
        <v>2143</v>
      </c>
      <c r="C200" s="1854"/>
      <c r="D200" s="1854"/>
      <c r="E200" s="1854"/>
      <c r="F200" s="1846">
        <v>0.05</v>
      </c>
    </row>
    <row r="201" spans="1:6" ht="24.75" thickBot="1">
      <c r="A201" s="1840" t="s">
        <v>1410</v>
      </c>
      <c r="B201" s="1844" t="s">
        <v>2144</v>
      </c>
      <c r="C201" s="1854"/>
      <c r="D201" s="1854"/>
      <c r="E201" s="1854"/>
      <c r="F201" s="1846">
        <v>0.05</v>
      </c>
    </row>
    <row r="202" spans="1:6" ht="24.75" thickBot="1">
      <c r="A202" s="1840" t="s">
        <v>1410</v>
      </c>
      <c r="B202" s="1844" t="s">
        <v>2145</v>
      </c>
      <c r="C202" s="1854"/>
      <c r="D202" s="1854"/>
      <c r="E202" s="1854"/>
      <c r="F202" s="1846">
        <v>0.05</v>
      </c>
    </row>
    <row r="203" spans="1:6" ht="24.75" thickBot="1">
      <c r="A203" s="1840" t="s">
        <v>1410</v>
      </c>
      <c r="B203" s="1844" t="s">
        <v>2146</v>
      </c>
      <c r="C203" s="1854"/>
      <c r="D203" s="1854"/>
      <c r="E203" s="1854"/>
      <c r="F203" s="1846">
        <v>0.05</v>
      </c>
    </row>
    <row r="204" spans="1:6" ht="14.25" thickBot="1">
      <c r="A204" s="1840" t="s">
        <v>1410</v>
      </c>
      <c r="B204" s="1844" t="s">
        <v>2147</v>
      </c>
      <c r="C204" s="1854"/>
      <c r="D204" s="1854"/>
      <c r="E204" s="1854"/>
      <c r="F204" s="1846">
        <v>0.05</v>
      </c>
    </row>
    <row r="205" spans="1:6" ht="14.25" thickBot="1">
      <c r="A205" s="1848" t="s">
        <v>1410</v>
      </c>
      <c r="B205" s="1855" t="s">
        <v>2148</v>
      </c>
      <c r="C205" s="1851"/>
      <c r="D205" s="1851"/>
      <c r="E205" s="1851"/>
      <c r="F205" s="1856">
        <v>0.05</v>
      </c>
    </row>
    <row r="206" spans="1:6" ht="14.25" thickBot="1">
      <c r="A206" s="1840" t="s">
        <v>1412</v>
      </c>
      <c r="B206" s="1841" t="s">
        <v>2149</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2150</v>
      </c>
      <c r="C210" s="1845">
        <v>0.15</v>
      </c>
      <c r="D210" s="1845">
        <v>0.15</v>
      </c>
      <c r="E210" s="1845">
        <v>0.15</v>
      </c>
      <c r="F210" s="1846">
        <v>0.13800000000000001</v>
      </c>
    </row>
    <row r="211" spans="1:6" ht="14.25" thickBot="1">
      <c r="A211" s="1840" t="s">
        <v>1412</v>
      </c>
      <c r="B211" s="1844" t="s">
        <v>2151</v>
      </c>
      <c r="C211" s="1845">
        <v>0.13700000000000001</v>
      </c>
      <c r="D211" s="1845">
        <v>0.13500000000000001</v>
      </c>
      <c r="E211" s="1845">
        <v>0.13600000000000001</v>
      </c>
      <c r="F211" s="1846">
        <v>0.1</v>
      </c>
    </row>
    <row r="212" spans="1:6" ht="14.25" thickBot="1">
      <c r="A212" s="1840" t="s">
        <v>1412</v>
      </c>
      <c r="B212" s="1844" t="s">
        <v>2152</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2153</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2154</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2155</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2156</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2157</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2158</v>
      </c>
      <c r="C231" s="1845">
        <v>0.128</v>
      </c>
      <c r="D231" s="1845">
        <v>0.125</v>
      </c>
      <c r="E231" s="1845">
        <v>0.13200000000000001</v>
      </c>
      <c r="F231" s="1853"/>
    </row>
    <row r="232" spans="1:6" ht="14.25" thickBot="1">
      <c r="A232" s="1840" t="s">
        <v>1412</v>
      </c>
      <c r="B232" s="1844" t="s">
        <v>2159</v>
      </c>
      <c r="C232" s="1845">
        <v>0.14499999999999999</v>
      </c>
      <c r="D232" s="1845">
        <v>0.14399999999999999</v>
      </c>
      <c r="E232" s="1845">
        <v>0.14599999999999999</v>
      </c>
      <c r="F232" s="1846">
        <v>0.13800000000000001</v>
      </c>
    </row>
    <row r="233" spans="1:6" ht="14.25" thickBot="1">
      <c r="A233" s="1840" t="s">
        <v>1412</v>
      </c>
      <c r="B233" s="1844" t="s">
        <v>2160</v>
      </c>
      <c r="C233" s="1845">
        <v>0.14499999999999999</v>
      </c>
      <c r="D233" s="1845">
        <v>0.14299999999999999</v>
      </c>
      <c r="E233" s="1845">
        <v>0.14199999999999999</v>
      </c>
      <c r="F233" s="1853"/>
    </row>
    <row r="234" spans="1:6" ht="14.25" thickBot="1">
      <c r="A234" s="1840" t="s">
        <v>1412</v>
      </c>
      <c r="B234" s="1844" t="s">
        <v>2161</v>
      </c>
      <c r="C234" s="1845">
        <v>0.14000000000000001</v>
      </c>
      <c r="D234" s="1845">
        <v>0.14000000000000001</v>
      </c>
      <c r="E234" s="1845">
        <v>0.14399999999999999</v>
      </c>
      <c r="F234" s="1853"/>
    </row>
    <row r="235" spans="1:6" ht="14.25" thickBot="1">
      <c r="A235" s="1840" t="s">
        <v>1412</v>
      </c>
      <c r="B235" s="1844" t="s">
        <v>2162</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2163</v>
      </c>
      <c r="C237" s="1854"/>
      <c r="D237" s="1854"/>
      <c r="E237" s="1854"/>
      <c r="F237" s="1846">
        <v>0.05</v>
      </c>
    </row>
    <row r="238" spans="1:6" ht="24.75" thickBot="1">
      <c r="A238" s="1840" t="s">
        <v>1412</v>
      </c>
      <c r="B238" s="1844" t="s">
        <v>2164</v>
      </c>
      <c r="C238" s="1854"/>
      <c r="D238" s="1854"/>
      <c r="E238" s="1854"/>
      <c r="F238" s="1846">
        <v>0.05</v>
      </c>
    </row>
    <row r="239" spans="1:6" ht="24.75" thickBot="1">
      <c r="A239" s="1840" t="s">
        <v>1412</v>
      </c>
      <c r="B239" s="1844" t="s">
        <v>2165</v>
      </c>
      <c r="C239" s="1854"/>
      <c r="D239" s="1854"/>
      <c r="E239" s="1854"/>
      <c r="F239" s="1846">
        <v>0.05</v>
      </c>
    </row>
    <row r="240" spans="1:6" ht="24.75" thickBot="1">
      <c r="A240" s="1840" t="s">
        <v>1412</v>
      </c>
      <c r="B240" s="1844" t="s">
        <v>2166</v>
      </c>
      <c r="C240" s="1854"/>
      <c r="D240" s="1854"/>
      <c r="E240" s="1854"/>
      <c r="F240" s="1846">
        <v>0.05</v>
      </c>
    </row>
    <row r="241" spans="1:6" ht="24.75" thickBot="1">
      <c r="A241" s="1840" t="s">
        <v>1412</v>
      </c>
      <c r="B241" s="1844" t="s">
        <v>2167</v>
      </c>
      <c r="C241" s="1854"/>
      <c r="D241" s="1854"/>
      <c r="E241" s="1854"/>
      <c r="F241" s="1846">
        <v>0.05</v>
      </c>
    </row>
    <row r="242" spans="1:6" ht="24.75" thickBot="1">
      <c r="A242" s="1840" t="s">
        <v>1412</v>
      </c>
      <c r="B242" s="1844" t="s">
        <v>2168</v>
      </c>
      <c r="C242" s="1854"/>
      <c r="D242" s="1854"/>
      <c r="E242" s="1854"/>
      <c r="F242" s="1846">
        <v>0.05</v>
      </c>
    </row>
    <row r="243" spans="1:6" ht="24.75" thickBot="1">
      <c r="A243" s="1840" t="s">
        <v>1412</v>
      </c>
      <c r="B243" s="1844" t="s">
        <v>2169</v>
      </c>
      <c r="C243" s="1854"/>
      <c r="D243" s="1854"/>
      <c r="E243" s="1854"/>
      <c r="F243" s="1846">
        <v>0.05</v>
      </c>
    </row>
    <row r="244" spans="1:6" ht="24.75" thickBot="1">
      <c r="A244" s="1848" t="s">
        <v>1412</v>
      </c>
      <c r="B244" s="1855" t="s">
        <v>2170</v>
      </c>
      <c r="C244" s="1851"/>
      <c r="D244" s="1851"/>
      <c r="E244" s="1851"/>
      <c r="F244" s="1856">
        <v>0.05</v>
      </c>
    </row>
    <row r="245" spans="1:6" ht="14.25" thickBot="1">
      <c r="A245" s="1840" t="s">
        <v>1414</v>
      </c>
      <c r="B245" s="1841" t="s">
        <v>2171</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2172</v>
      </c>
      <c r="C247" s="1845">
        <v>0.15</v>
      </c>
      <c r="D247" s="1845">
        <v>0.15</v>
      </c>
      <c r="E247" s="1845">
        <v>0.15</v>
      </c>
      <c r="F247" s="1846">
        <v>0.15</v>
      </c>
    </row>
    <row r="248" spans="1:6" ht="14.25" thickBot="1">
      <c r="A248" s="1840" t="s">
        <v>1414</v>
      </c>
      <c r="B248" s="1844" t="s">
        <v>2173</v>
      </c>
      <c r="C248" s="1845">
        <v>0.15</v>
      </c>
      <c r="D248" s="1845">
        <v>0.15</v>
      </c>
      <c r="E248" s="1845">
        <v>0.15</v>
      </c>
      <c r="F248" s="1846">
        <v>0.14000000000000001</v>
      </c>
    </row>
    <row r="249" spans="1:6" ht="14.25" thickBot="1">
      <c r="A249" s="1840" t="s">
        <v>1414</v>
      </c>
      <c r="B249" s="1844" t="s">
        <v>2174</v>
      </c>
      <c r="C249" s="1845">
        <v>0.15</v>
      </c>
      <c r="D249" s="1845">
        <v>0.14899999999999999</v>
      </c>
      <c r="E249" s="1845">
        <v>0.15</v>
      </c>
      <c r="F249" s="1846">
        <v>0.1</v>
      </c>
    </row>
    <row r="250" spans="1:6" ht="14.25" thickBot="1">
      <c r="A250" s="1840" t="s">
        <v>1414</v>
      </c>
      <c r="B250" s="1844" t="s">
        <v>2175</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2176</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2177</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2178</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2179</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2180</v>
      </c>
      <c r="C273" s="1845">
        <v>0.14199999999999999</v>
      </c>
      <c r="D273" s="1845">
        <v>0.14299999999999999</v>
      </c>
      <c r="E273" s="1845">
        <v>0.15</v>
      </c>
      <c r="F273" s="1846">
        <v>0.1</v>
      </c>
    </row>
    <row r="274" spans="1:6" ht="14.25" thickBot="1">
      <c r="A274" s="1840" t="s">
        <v>1414</v>
      </c>
      <c r="B274" s="1844" t="s">
        <v>2181</v>
      </c>
      <c r="C274" s="1845">
        <v>0.14799999999999999</v>
      </c>
      <c r="D274" s="1845">
        <v>0.14799999999999999</v>
      </c>
      <c r="E274" s="1845">
        <v>0.15</v>
      </c>
      <c r="F274" s="1846">
        <v>6.7000000000000004E-2</v>
      </c>
    </row>
    <row r="275" spans="1:6" ht="14.25" thickBot="1">
      <c r="A275" s="1840" t="s">
        <v>1414</v>
      </c>
      <c r="B275" s="1844" t="s">
        <v>2182</v>
      </c>
      <c r="C275" s="1845">
        <v>0.15</v>
      </c>
      <c r="D275" s="1845">
        <v>0.15</v>
      </c>
      <c r="E275" s="1845">
        <v>0.15</v>
      </c>
      <c r="F275" s="1846">
        <v>0.15</v>
      </c>
    </row>
    <row r="276" spans="1:6" ht="14.25" thickBot="1">
      <c r="A276" s="1840" t="s">
        <v>1414</v>
      </c>
      <c r="B276" s="1844" t="s">
        <v>2183</v>
      </c>
      <c r="C276" s="1845">
        <v>0.14499999999999999</v>
      </c>
      <c r="D276" s="1845">
        <v>0.14299999999999999</v>
      </c>
      <c r="E276" s="1845">
        <v>0.15</v>
      </c>
      <c r="F276" s="1846">
        <v>5.8999999999999997E-2</v>
      </c>
    </row>
    <row r="277" spans="1:6" ht="14.25" thickBot="1">
      <c r="A277" s="1840" t="s">
        <v>1414</v>
      </c>
      <c r="B277" s="1844" t="s">
        <v>2184</v>
      </c>
      <c r="C277" s="1845">
        <v>0.15</v>
      </c>
      <c r="D277" s="1845">
        <v>0.15</v>
      </c>
      <c r="E277" s="1845">
        <v>0.15</v>
      </c>
      <c r="F277" s="1846">
        <v>0.121</v>
      </c>
    </row>
    <row r="278" spans="1:6" ht="14.25" thickBot="1">
      <c r="A278" s="1840" t="s">
        <v>1414</v>
      </c>
      <c r="B278" s="1844" t="s">
        <v>2185</v>
      </c>
      <c r="C278" s="1845">
        <v>0.15</v>
      </c>
      <c r="D278" s="1845">
        <v>0.15</v>
      </c>
      <c r="E278" s="1845">
        <v>0.15</v>
      </c>
      <c r="F278" s="1846">
        <v>0.13800000000000001</v>
      </c>
    </row>
    <row r="279" spans="1:6" ht="24.75" thickBot="1">
      <c r="A279" s="1840" t="s">
        <v>1414</v>
      </c>
      <c r="B279" s="1844" t="s">
        <v>2186</v>
      </c>
      <c r="C279" s="1854"/>
      <c r="D279" s="1854"/>
      <c r="E279" s="1854"/>
      <c r="F279" s="1846">
        <v>0.05</v>
      </c>
    </row>
    <row r="280" spans="1:6" ht="24.75" thickBot="1">
      <c r="A280" s="1840" t="s">
        <v>1414</v>
      </c>
      <c r="B280" s="1844" t="s">
        <v>2187</v>
      </c>
      <c r="C280" s="1854"/>
      <c r="D280" s="1854"/>
      <c r="E280" s="1854"/>
      <c r="F280" s="1846">
        <v>0.05</v>
      </c>
    </row>
    <row r="281" spans="1:6" ht="24.75" thickBot="1">
      <c r="A281" s="1840" t="s">
        <v>1414</v>
      </c>
      <c r="B281" s="1844" t="s">
        <v>2188</v>
      </c>
      <c r="C281" s="1854"/>
      <c r="D281" s="1854"/>
      <c r="E281" s="1854"/>
      <c r="F281" s="1846">
        <v>0.05</v>
      </c>
    </row>
    <row r="282" spans="1:6" ht="24.75" thickBot="1">
      <c r="A282" s="1840" t="s">
        <v>1414</v>
      </c>
      <c r="B282" s="1844" t="s">
        <v>2189</v>
      </c>
      <c r="C282" s="1854"/>
      <c r="D282" s="1854"/>
      <c r="E282" s="1854"/>
      <c r="F282" s="1846">
        <v>0.05</v>
      </c>
    </row>
    <row r="283" spans="1:6" ht="24.75" thickBot="1">
      <c r="A283" s="1840" t="s">
        <v>1414</v>
      </c>
      <c r="B283" s="1844" t="s">
        <v>2190</v>
      </c>
      <c r="C283" s="1854"/>
      <c r="D283" s="1854"/>
      <c r="E283" s="1854"/>
      <c r="F283" s="1846">
        <v>0.05</v>
      </c>
    </row>
    <row r="284" spans="1:6" ht="24.75" thickBot="1">
      <c r="A284" s="1840" t="s">
        <v>1414</v>
      </c>
      <c r="B284" s="1844" t="s">
        <v>2191</v>
      </c>
      <c r="C284" s="1854"/>
      <c r="D284" s="1854"/>
      <c r="E284" s="1854"/>
      <c r="F284" s="1846">
        <v>0.05</v>
      </c>
    </row>
    <row r="285" spans="1:6" ht="24.75" thickBot="1">
      <c r="A285" s="1840" t="s">
        <v>1414</v>
      </c>
      <c r="B285" s="1844" t="s">
        <v>2192</v>
      </c>
      <c r="C285" s="1854"/>
      <c r="D285" s="1854"/>
      <c r="E285" s="1854"/>
      <c r="F285" s="1846">
        <v>0.05</v>
      </c>
    </row>
    <row r="286" spans="1:6" ht="24.75" thickBot="1">
      <c r="A286" s="1840" t="s">
        <v>1414</v>
      </c>
      <c r="B286" s="1844" t="s">
        <v>2193</v>
      </c>
      <c r="C286" s="1854"/>
      <c r="D286" s="1854"/>
      <c r="E286" s="1854"/>
      <c r="F286" s="1846">
        <v>0.05</v>
      </c>
    </row>
    <row r="287" spans="1:6" ht="24.75" thickBot="1">
      <c r="A287" s="1840" t="s">
        <v>1414</v>
      </c>
      <c r="B287" s="1844" t="s">
        <v>2194</v>
      </c>
      <c r="C287" s="1854"/>
      <c r="D287" s="1854"/>
      <c r="E287" s="1854"/>
      <c r="F287" s="1846">
        <v>0.05</v>
      </c>
    </row>
    <row r="288" spans="1:6" ht="24.75" thickBot="1">
      <c r="A288" s="1840" t="s">
        <v>1414</v>
      </c>
      <c r="B288" s="1844" t="s">
        <v>2195</v>
      </c>
      <c r="C288" s="1854"/>
      <c r="D288" s="1854"/>
      <c r="E288" s="1854"/>
      <c r="F288" s="1846">
        <v>0.05</v>
      </c>
    </row>
    <row r="289" spans="1:6" ht="24.75" thickBot="1">
      <c r="A289" s="1848" t="s">
        <v>1414</v>
      </c>
      <c r="B289" s="1855" t="s">
        <v>2196</v>
      </c>
      <c r="C289" s="1851"/>
      <c r="D289" s="1851"/>
      <c r="E289" s="1851"/>
      <c r="F289" s="1856">
        <v>0.05</v>
      </c>
    </row>
    <row r="290" spans="1:6" ht="14.25" thickBot="1">
      <c r="A290" s="1840" t="s">
        <v>1418</v>
      </c>
      <c r="B290" s="1841" t="s">
        <v>2197</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2198</v>
      </c>
      <c r="C292" s="1845">
        <v>0.15</v>
      </c>
      <c r="D292" s="1845">
        <v>0.15</v>
      </c>
      <c r="E292" s="1845">
        <v>0.15</v>
      </c>
      <c r="F292" s="1846">
        <v>0.14699999999999999</v>
      </c>
    </row>
    <row r="293" spans="1:6" ht="14.25" thickBot="1">
      <c r="A293" s="1840" t="s">
        <v>1418</v>
      </c>
      <c r="B293" s="1844" t="s">
        <v>2199</v>
      </c>
      <c r="C293" s="1854"/>
      <c r="D293" s="1854"/>
      <c r="E293" s="1854"/>
      <c r="F293" s="1846">
        <v>0.1</v>
      </c>
    </row>
    <row r="294" spans="1:6" ht="14.25" thickBot="1">
      <c r="A294" s="1840" t="s">
        <v>1418</v>
      </c>
      <c r="B294" s="1844" t="s">
        <v>2200</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2201</v>
      </c>
      <c r="C296" s="1845">
        <v>0.15</v>
      </c>
      <c r="D296" s="1845">
        <v>0.15</v>
      </c>
      <c r="E296" s="1845">
        <v>0.15</v>
      </c>
      <c r="F296" s="1846">
        <v>0.15</v>
      </c>
    </row>
    <row r="297" spans="1:6" ht="14.25" thickBot="1">
      <c r="A297" s="1840" t="s">
        <v>1418</v>
      </c>
      <c r="B297" s="1844" t="s">
        <v>2202</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2203</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2204</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2205</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2206</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2207</v>
      </c>
      <c r="C310" s="1845">
        <v>0.15</v>
      </c>
      <c r="D310" s="1845">
        <v>0.15</v>
      </c>
      <c r="E310" s="1845">
        <v>0.15</v>
      </c>
      <c r="F310" s="1846">
        <v>0.13700000000000001</v>
      </c>
    </row>
    <row r="311" spans="1:6" ht="14.25" thickBot="1">
      <c r="A311" s="1840" t="s">
        <v>1418</v>
      </c>
      <c r="B311" s="1844" t="s">
        <v>2208</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2209</v>
      </c>
      <c r="C313" s="1845">
        <v>0.15</v>
      </c>
      <c r="D313" s="1845">
        <v>0.15</v>
      </c>
      <c r="E313" s="1845">
        <v>0.15</v>
      </c>
      <c r="F313" s="1846">
        <v>0.15</v>
      </c>
    </row>
    <row r="314" spans="1:6" ht="24.75" thickBot="1">
      <c r="A314" s="1840" t="s">
        <v>1418</v>
      </c>
      <c r="B314" s="1844" t="s">
        <v>2210</v>
      </c>
      <c r="C314" s="1854"/>
      <c r="D314" s="1854"/>
      <c r="E314" s="1854"/>
      <c r="F314" s="1846">
        <v>0.05</v>
      </c>
    </row>
    <row r="315" spans="1:6" ht="24.75" thickBot="1">
      <c r="A315" s="1840" t="s">
        <v>1418</v>
      </c>
      <c r="B315" s="1844" t="s">
        <v>2211</v>
      </c>
      <c r="C315" s="1854"/>
      <c r="D315" s="1854"/>
      <c r="E315" s="1854"/>
      <c r="F315" s="1846">
        <v>0.05</v>
      </c>
    </row>
    <row r="316" spans="1:6" ht="24.75" thickBot="1">
      <c r="A316" s="1848" t="s">
        <v>1418</v>
      </c>
      <c r="B316" s="1855" t="s">
        <v>2212</v>
      </c>
      <c r="C316" s="1851"/>
      <c r="D316" s="1851"/>
      <c r="E316" s="1851"/>
      <c r="F316" s="1856">
        <v>0.05</v>
      </c>
    </row>
    <row r="317" spans="1:6" ht="14.25" thickBot="1">
      <c r="A317" s="1840" t="s">
        <v>2213</v>
      </c>
      <c r="B317" s="1841" t="s">
        <v>2214</v>
      </c>
      <c r="C317" s="1842">
        <v>0.15</v>
      </c>
      <c r="D317" s="1842">
        <v>0.15</v>
      </c>
      <c r="E317" s="1842">
        <v>0.15</v>
      </c>
      <c r="F317" s="1843">
        <v>0.15</v>
      </c>
    </row>
    <row r="318" spans="1:6" ht="14.25" thickBot="1">
      <c r="A318" s="1840" t="s">
        <v>2213</v>
      </c>
      <c r="B318" s="1844" t="s">
        <v>2215</v>
      </c>
      <c r="C318" s="1845">
        <v>0.107</v>
      </c>
      <c r="D318" s="1845">
        <v>0.11</v>
      </c>
      <c r="E318" s="1845">
        <v>0.112</v>
      </c>
      <c r="F318" s="1853"/>
    </row>
    <row r="319" spans="1:6" ht="14.25" thickBot="1">
      <c r="A319" s="1840" t="s">
        <v>2213</v>
      </c>
      <c r="B319" s="1844" t="s">
        <v>2216</v>
      </c>
      <c r="C319" s="1845">
        <v>0.15</v>
      </c>
      <c r="D319" s="1845">
        <v>0.15</v>
      </c>
      <c r="E319" s="1845">
        <v>0.15</v>
      </c>
      <c r="F319" s="1846">
        <v>0.15</v>
      </c>
    </row>
    <row r="320" spans="1:6" ht="14.25" thickBot="1">
      <c r="A320" s="1840" t="s">
        <v>2213</v>
      </c>
      <c r="B320" s="1844" t="s">
        <v>1106</v>
      </c>
      <c r="C320" s="1845">
        <v>0.15</v>
      </c>
      <c r="D320" s="1845">
        <v>0.15</v>
      </c>
      <c r="E320" s="1845">
        <v>0.15</v>
      </c>
      <c r="F320" s="1853"/>
    </row>
    <row r="321" spans="1:6" ht="14.25" thickBot="1">
      <c r="A321" s="1840" t="s">
        <v>2213</v>
      </c>
      <c r="B321" s="1844" t="s">
        <v>2217</v>
      </c>
      <c r="C321" s="1845">
        <v>0.15</v>
      </c>
      <c r="D321" s="1845">
        <v>0.15</v>
      </c>
      <c r="E321" s="1845">
        <v>0.15</v>
      </c>
      <c r="F321" s="1853"/>
    </row>
    <row r="322" spans="1:6" ht="14.25" thickBot="1">
      <c r="A322" s="1840" t="s">
        <v>2213</v>
      </c>
      <c r="B322" s="1844" t="s">
        <v>2218</v>
      </c>
      <c r="C322" s="1845">
        <v>0.15</v>
      </c>
      <c r="D322" s="1845">
        <v>0.15</v>
      </c>
      <c r="E322" s="1845">
        <v>0.15</v>
      </c>
      <c r="F322" s="1846">
        <v>0.15</v>
      </c>
    </row>
    <row r="323" spans="1:6" ht="14.25" thickBot="1">
      <c r="A323" s="1840" t="s">
        <v>2213</v>
      </c>
      <c r="B323" s="1844" t="s">
        <v>2219</v>
      </c>
      <c r="C323" s="1845">
        <v>0.15</v>
      </c>
      <c r="D323" s="1845">
        <v>0.15</v>
      </c>
      <c r="E323" s="1845">
        <v>0.15</v>
      </c>
      <c r="F323" s="1853"/>
    </row>
    <row r="324" spans="1:6" ht="14.25" thickBot="1">
      <c r="A324" s="1840" t="s">
        <v>2213</v>
      </c>
      <c r="B324" s="1844" t="s">
        <v>2220</v>
      </c>
      <c r="C324" s="1845">
        <v>0.15</v>
      </c>
      <c r="D324" s="1845">
        <v>0.15</v>
      </c>
      <c r="E324" s="1845">
        <v>0.15</v>
      </c>
      <c r="F324" s="1853"/>
    </row>
    <row r="325" spans="1:6" ht="14.25" thickBot="1">
      <c r="A325" s="1840" t="s">
        <v>2213</v>
      </c>
      <c r="B325" s="1844" t="s">
        <v>2221</v>
      </c>
      <c r="C325" s="1845">
        <v>0.15</v>
      </c>
      <c r="D325" s="1845">
        <v>0.15</v>
      </c>
      <c r="E325" s="1845">
        <v>0.15</v>
      </c>
      <c r="F325" s="1846">
        <v>0.14699999999999999</v>
      </c>
    </row>
    <row r="326" spans="1:6" ht="14.25" thickBot="1">
      <c r="A326" s="1840" t="s">
        <v>2213</v>
      </c>
      <c r="B326" s="1844" t="s">
        <v>1175</v>
      </c>
      <c r="C326" s="1845">
        <v>0.15</v>
      </c>
      <c r="D326" s="1845">
        <v>0.15</v>
      </c>
      <c r="E326" s="1845">
        <v>0.15</v>
      </c>
      <c r="F326" s="1853"/>
    </row>
    <row r="327" spans="1:6" ht="14.25" thickBot="1">
      <c r="A327" s="1840" t="s">
        <v>2213</v>
      </c>
      <c r="B327" s="1844" t="s">
        <v>2222</v>
      </c>
      <c r="C327" s="1845">
        <v>0.15</v>
      </c>
      <c r="D327" s="1845">
        <v>0.15</v>
      </c>
      <c r="E327" s="1845">
        <v>0.15</v>
      </c>
      <c r="F327" s="1846">
        <v>0.15</v>
      </c>
    </row>
    <row r="328" spans="1:6" ht="14.25" thickBot="1">
      <c r="A328" s="1840" t="s">
        <v>2213</v>
      </c>
      <c r="B328" s="1844" t="s">
        <v>1195</v>
      </c>
      <c r="C328" s="1845">
        <v>0.15</v>
      </c>
      <c r="D328" s="1845">
        <v>0.15</v>
      </c>
      <c r="E328" s="1845">
        <v>0.15</v>
      </c>
      <c r="F328" s="1846">
        <v>0.14099999999999999</v>
      </c>
    </row>
    <row r="329" spans="1:6" ht="14.25" thickBot="1">
      <c r="A329" s="1840" t="s">
        <v>2213</v>
      </c>
      <c r="B329" s="1844" t="s">
        <v>1205</v>
      </c>
      <c r="C329" s="1845">
        <v>0.15</v>
      </c>
      <c r="D329" s="1845">
        <v>0.15</v>
      </c>
      <c r="E329" s="1845">
        <v>0.15</v>
      </c>
      <c r="F329" s="1846">
        <v>0.15</v>
      </c>
    </row>
    <row r="330" spans="1:6" ht="14.25" thickBot="1">
      <c r="A330" s="1840" t="s">
        <v>2213</v>
      </c>
      <c r="B330" s="1844" t="s">
        <v>1215</v>
      </c>
      <c r="C330" s="1845">
        <v>0.15</v>
      </c>
      <c r="D330" s="1845">
        <v>0.15</v>
      </c>
      <c r="E330" s="1845">
        <v>0.15</v>
      </c>
      <c r="F330" s="1853"/>
    </row>
    <row r="331" spans="1:6" ht="14.25" thickBot="1">
      <c r="A331" s="1840" t="s">
        <v>2213</v>
      </c>
      <c r="B331" s="1844" t="s">
        <v>2223</v>
      </c>
      <c r="C331" s="1845">
        <v>0.15</v>
      </c>
      <c r="D331" s="1845">
        <v>0.15</v>
      </c>
      <c r="E331" s="1845">
        <v>0.15</v>
      </c>
      <c r="F331" s="1846">
        <v>0.15</v>
      </c>
    </row>
    <row r="332" spans="1:6" ht="14.25" thickBot="1">
      <c r="A332" s="1840" t="s">
        <v>2213</v>
      </c>
      <c r="B332" s="1844" t="s">
        <v>1235</v>
      </c>
      <c r="C332" s="1845">
        <v>0.15</v>
      </c>
      <c r="D332" s="1845">
        <v>0.15</v>
      </c>
      <c r="E332" s="1845">
        <v>0.15</v>
      </c>
      <c r="F332" s="1846">
        <v>0.15</v>
      </c>
    </row>
    <row r="333" spans="1:6" ht="14.25" thickBot="1">
      <c r="A333" s="1840" t="s">
        <v>2213</v>
      </c>
      <c r="B333" s="1844" t="s">
        <v>2224</v>
      </c>
      <c r="C333" s="1845">
        <v>0.15</v>
      </c>
      <c r="D333" s="1845">
        <v>0.15</v>
      </c>
      <c r="E333" s="1845">
        <v>0.15</v>
      </c>
      <c r="F333" s="1846">
        <v>0.14099999999999999</v>
      </c>
    </row>
    <row r="334" spans="1:6" ht="14.25" thickBot="1">
      <c r="A334" s="1840" t="s">
        <v>2213</v>
      </c>
      <c r="B334" s="1844" t="s">
        <v>1255</v>
      </c>
      <c r="C334" s="1845">
        <v>0.15</v>
      </c>
      <c r="D334" s="1845">
        <v>0.15</v>
      </c>
      <c r="E334" s="1845">
        <v>0.15</v>
      </c>
      <c r="F334" s="1846">
        <v>0.15</v>
      </c>
    </row>
    <row r="335" spans="1:6" ht="14.25" thickBot="1">
      <c r="A335" s="1840" t="s">
        <v>2213</v>
      </c>
      <c r="B335" s="1844" t="s">
        <v>1265</v>
      </c>
      <c r="C335" s="1845">
        <v>0.15</v>
      </c>
      <c r="D335" s="1845">
        <v>0.15</v>
      </c>
      <c r="E335" s="1845">
        <v>0.15</v>
      </c>
      <c r="F335" s="1853"/>
    </row>
    <row r="336" spans="1:6" ht="14.25" thickBot="1">
      <c r="A336" s="1840" t="s">
        <v>2213</v>
      </c>
      <c r="B336" s="1844" t="s">
        <v>2225</v>
      </c>
      <c r="C336" s="1845">
        <v>0.15</v>
      </c>
      <c r="D336" s="1845">
        <v>0.15</v>
      </c>
      <c r="E336" s="1845">
        <v>0.15</v>
      </c>
      <c r="F336" s="1846">
        <v>0.11799999999999999</v>
      </c>
    </row>
    <row r="337" spans="1:6" ht="14.25" thickBot="1">
      <c r="A337" s="1848" t="s">
        <v>2213</v>
      </c>
      <c r="B337" s="1855" t="s">
        <v>1283</v>
      </c>
      <c r="C337" s="1851"/>
      <c r="D337" s="1851"/>
      <c r="E337" s="1851"/>
      <c r="F337" s="1856">
        <v>0.14299999999999999</v>
      </c>
    </row>
    <row r="338" spans="1:6" ht="14.25" thickBot="1">
      <c r="A338" s="1840" t="s">
        <v>2226</v>
      </c>
      <c r="B338" s="1841" t="s">
        <v>2227</v>
      </c>
      <c r="C338" s="1842">
        <v>0.15</v>
      </c>
      <c r="D338" s="1842">
        <v>0.15</v>
      </c>
      <c r="E338" s="1842">
        <v>0.15</v>
      </c>
      <c r="F338" s="1864"/>
    </row>
    <row r="339" spans="1:6" ht="14.25" thickBot="1">
      <c r="A339" s="1840" t="s">
        <v>2226</v>
      </c>
      <c r="B339" s="1844" t="s">
        <v>2228</v>
      </c>
      <c r="C339" s="1845">
        <v>0.15</v>
      </c>
      <c r="D339" s="1845">
        <v>0.15</v>
      </c>
      <c r="E339" s="1845">
        <v>0.15</v>
      </c>
      <c r="F339" s="1853"/>
    </row>
    <row r="340" spans="1:6" ht="14.25" thickBot="1">
      <c r="A340" s="1840" t="s">
        <v>2226</v>
      </c>
      <c r="B340" s="1844" t="s">
        <v>2229</v>
      </c>
      <c r="C340" s="1845">
        <v>0.15</v>
      </c>
      <c r="D340" s="1845">
        <v>0.15</v>
      </c>
      <c r="E340" s="1845">
        <v>0.15</v>
      </c>
      <c r="F340" s="1853"/>
    </row>
    <row r="341" spans="1:6" ht="14.25" thickBot="1">
      <c r="A341" s="1840" t="s">
        <v>2230</v>
      </c>
      <c r="B341" s="1844" t="s">
        <v>2231</v>
      </c>
      <c r="C341" s="1845">
        <v>0.15</v>
      </c>
      <c r="D341" s="1845">
        <v>0.15</v>
      </c>
      <c r="E341" s="1845">
        <v>0.15</v>
      </c>
      <c r="F341" s="1846">
        <v>0.15</v>
      </c>
    </row>
    <row r="342" spans="1:6" ht="14.25" thickBot="1">
      <c r="A342" s="1840" t="s">
        <v>2226</v>
      </c>
      <c r="B342" s="1844" t="s">
        <v>2232</v>
      </c>
      <c r="C342" s="1845">
        <v>0.15</v>
      </c>
      <c r="D342" s="1845">
        <v>0.15</v>
      </c>
      <c r="E342" s="1845">
        <v>0.15</v>
      </c>
      <c r="F342" s="1846">
        <v>0.15</v>
      </c>
    </row>
    <row r="343" spans="1:6" ht="14.25" thickBot="1">
      <c r="A343" s="1840" t="s">
        <v>2226</v>
      </c>
      <c r="B343" s="1844" t="s">
        <v>2233</v>
      </c>
      <c r="C343" s="1845">
        <v>0.15</v>
      </c>
      <c r="D343" s="1845">
        <v>0.15</v>
      </c>
      <c r="E343" s="1845">
        <v>0.15</v>
      </c>
      <c r="F343" s="1846">
        <v>0.15</v>
      </c>
    </row>
    <row r="344" spans="1:6" ht="14.2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受贵公司委托，我公司对河南省郑州市管城区出让国有建设用地使用权抵押价格进行了预评估。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7" spans="1:4" ht="56.25">
      <c r="A7" s="1780" t="s">
        <v>2741</v>
      </c>
    </row>
    <row r="8" spans="1:4" ht="18.75">
      <c r="A8" s="1779" t="s">
        <v>1905</v>
      </c>
    </row>
    <row r="9" spans="1:4" ht="75">
      <c r="A9" s="1781" t="str">
        <f>IF(项目基本情况!B8="抵押",IF(项目基本情况!B5=项目基本情况!B6,定义!C51,定义!B51),定义!D51)</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2020年5月10日（评估专业人员勘察现场之日）</v>
      </c>
    </row>
    <row r="12" spans="1:4" ht="18.75">
      <c r="A12" s="1782" t="s">
        <v>2022</v>
      </c>
    </row>
    <row r="13" spans="1:4" ht="18.75">
      <c r="A13" s="1776" t="s">
        <v>2926</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根据《国有土地使用证》[]，估价对象（分摊）出让国有建设用地使用权面积为817.26平方米。根据《建设工程规划许可证》[]、《出让合同》[]，估价对象规划建筑面积为4086平方米。</v>
      </c>
    </row>
    <row r="21" spans="1:1" ht="18.75">
      <c r="A21" s="1776" t="s">
        <v>2071</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本次估价对象为出让国有建设用地使用权，《国有土地使用证》[]证载土地终止日期为住宅2083年6月9日、商业2053年6月9日。截至估价期日，出让国有建设用地使用权剩余土地使用年限为。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2072</v>
      </c>
    </row>
    <row r="25" spans="1:1" ht="75">
      <c r="A25" s="1776" t="str">
        <f>定义!C53</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2.75"/>
  <cols>
    <col min="1" max="1" width="9" style="2626"/>
    <col min="2" max="6" width="9" style="2626" customWidth="1"/>
    <col min="7" max="7" width="9" style="2642" customWidth="1"/>
    <col min="8" max="12" width="9" style="2626" customWidth="1"/>
    <col min="13" max="13" width="2.1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8" t="s">
        <v>2570</v>
      </c>
      <c r="C1" s="3458"/>
      <c r="D1" s="3458"/>
      <c r="E1" s="3458"/>
      <c r="F1" s="3458"/>
      <c r="G1" s="3457" t="s">
        <v>2571</v>
      </c>
      <c r="H1" s="3457"/>
      <c r="I1" s="3457"/>
      <c r="J1" s="3457"/>
      <c r="K1" s="3457"/>
      <c r="L1" s="3457"/>
      <c r="N1" s="3457" t="s">
        <v>2572</v>
      </c>
      <c r="O1" s="3457"/>
      <c r="P1" s="3457"/>
      <c r="Q1" s="3457"/>
      <c r="R1" s="2618"/>
      <c r="S1" s="3457" t="s">
        <v>2573</v>
      </c>
      <c r="T1" s="3457"/>
      <c r="U1" s="3457"/>
      <c r="V1" s="3457"/>
      <c r="X1" s="3456" t="s">
        <v>2633</v>
      </c>
      <c r="Y1" s="3457"/>
      <c r="Z1" s="3457"/>
      <c r="AA1" s="3457"/>
      <c r="AB1" s="3457"/>
      <c r="AD1" s="3456" t="s">
        <v>2637</v>
      </c>
      <c r="AE1" s="3457"/>
      <c r="AF1" s="3457"/>
      <c r="AG1" s="3457"/>
      <c r="AH1" s="3457"/>
    </row>
    <row r="2" spans="1:34" s="2719" customFormat="1" ht="14.25" thickBot="1">
      <c r="B2" s="2727" t="s">
        <v>2574</v>
      </c>
      <c r="C2" s="2727" t="s">
        <v>2635</v>
      </c>
      <c r="D2" s="2720" t="s">
        <v>1643</v>
      </c>
      <c r="E2" s="2720" t="s">
        <v>1946</v>
      </c>
      <c r="F2" s="2727" t="s">
        <v>2636</v>
      </c>
      <c r="G2" s="2723"/>
      <c r="H2" s="2722"/>
      <c r="I2" s="2727" t="s">
        <v>2940</v>
      </c>
      <c r="J2" s="2720" t="s">
        <v>2942</v>
      </c>
      <c r="K2" s="2720" t="s">
        <v>2943</v>
      </c>
      <c r="L2" s="2727" t="s">
        <v>2944</v>
      </c>
      <c r="N2" s="2727" t="s">
        <v>2574</v>
      </c>
      <c r="O2" s="2720" t="s">
        <v>2941</v>
      </c>
      <c r="P2" s="2720" t="s">
        <v>1946</v>
      </c>
      <c r="Q2" s="2727" t="s">
        <v>2636</v>
      </c>
      <c r="R2" s="2721"/>
      <c r="S2" s="2727" t="s">
        <v>2574</v>
      </c>
      <c r="T2" s="2720" t="s">
        <v>2941</v>
      </c>
      <c r="U2" s="2720" t="s">
        <v>1946</v>
      </c>
      <c r="V2" s="2727" t="s">
        <v>2636</v>
      </c>
      <c r="X2" s="2727" t="s">
        <v>2574</v>
      </c>
      <c r="Y2" s="2727" t="s">
        <v>2635</v>
      </c>
      <c r="Z2" s="2720" t="s">
        <v>1643</v>
      </c>
      <c r="AA2" s="2720" t="s">
        <v>1946</v>
      </c>
      <c r="AB2" s="2727" t="s">
        <v>2636</v>
      </c>
      <c r="AD2" s="2727" t="s">
        <v>2574</v>
      </c>
      <c r="AE2" s="2727" t="s">
        <v>2635</v>
      </c>
      <c r="AF2" s="2720" t="s">
        <v>1643</v>
      </c>
      <c r="AG2" s="2720" t="s">
        <v>1946</v>
      </c>
      <c r="AH2" s="2727" t="s">
        <v>2636</v>
      </c>
    </row>
    <row r="3" spans="1:34" s="3082" customFormat="1" ht="14.25">
      <c r="A3" s="3094" t="s">
        <v>2953</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c r="A5" s="3064" t="s">
        <v>2982</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5">
        <v>1</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2954</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4" customFormat="1">
      <c r="A6" s="2619" t="s">
        <v>2978</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5" thickBot="1">
      <c r="A7" s="2619" t="s">
        <v>2977</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2974</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2973</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2970</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60">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65" customHeight="1">
      <c r="A11" s="2619" t="s">
        <v>2963</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60"/>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65" customHeight="1">
      <c r="A12" s="2619" t="s">
        <v>2964</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60"/>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2960</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66"/>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2951</v>
      </c>
      <c r="B14" s="3096">
        <v>439</v>
      </c>
      <c r="C14" s="3096">
        <v>327</v>
      </c>
      <c r="D14" s="3096">
        <f t="shared" si="87"/>
        <v>327</v>
      </c>
      <c r="E14" s="3096">
        <v>627</v>
      </c>
      <c r="F14" s="3097">
        <v>283</v>
      </c>
      <c r="G14" s="3465">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65" customHeight="1">
      <c r="A15" s="2619" t="s">
        <v>2955</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60"/>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65" customHeight="1">
      <c r="A16" s="2619" t="s">
        <v>2575</v>
      </c>
      <c r="B16" s="2632">
        <f t="shared" si="99"/>
        <v>419.31181600000002</v>
      </c>
      <c r="C16" s="2632">
        <f t="shared" si="99"/>
        <v>313.95436800000004</v>
      </c>
      <c r="D16" s="2632">
        <f t="shared" si="87"/>
        <v>313.95436800000004</v>
      </c>
      <c r="E16" s="2632">
        <f t="shared" si="100"/>
        <v>596.63028431999999</v>
      </c>
      <c r="F16" s="2632">
        <f t="shared" si="100"/>
        <v>274.74220703999998</v>
      </c>
      <c r="G16" s="3460"/>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2576</v>
      </c>
      <c r="B17" s="2632">
        <f t="shared" si="99"/>
        <v>405.524</v>
      </c>
      <c r="C17" s="2632">
        <f t="shared" si="99"/>
        <v>307.79840000000002</v>
      </c>
      <c r="D17" s="2632">
        <f t="shared" si="87"/>
        <v>307.79840000000002</v>
      </c>
      <c r="E17" s="2632">
        <f t="shared" si="100"/>
        <v>574.67759999999998</v>
      </c>
      <c r="F17" s="2632">
        <f t="shared" si="100"/>
        <v>270.20280000000002</v>
      </c>
      <c r="G17" s="3466"/>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969</v>
      </c>
      <c r="B18" s="2624">
        <v>392</v>
      </c>
      <c r="C18" s="2624">
        <v>302</v>
      </c>
      <c r="D18" s="2624">
        <f t="shared" si="87"/>
        <v>302</v>
      </c>
      <c r="E18" s="2624">
        <v>553</v>
      </c>
      <c r="F18" s="2625">
        <v>266</v>
      </c>
      <c r="G18" s="3465">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968</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60"/>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958</v>
      </c>
      <c r="B20" s="2632">
        <f t="shared" si="108"/>
        <v>360.06949782209392</v>
      </c>
      <c r="C20" s="2632">
        <f t="shared" si="108"/>
        <v>289.84672674747821</v>
      </c>
      <c r="D20" s="2632">
        <f t="shared" si="109"/>
        <v>289.84672674747821</v>
      </c>
      <c r="E20" s="2632">
        <f t="shared" si="110"/>
        <v>501.06543001181495</v>
      </c>
      <c r="F20" s="2632">
        <f t="shared" si="110"/>
        <v>256.82882500744967</v>
      </c>
      <c r="G20" s="3460"/>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967</v>
      </c>
      <c r="B21" s="2632">
        <f t="shared" si="108"/>
        <v>346.720748986128</v>
      </c>
      <c r="C21" s="2632">
        <f t="shared" si="108"/>
        <v>284.30282172386285</v>
      </c>
      <c r="D21" s="2632">
        <f t="shared" si="109"/>
        <v>284.30282172386285</v>
      </c>
      <c r="E21" s="2632">
        <f t="shared" si="110"/>
        <v>479.58023546306947</v>
      </c>
      <c r="F21" s="2632">
        <f t="shared" si="110"/>
        <v>253.25788877571213</v>
      </c>
      <c r="G21" s="3461"/>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966</v>
      </c>
      <c r="B22" s="2624">
        <v>333</v>
      </c>
      <c r="C22" s="2624">
        <v>277</v>
      </c>
      <c r="D22" s="2624">
        <f t="shared" si="109"/>
        <v>277</v>
      </c>
      <c r="E22" s="2624">
        <v>459</v>
      </c>
      <c r="F22" s="2625">
        <v>249</v>
      </c>
      <c r="G22" s="3459">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965</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60"/>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964</v>
      </c>
      <c r="B24" s="2632">
        <f t="shared" si="112"/>
        <v>322.34053690220776</v>
      </c>
      <c r="C24" s="2632">
        <f t="shared" si="112"/>
        <v>271.46160770422546</v>
      </c>
      <c r="D24" s="2632">
        <f t="shared" si="109"/>
        <v>271.46160770422546</v>
      </c>
      <c r="E24" s="2632">
        <f t="shared" si="113"/>
        <v>442.69434542172456</v>
      </c>
      <c r="F24" s="2632">
        <f t="shared" si="113"/>
        <v>241.34030753190925</v>
      </c>
      <c r="G24" s="3460"/>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963</v>
      </c>
      <c r="B25" s="2632">
        <f t="shared" si="112"/>
        <v>319.87748030386797</v>
      </c>
      <c r="C25" s="2632">
        <f t="shared" si="112"/>
        <v>269.60135833173649</v>
      </c>
      <c r="D25" s="2632">
        <f t="shared" si="109"/>
        <v>269.60135833173649</v>
      </c>
      <c r="E25" s="2632">
        <f t="shared" si="113"/>
        <v>439.18089823583784</v>
      </c>
      <c r="F25" s="2632">
        <f t="shared" si="113"/>
        <v>239.23503918706311</v>
      </c>
      <c r="G25" s="3461"/>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962</v>
      </c>
      <c r="B26" s="2646">
        <v>318</v>
      </c>
      <c r="C26" s="2646">
        <v>268</v>
      </c>
      <c r="D26" s="2646">
        <f t="shared" si="109"/>
        <v>268</v>
      </c>
      <c r="E26" s="2646">
        <v>437</v>
      </c>
      <c r="F26" s="2647">
        <v>237</v>
      </c>
      <c r="G26" s="3459">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961</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60"/>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960</v>
      </c>
      <c r="B28" s="2632">
        <f t="shared" si="114"/>
        <v>314.72141172386546</v>
      </c>
      <c r="C28" s="2632">
        <f t="shared" si="114"/>
        <v>263.03901319069001</v>
      </c>
      <c r="D28" s="2632">
        <f t="shared" si="109"/>
        <v>263.03901319069001</v>
      </c>
      <c r="E28" s="2632">
        <f t="shared" si="115"/>
        <v>433.65745506782821</v>
      </c>
      <c r="F28" s="2632">
        <f t="shared" si="115"/>
        <v>233.23005080045735</v>
      </c>
      <c r="G28" s="3460"/>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959</v>
      </c>
      <c r="B29" s="2651">
        <f t="shared" si="114"/>
        <v>307.34512863658733</v>
      </c>
      <c r="C29" s="2651">
        <f t="shared" si="114"/>
        <v>257.80556031626975</v>
      </c>
      <c r="D29" s="2651">
        <f t="shared" si="109"/>
        <v>257.80556031626975</v>
      </c>
      <c r="E29" s="2651">
        <f t="shared" si="115"/>
        <v>422.70928459677179</v>
      </c>
      <c r="F29" s="2651">
        <f t="shared" si="115"/>
        <v>229.73803270336617</v>
      </c>
      <c r="G29" s="3461"/>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2634</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2577</v>
      </c>
      <c r="B30" s="2624">
        <v>299</v>
      </c>
      <c r="C30" s="2624">
        <v>252</v>
      </c>
      <c r="D30" s="2624">
        <f t="shared" si="109"/>
        <v>252</v>
      </c>
      <c r="E30" s="2624">
        <v>409</v>
      </c>
      <c r="F30" s="2625">
        <v>227</v>
      </c>
      <c r="G30" s="3462">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2578</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63"/>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2579</v>
      </c>
      <c r="B32" s="2632">
        <f t="shared" si="118"/>
        <v>288.2649053828776</v>
      </c>
      <c r="C32" s="2632">
        <f t="shared" si="118"/>
        <v>243.64564425013293</v>
      </c>
      <c r="D32" s="2632">
        <f t="shared" si="109"/>
        <v>243.64564425013293</v>
      </c>
      <c r="E32" s="2632">
        <f t="shared" si="119"/>
        <v>393.31080825986544</v>
      </c>
      <c r="F32" s="2632">
        <f t="shared" si="119"/>
        <v>223.07903790551154</v>
      </c>
      <c r="G32" s="3463"/>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2580</v>
      </c>
      <c r="B33" s="2632">
        <f t="shared" si="118"/>
        <v>282.50186729015837</v>
      </c>
      <c r="C33" s="2632">
        <f t="shared" si="118"/>
        <v>238.09796174155468</v>
      </c>
      <c r="D33" s="2632">
        <f t="shared" si="109"/>
        <v>238.09796174155468</v>
      </c>
      <c r="E33" s="2632">
        <f t="shared" si="119"/>
        <v>385.33438646014054</v>
      </c>
      <c r="F33" s="2632">
        <f t="shared" si="119"/>
        <v>221.55034055567739</v>
      </c>
      <c r="G33" s="3464"/>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2581</v>
      </c>
      <c r="B34" s="2662">
        <v>278</v>
      </c>
      <c r="C34" s="2662">
        <v>234</v>
      </c>
      <c r="D34" s="2662">
        <f t="shared" si="109"/>
        <v>234</v>
      </c>
      <c r="E34" s="2662">
        <v>379</v>
      </c>
      <c r="F34" s="2663">
        <v>220</v>
      </c>
      <c r="G34" s="3459">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2582</v>
      </c>
      <c r="B35" s="2632">
        <f>B34/(1+N34)</f>
        <v>275.49301357645425</v>
      </c>
      <c r="C35" s="2632">
        <f>C34/(1+O34)</f>
        <v>232.41954707985698</v>
      </c>
      <c r="D35" s="2632">
        <f t="shared" si="109"/>
        <v>232.41954707985698</v>
      </c>
      <c r="E35" s="2632">
        <f t="shared" ref="E35:F37" si="120">E34/(1+P34)</f>
        <v>375.32184591008121</v>
      </c>
      <c r="F35" s="2632">
        <f t="shared" si="120"/>
        <v>218.03766105054513</v>
      </c>
      <c r="G35" s="3460"/>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2583</v>
      </c>
      <c r="B36" s="2632">
        <f>B35/(1+N35)</f>
        <v>275.24529281292263</v>
      </c>
      <c r="C36" s="2632">
        <f>C35/(1+O35)</f>
        <v>231.74747938962707</v>
      </c>
      <c r="D36" s="2632">
        <f t="shared" si="109"/>
        <v>231.74747938962707</v>
      </c>
      <c r="E36" s="2632">
        <f t="shared" si="120"/>
        <v>375.35938184826603</v>
      </c>
      <c r="F36" s="2632">
        <f t="shared" si="120"/>
        <v>216.78033510692495</v>
      </c>
      <c r="G36" s="3460"/>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5" thickBot="1">
      <c r="A37" s="2619" t="s">
        <v>2584</v>
      </c>
      <c r="B37" s="2632">
        <f>B36/(1+N36)</f>
        <v>275.19025476197027</v>
      </c>
      <c r="C37" s="2664">
        <v>232</v>
      </c>
      <c r="D37" s="2664">
        <f t="shared" si="109"/>
        <v>232</v>
      </c>
      <c r="E37" s="2632">
        <f t="shared" si="120"/>
        <v>375.65990977608692</v>
      </c>
      <c r="F37" s="2632">
        <f t="shared" si="120"/>
        <v>214.12518283971252</v>
      </c>
      <c r="G37" s="3461"/>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2585</v>
      </c>
      <c r="B38" s="2624">
        <v>275</v>
      </c>
      <c r="C38" s="2624">
        <v>232</v>
      </c>
      <c r="D38" s="2624">
        <f t="shared" si="109"/>
        <v>232</v>
      </c>
      <c r="E38" s="2624">
        <v>376</v>
      </c>
      <c r="F38" s="2625">
        <v>213</v>
      </c>
      <c r="G38" s="3459">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2586</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60">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2587</v>
      </c>
      <c r="B40" s="2632">
        <f t="shared" si="121"/>
        <v>275.19335084830601</v>
      </c>
      <c r="C40" s="2632">
        <f t="shared" si="121"/>
        <v>230.18088050139744</v>
      </c>
      <c r="D40" s="2632">
        <f t="shared" si="109"/>
        <v>230.18088050139744</v>
      </c>
      <c r="E40" s="2632">
        <f t="shared" si="122"/>
        <v>377.58482925212331</v>
      </c>
      <c r="F40" s="2632">
        <f t="shared" si="122"/>
        <v>210.90687997847917</v>
      </c>
      <c r="G40" s="3460">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5" thickBot="1">
      <c r="A41" s="2619" t="s">
        <v>2588</v>
      </c>
      <c r="B41" s="2632">
        <f t="shared" si="121"/>
        <v>276.29854502841971</v>
      </c>
      <c r="C41" s="2632">
        <f t="shared" si="121"/>
        <v>229.79023709833027</v>
      </c>
      <c r="D41" s="2632">
        <f t="shared" si="109"/>
        <v>229.79023709833027</v>
      </c>
      <c r="E41" s="2632">
        <f t="shared" si="122"/>
        <v>379.78759731655936</v>
      </c>
      <c r="F41" s="2632">
        <f t="shared" si="122"/>
        <v>211.32953905659235</v>
      </c>
      <c r="G41" s="3461">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2589</v>
      </c>
      <c r="B42" s="2624">
        <v>269</v>
      </c>
      <c r="C42" s="2624">
        <v>221</v>
      </c>
      <c r="D42" s="2624">
        <f t="shared" si="109"/>
        <v>221</v>
      </c>
      <c r="E42" s="2624">
        <v>373</v>
      </c>
      <c r="F42" s="2625">
        <v>196</v>
      </c>
      <c r="G42" s="3459">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2590</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60">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2591</v>
      </c>
      <c r="B44" s="2632">
        <f t="shared" si="123"/>
        <v>242.95398227588385</v>
      </c>
      <c r="C44" s="2632">
        <f t="shared" si="123"/>
        <v>199.59137053614126</v>
      </c>
      <c r="D44" s="2632">
        <f t="shared" si="109"/>
        <v>199.59137053614126</v>
      </c>
      <c r="E44" s="2632">
        <f t="shared" si="124"/>
        <v>335.92189522342125</v>
      </c>
      <c r="F44" s="2632">
        <f t="shared" si="124"/>
        <v>183.10139991109489</v>
      </c>
      <c r="G44" s="3460">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5" thickBot="1">
      <c r="A45" s="2619" t="s">
        <v>2592</v>
      </c>
      <c r="B45" s="2632">
        <f t="shared" si="123"/>
        <v>232.06990378821649</v>
      </c>
      <c r="C45" s="2632">
        <f t="shared" si="123"/>
        <v>192.74878854286936</v>
      </c>
      <c r="D45" s="2632">
        <f t="shared" si="109"/>
        <v>192.74878854286936</v>
      </c>
      <c r="E45" s="2632">
        <f t="shared" si="124"/>
        <v>319.71247284992984</v>
      </c>
      <c r="F45" s="2632">
        <f t="shared" si="124"/>
        <v>175.67053622862409</v>
      </c>
      <c r="G45" s="3461">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2593</v>
      </c>
      <c r="B46" s="2624">
        <v>220</v>
      </c>
      <c r="C46" s="2624">
        <v>187</v>
      </c>
      <c r="D46" s="2624">
        <f t="shared" si="109"/>
        <v>187</v>
      </c>
      <c r="E46" s="2624">
        <v>301</v>
      </c>
      <c r="F46" s="2625">
        <v>168</v>
      </c>
      <c r="G46" s="3459">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2594</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60">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2595</v>
      </c>
      <c r="B48" s="2632">
        <f t="shared" si="125"/>
        <v>210.630522469011</v>
      </c>
      <c r="C48" s="2632">
        <f t="shared" si="125"/>
        <v>181.69567812247232</v>
      </c>
      <c r="D48" s="2632">
        <f t="shared" si="109"/>
        <v>181.69567812247232</v>
      </c>
      <c r="E48" s="2632">
        <f t="shared" si="126"/>
        <v>286.13517466736738</v>
      </c>
      <c r="F48" s="2632">
        <f t="shared" si="126"/>
        <v>165.47535084591149</v>
      </c>
      <c r="G48" s="3460">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2596</v>
      </c>
      <c r="B49" s="2632">
        <f t="shared" si="125"/>
        <v>208.83454537875372</v>
      </c>
      <c r="C49" s="2632">
        <f t="shared" si="125"/>
        <v>183.77230517090351</v>
      </c>
      <c r="D49" s="2632">
        <f t="shared" si="109"/>
        <v>183.77230517090351</v>
      </c>
      <c r="E49" s="2632">
        <f t="shared" si="126"/>
        <v>281.10342338870947</v>
      </c>
      <c r="F49" s="2632">
        <f t="shared" si="126"/>
        <v>168.97309388942256</v>
      </c>
      <c r="G49" s="3461">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2597</v>
      </c>
      <c r="B50" s="2662">
        <v>214</v>
      </c>
      <c r="C50" s="2662">
        <v>188</v>
      </c>
      <c r="D50" s="2662">
        <f t="shared" si="109"/>
        <v>188</v>
      </c>
      <c r="E50" s="2662">
        <v>289</v>
      </c>
      <c r="F50" s="2663">
        <v>166</v>
      </c>
      <c r="G50" s="3459">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2598</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60">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2599</v>
      </c>
      <c r="B52" s="2632">
        <f t="shared" si="127"/>
        <v>206.31694671589116</v>
      </c>
      <c r="C52" s="2632">
        <f t="shared" si="127"/>
        <v>183.61041121036101</v>
      </c>
      <c r="D52" s="2632">
        <f t="shared" si="109"/>
        <v>183.61041121036101</v>
      </c>
      <c r="E52" s="2632">
        <f t="shared" si="128"/>
        <v>276.66850301795557</v>
      </c>
      <c r="F52" s="2632">
        <f t="shared" si="128"/>
        <v>165.1360938278614</v>
      </c>
      <c r="G52" s="3460">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5" thickBot="1">
      <c r="A53" s="2619" t="s">
        <v>2600</v>
      </c>
      <c r="B53" s="2665">
        <f t="shared" si="127"/>
        <v>196.62341248059772</v>
      </c>
      <c r="C53" s="2665">
        <f t="shared" si="127"/>
        <v>170.99125648199012</v>
      </c>
      <c r="D53" s="2665">
        <f t="shared" si="109"/>
        <v>170.99125648199012</v>
      </c>
      <c r="E53" s="2665">
        <f t="shared" si="128"/>
        <v>266.07857570490052</v>
      </c>
      <c r="F53" s="2665">
        <f t="shared" si="128"/>
        <v>154.53499328828505</v>
      </c>
      <c r="G53" s="3461">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2601</v>
      </c>
      <c r="B54" s="2624">
        <v>188</v>
      </c>
      <c r="C54" s="2624">
        <v>165</v>
      </c>
      <c r="D54" s="2624">
        <f t="shared" si="109"/>
        <v>165</v>
      </c>
      <c r="E54" s="2624">
        <v>254</v>
      </c>
      <c r="F54" s="2625">
        <v>148</v>
      </c>
      <c r="G54" s="3459">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2602</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60">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2603</v>
      </c>
      <c r="B56" s="2632">
        <f t="shared" si="131"/>
        <v>168.82017748715555</v>
      </c>
      <c r="C56" s="2632">
        <f t="shared" si="131"/>
        <v>148.06267029972753</v>
      </c>
      <c r="D56" s="2632">
        <f t="shared" si="109"/>
        <v>148.06267029972753</v>
      </c>
      <c r="E56" s="2632">
        <f t="shared" si="132"/>
        <v>216.46288379323747</v>
      </c>
      <c r="F56" s="2632">
        <f t="shared" si="132"/>
        <v>134.23529411764704</v>
      </c>
      <c r="G56" s="3460">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2604</v>
      </c>
      <c r="B57" s="2632">
        <f t="shared" si="131"/>
        <v>163.84913591779542</v>
      </c>
      <c r="C57" s="2632">
        <f t="shared" si="131"/>
        <v>145.0283378746594</v>
      </c>
      <c r="D57" s="2632">
        <f t="shared" si="109"/>
        <v>145.0283378746594</v>
      </c>
      <c r="E57" s="2632">
        <f t="shared" si="132"/>
        <v>204.95180722891567</v>
      </c>
      <c r="F57" s="2632">
        <f t="shared" si="132"/>
        <v>125.95920303605313</v>
      </c>
      <c r="G57" s="3461">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2605</v>
      </c>
      <c r="B58" s="2646">
        <v>159</v>
      </c>
      <c r="C58" s="2646">
        <v>141</v>
      </c>
      <c r="D58" s="2646">
        <f t="shared" si="109"/>
        <v>141</v>
      </c>
      <c r="E58" s="2646">
        <v>195</v>
      </c>
      <c r="F58" s="2647">
        <v>122</v>
      </c>
      <c r="G58" s="3459">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2606</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60">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2607</v>
      </c>
      <c r="B60" s="2632">
        <f t="shared" si="135"/>
        <v>146.57412060301507</v>
      </c>
      <c r="C60" s="2632">
        <f t="shared" si="135"/>
        <v>136.46831955922866</v>
      </c>
      <c r="D60" s="2632">
        <f t="shared" si="109"/>
        <v>136.46831955922866</v>
      </c>
      <c r="E60" s="2632">
        <f t="shared" si="136"/>
        <v>166.73864894795128</v>
      </c>
      <c r="F60" s="2632">
        <f t="shared" si="136"/>
        <v>115.05882352941177</v>
      </c>
      <c r="G60" s="3460">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2608</v>
      </c>
      <c r="B61" s="2632">
        <f t="shared" si="135"/>
        <v>144.04145728643215</v>
      </c>
      <c r="C61" s="2632">
        <f t="shared" si="135"/>
        <v>136.12396694214877</v>
      </c>
      <c r="D61" s="2632">
        <f t="shared" si="109"/>
        <v>136.12396694214877</v>
      </c>
      <c r="E61" s="2632">
        <f t="shared" si="136"/>
        <v>158.32225913621264</v>
      </c>
      <c r="F61" s="2632">
        <f t="shared" si="136"/>
        <v>114.04278074866311</v>
      </c>
      <c r="G61" s="3461">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2609</v>
      </c>
      <c r="B62" s="2646">
        <v>138</v>
      </c>
      <c r="C62" s="2646">
        <v>131</v>
      </c>
      <c r="D62" s="2646">
        <f t="shared" si="109"/>
        <v>131</v>
      </c>
      <c r="E62" s="2646">
        <v>155</v>
      </c>
      <c r="F62" s="2647">
        <v>114</v>
      </c>
      <c r="G62" s="3459">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2610</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60">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2611</v>
      </c>
      <c r="B64" s="2632">
        <f t="shared" si="139"/>
        <v>124.29032258064517</v>
      </c>
      <c r="C64" s="2632">
        <f t="shared" si="139"/>
        <v>123.8968609865471</v>
      </c>
      <c r="D64" s="2632">
        <f t="shared" si="109"/>
        <v>123.8968609865471</v>
      </c>
      <c r="E64" s="2632">
        <f t="shared" si="140"/>
        <v>138.00507614213197</v>
      </c>
      <c r="F64" s="2632">
        <f t="shared" si="140"/>
        <v>107.96106557377048</v>
      </c>
      <c r="G64" s="3460">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2612</v>
      </c>
      <c r="B65" s="2632">
        <f t="shared" si="139"/>
        <v>122.57204301075269</v>
      </c>
      <c r="C65" s="2632">
        <f t="shared" si="139"/>
        <v>123.4932735426009</v>
      </c>
      <c r="D65" s="2632">
        <f t="shared" si="109"/>
        <v>123.4932735426009</v>
      </c>
      <c r="E65" s="2632">
        <f t="shared" si="140"/>
        <v>129.82233502538071</v>
      </c>
      <c r="F65" s="2632">
        <f t="shared" si="140"/>
        <v>107.39446721311475</v>
      </c>
      <c r="G65" s="3461">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2613</v>
      </c>
      <c r="B66" s="2662">
        <v>121</v>
      </c>
      <c r="C66" s="2662">
        <v>122</v>
      </c>
      <c r="D66" s="2662">
        <f t="shared" si="109"/>
        <v>122</v>
      </c>
      <c r="E66" s="2662">
        <v>124</v>
      </c>
      <c r="F66" s="2663">
        <v>107</v>
      </c>
      <c r="G66" s="3459">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2614</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60">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2615</v>
      </c>
      <c r="B68" s="2632">
        <f t="shared" si="143"/>
        <v>116.99099099099099</v>
      </c>
      <c r="C68" s="2632">
        <f t="shared" si="143"/>
        <v>118.84848484848486</v>
      </c>
      <c r="D68" s="2632">
        <f t="shared" si="109"/>
        <v>118.84848484848486</v>
      </c>
      <c r="E68" s="2632">
        <f t="shared" si="144"/>
        <v>117.60960960960961</v>
      </c>
      <c r="F68" s="2632">
        <f t="shared" si="144"/>
        <v>104</v>
      </c>
      <c r="G68" s="3460">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5" thickBot="1">
      <c r="A69" s="2619" t="s">
        <v>2616</v>
      </c>
      <c r="B69" s="2665">
        <f t="shared" si="143"/>
        <v>112.48648648648648</v>
      </c>
      <c r="C69" s="2665">
        <f t="shared" si="143"/>
        <v>115.21212121212122</v>
      </c>
      <c r="D69" s="2665">
        <f t="shared" si="109"/>
        <v>115.21212121212122</v>
      </c>
      <c r="E69" s="2665">
        <f t="shared" si="144"/>
        <v>110.4024024024024</v>
      </c>
      <c r="F69" s="2665">
        <f t="shared" si="144"/>
        <v>104</v>
      </c>
      <c r="G69" s="3461">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2617</v>
      </c>
      <c r="B70" s="2683">
        <v>111</v>
      </c>
      <c r="C70" s="2683">
        <v>114</v>
      </c>
      <c r="D70" s="2683">
        <f t="shared" si="109"/>
        <v>114</v>
      </c>
      <c r="E70" s="2683">
        <v>108</v>
      </c>
      <c r="F70" s="2684">
        <v>104</v>
      </c>
      <c r="G70" s="3459">
        <v>2003</v>
      </c>
      <c r="H70" s="2673">
        <v>4</v>
      </c>
      <c r="I70" s="2685"/>
      <c r="J70" s="2685"/>
      <c r="K70" s="2685"/>
      <c r="L70" s="2685"/>
      <c r="N70" s="2686"/>
      <c r="O70" s="2685"/>
      <c r="P70" s="2685"/>
      <c r="Q70" s="2685"/>
      <c r="S70" s="2686"/>
      <c r="T70" s="2685"/>
      <c r="U70" s="2685"/>
      <c r="V70" s="2685"/>
      <c r="X70" s="2677"/>
      <c r="Y70" s="2677"/>
      <c r="Z70" s="2677"/>
    </row>
    <row r="71" spans="1:26">
      <c r="A71" s="2619" t="s">
        <v>2618</v>
      </c>
      <c r="B71" s="2687">
        <f t="shared" ref="B71:C73" si="145">B72+(B$70-B$74)/4</f>
        <v>109.75</v>
      </c>
      <c r="C71" s="2687">
        <f t="shared" si="145"/>
        <v>112.25</v>
      </c>
      <c r="D71" s="2687">
        <f t="shared" si="109"/>
        <v>112.25</v>
      </c>
      <c r="E71" s="2687">
        <f t="shared" ref="E71:F73" si="146">E72+(E$70-E$74)/4</f>
        <v>107.25</v>
      </c>
      <c r="F71" s="2687">
        <f t="shared" si="146"/>
        <v>103.5</v>
      </c>
      <c r="G71" s="3460">
        <v>2003</v>
      </c>
      <c r="H71" s="2643">
        <v>3</v>
      </c>
      <c r="I71" s="2685"/>
      <c r="J71" s="2685"/>
      <c r="K71" s="2685"/>
      <c r="L71" s="2685"/>
      <c r="X71" s="2677"/>
      <c r="Y71" s="2677"/>
      <c r="Z71" s="2677"/>
    </row>
    <row r="72" spans="1:26">
      <c r="A72" s="2619" t="s">
        <v>2619</v>
      </c>
      <c r="B72" s="2687">
        <f t="shared" si="145"/>
        <v>108.5</v>
      </c>
      <c r="C72" s="2687">
        <f t="shared" si="145"/>
        <v>110.5</v>
      </c>
      <c r="D72" s="2687">
        <f t="shared" si="109"/>
        <v>110.5</v>
      </c>
      <c r="E72" s="2687">
        <f t="shared" si="146"/>
        <v>106.5</v>
      </c>
      <c r="F72" s="2687">
        <f t="shared" si="146"/>
        <v>103</v>
      </c>
      <c r="G72" s="3460">
        <v>2003</v>
      </c>
      <c r="H72" s="2623">
        <v>2</v>
      </c>
      <c r="I72" s="2685"/>
      <c r="J72" s="2685"/>
      <c r="K72" s="2685"/>
      <c r="L72" s="2685"/>
      <c r="X72" s="2677"/>
      <c r="Y72" s="2677"/>
      <c r="Z72" s="2677"/>
    </row>
    <row r="73" spans="1:26" ht="13.5" thickBot="1">
      <c r="A73" s="2619" t="s">
        <v>2620</v>
      </c>
      <c r="B73" s="2687">
        <f t="shared" si="145"/>
        <v>107.25</v>
      </c>
      <c r="C73" s="2687">
        <f t="shared" si="145"/>
        <v>108.75</v>
      </c>
      <c r="D73" s="2687">
        <f t="shared" si="109"/>
        <v>108.75</v>
      </c>
      <c r="E73" s="2687">
        <f t="shared" si="146"/>
        <v>105.75</v>
      </c>
      <c r="F73" s="2687">
        <f t="shared" si="146"/>
        <v>102.5</v>
      </c>
      <c r="G73" s="3461">
        <v>2003</v>
      </c>
      <c r="H73" s="2688">
        <v>1</v>
      </c>
      <c r="I73" s="2685"/>
      <c r="J73" s="2685"/>
      <c r="K73" s="2685"/>
      <c r="L73" s="2685"/>
      <c r="S73" s="2627"/>
      <c r="T73" s="2628"/>
      <c r="U73" s="2628"/>
      <c r="X73" s="2677"/>
      <c r="Y73" s="2677"/>
      <c r="Z73" s="2677"/>
    </row>
    <row r="74" spans="1:26" ht="13.5" thickBot="1">
      <c r="A74" s="2619" t="s">
        <v>2621</v>
      </c>
      <c r="B74" s="2689">
        <v>106</v>
      </c>
      <c r="C74" s="2689">
        <v>107</v>
      </c>
      <c r="D74" s="2689">
        <f t="shared" si="109"/>
        <v>107</v>
      </c>
      <c r="E74" s="2689">
        <v>105</v>
      </c>
      <c r="F74" s="2690">
        <v>102</v>
      </c>
      <c r="G74" s="3459">
        <v>2002</v>
      </c>
      <c r="H74" s="2638">
        <v>4</v>
      </c>
      <c r="I74" s="2685"/>
      <c r="J74" s="2685"/>
      <c r="K74" s="2685"/>
      <c r="L74" s="2685"/>
      <c r="N74" s="2686"/>
      <c r="O74" s="2685"/>
      <c r="P74" s="2685"/>
      <c r="Q74" s="2685"/>
      <c r="S74" s="2686"/>
      <c r="T74" s="2685"/>
      <c r="U74" s="2685"/>
      <c r="V74" s="2685"/>
      <c r="X74" s="2677"/>
      <c r="Y74" s="2677"/>
      <c r="Z74" s="2677"/>
    </row>
    <row r="75" spans="1:26">
      <c r="A75" s="2619" t="s">
        <v>2622</v>
      </c>
      <c r="B75" s="2687">
        <f t="shared" ref="B75:C77" si="147">B76+(B$74-B$78)/4</f>
        <v>105</v>
      </c>
      <c r="C75" s="2687">
        <f t="shared" si="147"/>
        <v>106</v>
      </c>
      <c r="D75" s="2687">
        <f t="shared" si="109"/>
        <v>106</v>
      </c>
      <c r="E75" s="2687">
        <f t="shared" ref="E75:F77" si="148">E76+(E$74-E$78)/4</f>
        <v>104.5</v>
      </c>
      <c r="F75" s="2687">
        <f t="shared" si="148"/>
        <v>101.5</v>
      </c>
      <c r="G75" s="3460">
        <v>2002</v>
      </c>
      <c r="H75" s="2643">
        <v>3</v>
      </c>
      <c r="I75" s="2685"/>
      <c r="J75" s="2685"/>
      <c r="K75" s="2685"/>
      <c r="L75" s="2685"/>
      <c r="X75" s="2677"/>
      <c r="Y75" s="2677"/>
      <c r="Z75" s="2677"/>
    </row>
    <row r="76" spans="1:26">
      <c r="A76" s="2619" t="s">
        <v>2623</v>
      </c>
      <c r="B76" s="2687">
        <f t="shared" si="147"/>
        <v>104</v>
      </c>
      <c r="C76" s="2687">
        <f t="shared" si="147"/>
        <v>105</v>
      </c>
      <c r="D76" s="2687">
        <f t="shared" si="109"/>
        <v>105</v>
      </c>
      <c r="E76" s="2687">
        <f t="shared" si="148"/>
        <v>104</v>
      </c>
      <c r="F76" s="2687">
        <f t="shared" si="148"/>
        <v>101</v>
      </c>
      <c r="G76" s="3460">
        <v>2002</v>
      </c>
      <c r="H76" s="2623">
        <v>2</v>
      </c>
      <c r="I76" s="2685"/>
      <c r="J76" s="2685"/>
      <c r="K76" s="2685"/>
      <c r="L76" s="2685"/>
      <c r="X76" s="2677"/>
      <c r="Y76" s="2677"/>
      <c r="Z76" s="2677"/>
    </row>
    <row r="77" spans="1:26" s="2654" customFormat="1" ht="13.5" thickBot="1">
      <c r="A77" s="2650" t="s">
        <v>2624</v>
      </c>
      <c r="B77" s="2691">
        <f t="shared" si="147"/>
        <v>103</v>
      </c>
      <c r="C77" s="2691">
        <f t="shared" si="147"/>
        <v>104</v>
      </c>
      <c r="D77" s="2691">
        <f t="shared" si="109"/>
        <v>104</v>
      </c>
      <c r="E77" s="2691">
        <f t="shared" si="148"/>
        <v>103.5</v>
      </c>
      <c r="F77" s="2691">
        <f t="shared" si="148"/>
        <v>100.5</v>
      </c>
      <c r="G77" s="3461">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2625</v>
      </c>
      <c r="G80" s="2701"/>
      <c r="N80" s="2701"/>
      <c r="S80" s="2701"/>
    </row>
    <row r="81" spans="1:22" s="2700" customFormat="1">
      <c r="A81" s="2700" t="s">
        <v>2626</v>
      </c>
      <c r="G81" s="2701"/>
      <c r="N81" s="2701"/>
      <c r="S81" s="2701"/>
    </row>
    <row r="82" spans="1:22" s="2700" customFormat="1">
      <c r="A82" s="2700" t="s">
        <v>2627</v>
      </c>
      <c r="G82" s="2701"/>
      <c r="I82" s="2702"/>
      <c r="J82" s="2702"/>
      <c r="K82" s="2702"/>
      <c r="L82" s="2702"/>
      <c r="N82" s="2703"/>
      <c r="O82" s="2702"/>
      <c r="P82" s="2702"/>
      <c r="Q82" s="2702"/>
      <c r="S82" s="2703"/>
      <c r="T82" s="2702"/>
      <c r="U82" s="2702"/>
      <c r="V82" s="2702"/>
    </row>
    <row r="83" spans="1:22" s="2700" customFormat="1">
      <c r="A83" s="2700" t="s">
        <v>2628</v>
      </c>
      <c r="G83" s="2701"/>
      <c r="N83" s="2701"/>
      <c r="S83" s="2701"/>
    </row>
    <row r="90" spans="1:22" ht="13.5" thickBot="1"/>
    <row r="91" spans="1:22">
      <c r="G91" s="2626"/>
      <c r="S91" s="2704" t="s">
        <v>2629</v>
      </c>
      <c r="T91" s="2705" t="s">
        <v>2630</v>
      </c>
      <c r="U91" s="2705" t="s">
        <v>2631</v>
      </c>
      <c r="V91" s="2705" t="s">
        <v>2632</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ColWidth="8.75"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2933</v>
      </c>
      <c r="B1" s="3056"/>
      <c r="C1" s="3056"/>
      <c r="D1" s="3056"/>
      <c r="E1" s="3056"/>
      <c r="F1" s="3056"/>
    </row>
    <row r="2" spans="1:6" ht="14.25">
      <c r="A2" s="3057" t="s">
        <v>2928</v>
      </c>
      <c r="B2" s="3058" t="e">
        <f ca="1">SUMIF(B7:B14,"&lt;&gt;#ref!",B7:B14)</f>
        <v>#DIV/0!</v>
      </c>
      <c r="C2" s="3057" t="s">
        <v>2929</v>
      </c>
      <c r="D2" s="3056"/>
      <c r="E2" s="3056"/>
      <c r="F2" s="3056"/>
    </row>
    <row r="3" spans="1:6" ht="14.25">
      <c r="A3" s="3057" t="s">
        <v>2961</v>
      </c>
      <c r="B3" s="3058" t="e">
        <f ca="1">ROUND(B2*10000/E3,0)</f>
        <v>#DIV/0!</v>
      </c>
      <c r="C3" s="3057" t="s">
        <v>2075</v>
      </c>
      <c r="D3" s="3057" t="s">
        <v>2930</v>
      </c>
      <c r="E3" s="3058">
        <f ca="1">SUMIF(E7:E14,"&lt;&gt;#ref!",E7:E14)</f>
        <v>0</v>
      </c>
      <c r="F3" s="3056"/>
    </row>
    <row r="4" spans="1:6" ht="14.25">
      <c r="A4" s="3057" t="s">
        <v>2937</v>
      </c>
      <c r="B4" s="3058" t="e">
        <f ca="1">ROUND(B2*10000/E4,0)</f>
        <v>#DIV/0!</v>
      </c>
      <c r="C4" s="3057" t="s">
        <v>2075</v>
      </c>
      <c r="D4" s="3057" t="s">
        <v>2938</v>
      </c>
      <c r="E4" s="3058">
        <f ca="1">SUMIF(F7:F14,"&lt;&gt;#ref!",F7:F14)</f>
        <v>0</v>
      </c>
      <c r="F4" s="3056"/>
    </row>
    <row r="5" spans="1:6" ht="14.25">
      <c r="A5" s="3059"/>
      <c r="B5" s="1866"/>
      <c r="C5" s="1866"/>
      <c r="D5" s="1866"/>
      <c r="E5" s="1866"/>
      <c r="F5" s="3056"/>
    </row>
    <row r="6" spans="1:6" ht="28.5">
      <c r="A6" s="3060" t="s">
        <v>2934</v>
      </c>
      <c r="B6" s="3057" t="s">
        <v>2931</v>
      </c>
      <c r="C6" s="3058"/>
      <c r="D6" s="1866"/>
      <c r="E6" s="3057" t="s">
        <v>2932</v>
      </c>
      <c r="F6" s="3057" t="s">
        <v>2936</v>
      </c>
    </row>
    <row r="7" spans="1:6" ht="14.25">
      <c r="A7" s="260" t="s">
        <v>2935</v>
      </c>
      <c r="B7" s="3061" t="e">
        <f ca="1">SUMIF(INDIRECT("'"&amp;A7&amp;"'"&amp;"!A:A"),"总价",INDIRECT("'"&amp;A7&amp;"'"&amp;"!B:B"))</f>
        <v>#DIV/0!</v>
      </c>
      <c r="C7" s="3057" t="s">
        <v>2929</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2929</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2929</v>
      </c>
      <c r="D9" s="1866"/>
      <c r="E9" s="3062" t="e">
        <f t="shared" ca="1" si="1"/>
        <v>#REF!</v>
      </c>
      <c r="F9" s="3062" t="e">
        <f t="shared" ca="1" si="2"/>
        <v>#REF!</v>
      </c>
    </row>
    <row r="10" spans="1:6" ht="14.25">
      <c r="A10" s="260"/>
      <c r="B10" s="3061" t="e">
        <f t="shared" ca="1" si="0"/>
        <v>#REF!</v>
      </c>
      <c r="C10" s="3057" t="s">
        <v>2929</v>
      </c>
      <c r="D10" s="1866"/>
      <c r="E10" s="3062" t="e">
        <f t="shared" ca="1" si="1"/>
        <v>#REF!</v>
      </c>
      <c r="F10" s="3062" t="e">
        <f t="shared" ca="1" si="2"/>
        <v>#REF!</v>
      </c>
    </row>
    <row r="11" spans="1:6" ht="14.25">
      <c r="A11" s="260"/>
      <c r="B11" s="3061" t="e">
        <f t="shared" ca="1" si="0"/>
        <v>#REF!</v>
      </c>
      <c r="C11" s="3057" t="s">
        <v>2929</v>
      </c>
      <c r="D11" s="1866"/>
      <c r="E11" s="3062" t="e">
        <f t="shared" ca="1" si="1"/>
        <v>#REF!</v>
      </c>
      <c r="F11" s="3062" t="e">
        <f t="shared" ca="1" si="2"/>
        <v>#REF!</v>
      </c>
    </row>
    <row r="12" spans="1:6" ht="14.25">
      <c r="A12" s="260"/>
      <c r="B12" s="3061" t="e">
        <f t="shared" ca="1" si="0"/>
        <v>#REF!</v>
      </c>
      <c r="C12" s="3057" t="s">
        <v>2929</v>
      </c>
      <c r="D12" s="1866"/>
      <c r="E12" s="3062" t="e">
        <f t="shared" ca="1" si="1"/>
        <v>#REF!</v>
      </c>
      <c r="F12" s="3062" t="e">
        <f t="shared" ca="1" si="2"/>
        <v>#REF!</v>
      </c>
    </row>
    <row r="13" spans="1:6" ht="14.25">
      <c r="A13" s="260"/>
      <c r="B13" s="3061" t="e">
        <f t="shared" ca="1" si="0"/>
        <v>#REF!</v>
      </c>
      <c r="C13" s="3057" t="s">
        <v>2929</v>
      </c>
      <c r="D13" s="1866"/>
      <c r="E13" s="3062" t="e">
        <f t="shared" ca="1" si="1"/>
        <v>#REF!</v>
      </c>
      <c r="F13" s="3062" t="e">
        <f t="shared" ca="1" si="2"/>
        <v>#REF!</v>
      </c>
    </row>
    <row r="14" spans="1:6" ht="14.25">
      <c r="A14" s="3055"/>
      <c r="B14" s="3061" t="e">
        <f t="shared" ca="1" si="0"/>
        <v>#REF!</v>
      </c>
      <c r="C14" s="3057" t="s">
        <v>2929</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75" style="2084" customWidth="1"/>
    <col min="4" max="4" width="40.5" style="2045" customWidth="1"/>
    <col min="5" max="5" width="15.75" style="2045" customWidth="1"/>
    <col min="6" max="6" width="10.625" style="2045" customWidth="1"/>
    <col min="7" max="7" width="4.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125" style="2044" customWidth="1"/>
    <col min="17" max="17" width="13.75" style="2044" customWidth="1"/>
    <col min="18" max="18" width="22.125" style="2044" customWidth="1"/>
    <col min="19" max="19" width="1.5" style="2044" customWidth="1"/>
    <col min="20" max="25" width="9" style="2044"/>
    <col min="26" max="16384" width="9" style="2045"/>
  </cols>
  <sheetData>
    <row r="1" spans="1:25" s="2039" customFormat="1" ht="21">
      <c r="A1" s="772" t="s">
        <v>627</v>
      </c>
      <c r="B1" s="738"/>
      <c r="C1" s="773"/>
      <c r="D1" s="2035"/>
      <c r="E1" s="2351" t="s">
        <v>2371</v>
      </c>
      <c r="F1" s="2352">
        <f ca="1">J54</f>
        <v>-1.5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694</v>
      </c>
      <c r="I3" s="2042"/>
      <c r="J3" s="2042"/>
      <c r="K3" s="2043"/>
      <c r="L3" s="2042"/>
      <c r="M3" s="2042"/>
    </row>
    <row r="4" spans="1:25" ht="18" customHeight="1">
      <c r="A4" s="1631" t="s">
        <v>695</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1823</v>
      </c>
      <c r="B8" s="3468" t="s">
        <v>2458</v>
      </c>
      <c r="C8" s="1810">
        <f ca="1">ROUND(F8*F10*F9*(1-F11)/10000,0)</f>
        <v>0</v>
      </c>
      <c r="D8" s="1807" t="s">
        <v>2529</v>
      </c>
      <c r="E8" s="61" t="s">
        <v>636</v>
      </c>
      <c r="F8" s="785">
        <f ca="1">INDIRECT("'数据-取费表'!u"&amp;$G$1)</f>
        <v>0</v>
      </c>
      <c r="G8" s="1578"/>
      <c r="H8" s="2468" t="s">
        <v>1823</v>
      </c>
      <c r="I8" s="3468" t="s">
        <v>2458</v>
      </c>
      <c r="J8" s="783">
        <f ca="1">ROUND(M8*M10*M9*(1-M11)/10000,0)</f>
        <v>0</v>
      </c>
      <c r="K8" s="341" t="s">
        <v>2529</v>
      </c>
      <c r="L8" s="784" t="s">
        <v>1737</v>
      </c>
      <c r="M8" s="785">
        <f ca="1">INDIRECT("'数据-取费表'!z"&amp;$G$1)</f>
        <v>0</v>
      </c>
    </row>
    <row r="9" spans="1:25" ht="18" customHeight="1">
      <c r="A9" s="2464"/>
      <c r="B9" s="3469"/>
      <c r="C9" s="1811"/>
      <c r="D9" s="1808"/>
      <c r="E9" s="61" t="s">
        <v>637</v>
      </c>
      <c r="F9" s="785">
        <f ca="1">IF(INDIRECT("'数据-取费表'!ah"&amp;$G$1)="",INDIRECT("'数据-取费表'!k"&amp;$G$1),INDIRECT("'数据-取费表'!ah"&amp;$G$1))</f>
        <v>0</v>
      </c>
      <c r="G9" s="1578"/>
      <c r="H9" s="2453"/>
      <c r="I9" s="3469"/>
      <c r="J9" s="788"/>
      <c r="K9" s="789"/>
      <c r="L9" s="784" t="s">
        <v>1738</v>
      </c>
      <c r="M9" s="785">
        <f ca="1">F9</f>
        <v>0</v>
      </c>
    </row>
    <row r="10" spans="1:25" ht="18" customHeight="1">
      <c r="A10" s="2457"/>
      <c r="B10" s="3470"/>
      <c r="C10" s="1811"/>
      <c r="D10" s="1808"/>
      <c r="E10" s="61" t="s">
        <v>638</v>
      </c>
      <c r="F10" s="785">
        <f ca="1">INDIRECT("'数据-取费表'!ai"&amp;$G$1)</f>
        <v>0</v>
      </c>
      <c r="G10" s="1578"/>
      <c r="H10" s="2453"/>
      <c r="I10" s="3470"/>
      <c r="J10" s="788"/>
      <c r="K10" s="789"/>
      <c r="L10" s="784" t="s">
        <v>1739</v>
      </c>
      <c r="M10" s="785">
        <f ca="1">INDIRECT("'数据-取费表'!ai"&amp;$G$1)</f>
        <v>0</v>
      </c>
    </row>
    <row r="11" spans="1:25" ht="18" customHeight="1">
      <c r="A11" s="786"/>
      <c r="B11" s="3471"/>
      <c r="C11" s="1811"/>
      <c r="D11" s="1808"/>
      <c r="E11" s="61" t="s">
        <v>639</v>
      </c>
      <c r="F11" s="794">
        <f ca="1">INDIRECT("'数据-取费表'!w"&amp;$G$1)</f>
        <v>0</v>
      </c>
      <c r="G11" s="1578"/>
      <c r="H11" s="2469"/>
      <c r="I11" s="3470"/>
      <c r="J11" s="788"/>
      <c r="K11" s="789"/>
      <c r="L11" s="795" t="s">
        <v>1740</v>
      </c>
      <c r="M11" s="796">
        <f ca="1">INDIRECT("'数据-取费表'!ab"&amp;$G$1)</f>
        <v>0</v>
      </c>
    </row>
    <row r="12" spans="1:25" ht="18" customHeight="1">
      <c r="A12" s="1815" t="s">
        <v>1824</v>
      </c>
      <c r="B12" s="2458" t="s">
        <v>2454</v>
      </c>
      <c r="C12" s="799">
        <f ca="1">ROUND(IF(F12="押一",C8/12*F13,IF(F12="押二",C8/12*2*F13,IF(F12="押三",C8/12*3*F13,C13*F13))),0)</f>
        <v>0</v>
      </c>
      <c r="D12" s="2465" t="s">
        <v>2958</v>
      </c>
      <c r="E12" s="2462" t="s">
        <v>2459</v>
      </c>
      <c r="F12" s="2585"/>
      <c r="G12" s="1578"/>
      <c r="H12" s="2525" t="s">
        <v>1824</v>
      </c>
      <c r="I12" s="2530" t="s">
        <v>2454</v>
      </c>
      <c r="J12" s="783">
        <f ca="1">ROUND(IF(M12="押一",J8/12*M13,IF(M12="押二",J8/12*2*M13,IF(M12="押三",J8/12*3*M13,J13*M13))),0)</f>
        <v>0</v>
      </c>
      <c r="K12" s="2465" t="s">
        <v>2958</v>
      </c>
      <c r="L12" s="2462" t="s">
        <v>2459</v>
      </c>
      <c r="M12" s="2585"/>
    </row>
    <row r="13" spans="1:25" ht="18" customHeight="1">
      <c r="A13" s="790"/>
      <c r="B13" s="2459" t="s">
        <v>2568</v>
      </c>
      <c r="C13" s="2463"/>
      <c r="D13" s="789"/>
      <c r="E13" s="2462" t="s">
        <v>2451</v>
      </c>
      <c r="F13" s="796">
        <f ca="1">'数据-取费表'!B39</f>
        <v>1.4999999999999999E-2</v>
      </c>
      <c r="G13" s="1578"/>
      <c r="H13" s="2526"/>
      <c r="I13" s="2459" t="s">
        <v>2568</v>
      </c>
      <c r="J13" s="2463"/>
      <c r="K13" s="2527"/>
      <c r="L13" s="2462" t="s">
        <v>2451</v>
      </c>
      <c r="M13" s="2456">
        <f ca="1">'数据-取费表'!B39</f>
        <v>1.4999999999999999E-2</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2066</v>
      </c>
      <c r="I16" s="2216" t="s">
        <v>2819</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0.05</v>
      </c>
      <c r="G17" s="1579"/>
      <c r="H17" s="803" t="s">
        <v>2067</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ROUND(J8*M20/(1+'数据-取费表'!C42),1)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0.03</v>
      </c>
      <c r="G22" s="1579"/>
      <c r="H22" s="1817" t="s">
        <v>1849</v>
      </c>
      <c r="I22" s="1807" t="s">
        <v>667</v>
      </c>
      <c r="J22" s="54">
        <f ca="1">ROUND(M22*M23/10000,0)</f>
        <v>0</v>
      </c>
      <c r="K22" s="814" t="s">
        <v>668</v>
      </c>
      <c r="L22" s="784" t="s">
        <v>669</v>
      </c>
      <c r="M22" s="640">
        <f>'数据-取费表'!B52</f>
        <v>18</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0.03</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8"/>
      <c r="H24" s="1816" t="s">
        <v>2067</v>
      </c>
      <c r="I24" s="784" t="s">
        <v>675</v>
      </c>
      <c r="J24" s="53">
        <f ca="1">ROUND(J16*M24,0)</f>
        <v>0</v>
      </c>
      <c r="K24" s="1962" t="s">
        <v>676</v>
      </c>
      <c r="L24" s="784" t="s">
        <v>648</v>
      </c>
      <c r="M24" s="817">
        <f ca="1">INDIRECT("'数据-取费表'!Ak"&amp;$G$1)</f>
        <v>0</v>
      </c>
    </row>
    <row r="25" spans="1:25" s="2049" customFormat="1" ht="18" customHeight="1">
      <c r="A25" s="803" t="s">
        <v>1874</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1.5</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1.1000000000000001E-3</v>
      </c>
      <c r="D26" s="2535"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3" t="s">
        <v>2816</v>
      </c>
      <c r="J27" s="799">
        <f ca="1">J7-J18</f>
        <v>0</v>
      </c>
      <c r="K27" s="1964" t="s">
        <v>699</v>
      </c>
      <c r="L27" s="1966"/>
      <c r="M27" s="820"/>
    </row>
    <row r="28" spans="1:25" ht="18" customHeight="1">
      <c r="A28" s="803" t="s">
        <v>1874</v>
      </c>
      <c r="B28" s="784" t="s">
        <v>2435</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2817</v>
      </c>
      <c r="C31" s="2508">
        <f ca="1">ROUND((C21+C22+C25+C28)/(1-F23-C26-C29-C30),0)</f>
        <v>0</v>
      </c>
      <c r="D31" s="2509"/>
      <c r="E31" s="2510"/>
      <c r="F31" s="2511"/>
      <c r="G31" s="1579"/>
      <c r="H31" s="823" t="s">
        <v>1871</v>
      </c>
      <c r="I31" s="2964" t="s">
        <v>2818</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ROUND(C8*F34/(1+'数据-取费表'!C42),1)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18</v>
      </c>
      <c r="G36" s="2047"/>
      <c r="H36" s="2050"/>
      <c r="I36" s="3467"/>
      <c r="J36" s="2064"/>
      <c r="K36" s="2065"/>
      <c r="L36" s="2064"/>
      <c r="M36" s="2064"/>
    </row>
    <row r="37" spans="1:18" ht="18" customHeight="1">
      <c r="A37" s="815"/>
      <c r="B37" s="793"/>
      <c r="C37" s="69"/>
      <c r="D37" s="816"/>
      <c r="E37" s="784" t="s">
        <v>673</v>
      </c>
      <c r="F37" s="785">
        <f ca="1">INDIRECT("'数据-取费表'!r"&amp;$G$1)</f>
        <v>0</v>
      </c>
      <c r="G37" s="2047"/>
      <c r="H37" s="2050"/>
      <c r="I37" s="3467"/>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8"/>
      <c r="D41" s="1349"/>
      <c r="E41" s="1349"/>
      <c r="F41" s="1350"/>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1" t="s">
        <v>711</v>
      </c>
      <c r="E43" s="3073" t="s">
        <v>2946</v>
      </c>
      <c r="F43" s="3074">
        <f ca="1">INDIRECT("'数据-取费表'!j"&amp;$G$1)</f>
        <v>0</v>
      </c>
      <c r="G43" s="2047"/>
      <c r="H43" s="2047"/>
      <c r="I43" s="2047"/>
      <c r="J43" s="2047"/>
      <c r="K43" s="2068"/>
      <c r="L43" s="2047"/>
      <c r="M43" s="2047"/>
    </row>
    <row r="44" spans="1:18" ht="18" customHeight="1">
      <c r="A44" s="803" t="s">
        <v>1877</v>
      </c>
      <c r="B44" s="835" t="s">
        <v>712</v>
      </c>
      <c r="C44" s="1352">
        <f ca="1">C42-C43</f>
        <v>0</v>
      </c>
      <c r="D44" s="463" t="s">
        <v>713</v>
      </c>
      <c r="E44" s="464"/>
      <c r="F44" s="465"/>
      <c r="G44" s="2047"/>
      <c r="H44" s="2047"/>
      <c r="I44" s="2047"/>
      <c r="J44" s="2047"/>
      <c r="K44" s="2068"/>
      <c r="L44" s="2047"/>
      <c r="M44" s="2047"/>
    </row>
    <row r="45" spans="1:18" ht="18" customHeight="1">
      <c r="A45" s="803" t="s">
        <v>1878</v>
      </c>
      <c r="B45" s="1351" t="s">
        <v>714</v>
      </c>
      <c r="C45" s="2990">
        <f ca="1">ROUND(-PV(F45,F46,C44,0),0)</f>
        <v>0</v>
      </c>
      <c r="D45" s="1353" t="s">
        <v>715</v>
      </c>
      <c r="E45" s="806" t="s">
        <v>716</v>
      </c>
      <c r="F45" s="830">
        <f ca="1">INDIRECT("'数据-取费表'!h"&amp;$G$1)</f>
        <v>0</v>
      </c>
      <c r="G45" s="2047"/>
      <c r="H45" s="2047"/>
      <c r="I45" s="2047"/>
      <c r="J45" s="2047"/>
      <c r="K45" s="2068"/>
      <c r="L45" s="2047"/>
      <c r="M45" s="2047"/>
    </row>
    <row r="46" spans="1:18" ht="18" customHeight="1" thickBot="1">
      <c r="A46" s="831"/>
      <c r="B46" s="1354"/>
      <c r="C46" s="1355"/>
      <c r="D46" s="1356"/>
      <c r="E46" s="3075" t="s">
        <v>2949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7" t="str">
        <f ca="1">IF(M48="住宅",0,IF(L49&gt;J52,L61,J61))</f>
        <v>0</v>
      </c>
      <c r="O47" s="2358" t="s">
        <v>2407</v>
      </c>
      <c r="P47" s="1578"/>
      <c r="Q47" s="1589"/>
      <c r="R47" s="1578"/>
    </row>
    <row r="48" spans="1:18" s="2044" customFormat="1" ht="18" customHeight="1" thickBot="1">
      <c r="A48" s="2069"/>
      <c r="C48" s="2072"/>
      <c r="D48" s="2073"/>
      <c r="E48" s="2073"/>
      <c r="F48" s="2074"/>
      <c r="G48" s="2075"/>
      <c r="I48" s="3098" t="s">
        <v>2341</v>
      </c>
      <c r="J48" s="2345"/>
      <c r="K48" s="3104" t="s">
        <v>2346</v>
      </c>
      <c r="L48" s="3108">
        <f ca="1">INDIRECT("'数据-取费表'!d"&amp;$G$1)</f>
        <v>0</v>
      </c>
      <c r="M48" s="3072"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7" t="s">
        <v>2342</v>
      </c>
      <c r="J49" s="2346"/>
      <c r="K49" s="3105"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7" t="s">
        <v>2343</v>
      </c>
      <c r="J50" s="2347"/>
      <c r="K50" s="3106"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7" t="s">
        <v>2344</v>
      </c>
      <c r="J51" s="3102">
        <f>SUMPRODUCT((I64:I66=J48)*(J63:L63=J49)*(J64:L66))</f>
        <v>0</v>
      </c>
      <c r="K51" s="3106" t="s">
        <v>2350</v>
      </c>
      <c r="L51" s="2348"/>
      <c r="O51" s="2365" t="s">
        <v>2380</v>
      </c>
      <c r="P51" s="2363" t="s">
        <v>2404</v>
      </c>
      <c r="Q51" s="2364">
        <f ca="1">C31</f>
        <v>0</v>
      </c>
      <c r="R51" s="2363" t="s">
        <v>2377</v>
      </c>
    </row>
    <row r="52" spans="1:18" s="2044" customFormat="1" ht="18" customHeight="1" thickBot="1">
      <c r="A52" s="2081"/>
      <c r="F52" s="2070"/>
      <c r="I52" s="3099" t="s">
        <v>2345</v>
      </c>
      <c r="J52" s="3103">
        <f>IF(J50="",J51,J50+J51-YEAR('数据-取费表'!B3))</f>
        <v>0</v>
      </c>
      <c r="K52" s="3077" t="s">
        <v>2351</v>
      </c>
      <c r="L52" s="3109">
        <f ca="1">ROUND(-PV(INDIRECT("'数据-取费表'!h"&amp;$G$1),L49,(C40-C14*J36),0),0)</f>
        <v>0</v>
      </c>
      <c r="O52" s="2365" t="s">
        <v>2381</v>
      </c>
      <c r="P52" s="2363" t="s">
        <v>2382</v>
      </c>
      <c r="Q52" s="2366" t="e">
        <f ca="1">J59</f>
        <v>#VALUE!</v>
      </c>
      <c r="R52" s="2367"/>
    </row>
    <row r="53" spans="1:18" s="2044" customFormat="1" ht="18" customHeight="1" thickBot="1">
      <c r="A53" s="2081"/>
      <c r="F53" s="2070"/>
      <c r="I53" s="3100" t="s">
        <v>2418</v>
      </c>
      <c r="J53" s="2349"/>
      <c r="K53" s="3100" t="s">
        <v>2417</v>
      </c>
      <c r="L53" s="2349"/>
      <c r="O53" s="2365" t="s">
        <v>2383</v>
      </c>
      <c r="P53" s="2363" t="s">
        <v>2384</v>
      </c>
      <c r="Q53" s="2366">
        <f>J53</f>
        <v>0</v>
      </c>
      <c r="R53" s="2367"/>
    </row>
    <row r="54" spans="1:18" s="2044" customFormat="1" ht="29.25" thickBot="1">
      <c r="A54" s="2081"/>
      <c r="I54" s="3101" t="s">
        <v>2962</v>
      </c>
      <c r="J54" s="3180">
        <f ca="1">IF(M48="住宅",MAX(J52,L49-'数据-取费表'!B20),MIN(J52,L49-'数据-取费表'!B20))</f>
        <v>-1.5</v>
      </c>
      <c r="K54" s="3472"/>
      <c r="L54" s="3473"/>
      <c r="O54" s="2365" t="s">
        <v>2385</v>
      </c>
      <c r="P54" s="2363" t="s">
        <v>2386</v>
      </c>
      <c r="Q54" s="2364">
        <f ca="1">J54</f>
        <v>-1.5</v>
      </c>
      <c r="R54" s="2363" t="s">
        <v>2387</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2388</v>
      </c>
      <c r="P55" s="2363" t="s">
        <v>2405</v>
      </c>
      <c r="Q55" s="2364">
        <f ca="1">Q49+Q50</f>
        <v>0</v>
      </c>
      <c r="R55" s="2367" t="s">
        <v>2389</v>
      </c>
    </row>
    <row r="56" spans="1:18" s="2044" customFormat="1" ht="16.5" thickBot="1">
      <c r="A56" s="2081"/>
      <c r="B56" s="2082"/>
      <c r="C56" s="2082"/>
      <c r="I56" s="3112" t="s">
        <v>2352</v>
      </c>
      <c r="J56" s="3052" t="e">
        <f ca="1">ROUND(IF(J48="钢混",J58/J51,1-(1-2%)*(J51-J58)/J51),3)</f>
        <v>#VALUE!</v>
      </c>
      <c r="K56" s="3113" t="s">
        <v>2353</v>
      </c>
      <c r="L56" s="2350"/>
      <c r="O56" s="2368" t="s">
        <v>2408</v>
      </c>
      <c r="P56" s="1578"/>
      <c r="Q56" s="1589"/>
      <c r="R56" s="1578"/>
    </row>
    <row r="57" spans="1:18" s="2044" customFormat="1" ht="43.5" thickBot="1">
      <c r="A57" s="2081"/>
      <c r="B57" s="2082"/>
      <c r="C57" s="2082"/>
      <c r="I57" s="3114" t="s">
        <v>2354</v>
      </c>
      <c r="J57" s="3124" t="s">
        <v>1677</v>
      </c>
      <c r="K57" s="3077" t="s">
        <v>2359</v>
      </c>
      <c r="L57" s="1893">
        <f ca="1">IF(L49&lt;J52,"——",L49-J52)</f>
        <v>0</v>
      </c>
      <c r="O57" s="2359" t="s">
        <v>2372</v>
      </c>
      <c r="P57" s="2360" t="s">
        <v>2373</v>
      </c>
      <c r="Q57" s="2361" t="s">
        <v>2374</v>
      </c>
      <c r="R57" s="2360" t="s">
        <v>2375</v>
      </c>
    </row>
    <row r="58" spans="1:18" s="2044" customFormat="1" ht="29.25" thickBot="1">
      <c r="A58" s="2081"/>
      <c r="B58" s="2082"/>
      <c r="C58" s="2082"/>
      <c r="I58" s="3115" t="s">
        <v>2355</v>
      </c>
      <c r="J58" s="3116" t="str">
        <f ca="1">IF(OR(M48="住宅",J52&lt;L49,J57="是"),"——",J52-L49)</f>
        <v>——</v>
      </c>
      <c r="K58" s="3077"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5" t="s">
        <v>2356</v>
      </c>
      <c r="J59" s="3053" t="e">
        <f ca="1">IF(J56&lt;0.4,0.4,J56)</f>
        <v>#VALUE!</v>
      </c>
      <c r="K59" s="3077"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5" t="s">
        <v>2357</v>
      </c>
      <c r="J60" s="3116" t="str">
        <f ca="1">IF(OR(M48="住宅",J52&lt;L49,J57="是"),"——",ROUND(C30*J59,0))</f>
        <v>——</v>
      </c>
      <c r="K60" s="3077"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7" t="s">
        <v>2358</v>
      </c>
      <c r="J61" s="3118" t="str">
        <f ca="1">IF(OR(M48="住宅",J52&lt;L49,J57="是"),"0",ROUND(J60/(1+J53)^J54,0))</f>
        <v>0</v>
      </c>
      <c r="K61" s="3119" t="s">
        <v>2363</v>
      </c>
      <c r="L61" s="3118"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20" t="s">
        <v>2364</v>
      </c>
      <c r="J63" s="3121" t="s">
        <v>2365</v>
      </c>
      <c r="K63" s="3121" t="s">
        <v>2366</v>
      </c>
      <c r="L63" s="3121" t="s">
        <v>2347</v>
      </c>
      <c r="M63" s="3122" t="s">
        <v>2927</v>
      </c>
      <c r="O63" s="2365" t="s">
        <v>2385</v>
      </c>
      <c r="P63" s="2363" t="s">
        <v>2393</v>
      </c>
      <c r="Q63" s="2364">
        <f ca="1">L60</f>
        <v>0</v>
      </c>
      <c r="R63" s="2367" t="s">
        <v>2394</v>
      </c>
    </row>
    <row r="64" spans="1:18" s="2044" customFormat="1" ht="15.75" thickBot="1">
      <c r="A64" s="2081"/>
      <c r="B64" s="2082"/>
      <c r="C64" s="2082"/>
      <c r="I64" s="3120" t="s">
        <v>2367</v>
      </c>
      <c r="J64" s="3121">
        <v>70</v>
      </c>
      <c r="K64" s="3121">
        <v>50</v>
      </c>
      <c r="L64" s="3121">
        <v>80</v>
      </c>
      <c r="M64" s="3123">
        <v>0.02</v>
      </c>
      <c r="O64" s="2362" t="s">
        <v>2388</v>
      </c>
      <c r="P64" s="2363" t="s">
        <v>2405</v>
      </c>
      <c r="Q64" s="2364" t="e">
        <f ca="1">Q58+Q59</f>
        <v>#DIV/0!</v>
      </c>
      <c r="R64" s="2367" t="s">
        <v>2389</v>
      </c>
    </row>
    <row r="65" spans="1:18" s="2044" customFormat="1" ht="16.5" thickBot="1">
      <c r="A65" s="2081"/>
      <c r="B65" s="2082"/>
      <c r="C65" s="2082"/>
      <c r="I65" s="3120" t="s">
        <v>2368</v>
      </c>
      <c r="J65" s="3121">
        <v>50</v>
      </c>
      <c r="K65" s="3121">
        <v>35</v>
      </c>
      <c r="L65" s="3121">
        <v>60</v>
      </c>
      <c r="M65" s="846">
        <v>0</v>
      </c>
      <c r="O65" s="2368" t="s">
        <v>2412</v>
      </c>
      <c r="P65" s="1578"/>
      <c r="Q65" s="1589"/>
      <c r="R65" s="1578"/>
    </row>
    <row r="66" spans="1:18" s="2044" customFormat="1" ht="15.75" thickBot="1">
      <c r="A66" s="2081"/>
      <c r="B66" s="2082"/>
      <c r="C66" s="2082"/>
      <c r="I66" s="3120" t="s">
        <v>2369</v>
      </c>
      <c r="J66" s="3121">
        <v>40</v>
      </c>
      <c r="K66" s="3121">
        <v>30</v>
      </c>
      <c r="L66" s="3121">
        <v>50</v>
      </c>
      <c r="M66" s="3123">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75" defaultRowHeight="13.5"/>
  <cols>
    <col min="1" max="1" width="10.5" customWidth="1"/>
    <col min="2" max="2" width="12.75" customWidth="1"/>
    <col min="3" max="3" width="8.75" customWidth="1"/>
  </cols>
  <sheetData>
    <row r="1" spans="1:9" ht="14.25">
      <c r="A1" s="3490" t="s">
        <v>2466</v>
      </c>
      <c r="B1" s="3491"/>
      <c r="C1" s="3492"/>
      <c r="D1" s="3493">
        <f>SUM(I10,I15,I20,I21,I23)</f>
        <v>0</v>
      </c>
      <c r="E1" s="3493"/>
      <c r="F1" s="3493"/>
      <c r="G1" s="3493"/>
      <c r="H1" s="3493"/>
      <c r="I1" s="3494"/>
    </row>
    <row r="2" spans="1:9">
      <c r="A2" s="3480" t="s">
        <v>2467</v>
      </c>
      <c r="B2" s="3481" t="s">
        <v>2468</v>
      </c>
      <c r="C2" s="3481"/>
      <c r="D2" s="2471" t="s">
        <v>2469</v>
      </c>
      <c r="E2" s="2471" t="s">
        <v>2470</v>
      </c>
      <c r="F2" s="2471" t="s">
        <v>2471</v>
      </c>
      <c r="G2" s="2471" t="s">
        <v>2472</v>
      </c>
      <c r="H2" s="2471" t="s">
        <v>2473</v>
      </c>
      <c r="I2" s="2472" t="s">
        <v>2474</v>
      </c>
    </row>
    <row r="3" spans="1:9">
      <c r="A3" s="3480"/>
      <c r="B3" s="3481" t="s">
        <v>2475</v>
      </c>
      <c r="C3" s="3481"/>
      <c r="D3" s="2473"/>
      <c r="E3" s="2471"/>
      <c r="F3" s="2474"/>
      <c r="G3" s="2474"/>
      <c r="H3" s="2475"/>
      <c r="I3" s="2476">
        <f>ROUND(D3*E3*F3*G3*H3/10000,0)</f>
        <v>0</v>
      </c>
    </row>
    <row r="4" spans="1:9">
      <c r="A4" s="3480"/>
      <c r="B4" s="3481" t="s">
        <v>2476</v>
      </c>
      <c r="C4" s="3481"/>
      <c r="D4" s="2473"/>
      <c r="E4" s="2471"/>
      <c r="F4" s="2474"/>
      <c r="G4" s="2474"/>
      <c r="H4" s="2475"/>
      <c r="I4" s="2476">
        <f t="shared" ref="I4:I9" si="0">ROUND(D4*E4*F4*G4*H4/10000,0)</f>
        <v>0</v>
      </c>
    </row>
    <row r="5" spans="1:9">
      <c r="A5" s="3480"/>
      <c r="B5" s="3481" t="s">
        <v>2477</v>
      </c>
      <c r="C5" s="3481"/>
      <c r="D5" s="2473"/>
      <c r="E5" s="2471"/>
      <c r="F5" s="2474"/>
      <c r="G5" s="2474"/>
      <c r="H5" s="2475"/>
      <c r="I5" s="2476">
        <f t="shared" si="0"/>
        <v>0</v>
      </c>
    </row>
    <row r="6" spans="1:9">
      <c r="A6" s="3480"/>
      <c r="B6" s="3481" t="s">
        <v>2478</v>
      </c>
      <c r="C6" s="3481"/>
      <c r="D6" s="2473"/>
      <c r="E6" s="2471"/>
      <c r="F6" s="2474"/>
      <c r="G6" s="2474"/>
      <c r="H6" s="2475"/>
      <c r="I6" s="2476">
        <f t="shared" si="0"/>
        <v>0</v>
      </c>
    </row>
    <row r="7" spans="1:9">
      <c r="A7" s="3480"/>
      <c r="B7" s="3481" t="s">
        <v>2479</v>
      </c>
      <c r="C7" s="3481"/>
      <c r="D7" s="2473"/>
      <c r="E7" s="2471"/>
      <c r="F7" s="2474"/>
      <c r="G7" s="2474"/>
      <c r="H7" s="2475"/>
      <c r="I7" s="2476">
        <f t="shared" si="0"/>
        <v>0</v>
      </c>
    </row>
    <row r="8" spans="1:9">
      <c r="A8" s="3480"/>
      <c r="B8" s="3481" t="s">
        <v>2480</v>
      </c>
      <c r="C8" s="3481"/>
      <c r="D8" s="2473"/>
      <c r="E8" s="2471"/>
      <c r="F8" s="2474"/>
      <c r="G8" s="2474"/>
      <c r="H8" s="2475"/>
      <c r="I8" s="2476">
        <f t="shared" si="0"/>
        <v>0</v>
      </c>
    </row>
    <row r="9" spans="1:9">
      <c r="A9" s="3480"/>
      <c r="B9" s="3481" t="s">
        <v>2481</v>
      </c>
      <c r="C9" s="3481"/>
      <c r="D9" s="2473"/>
      <c r="E9" s="2471"/>
      <c r="F9" s="2474"/>
      <c r="G9" s="2474"/>
      <c r="H9" s="2475"/>
      <c r="I9" s="2476">
        <f t="shared" si="0"/>
        <v>0</v>
      </c>
    </row>
    <row r="10" spans="1:9">
      <c r="A10" s="3480"/>
      <c r="B10" s="3482" t="s">
        <v>2482</v>
      </c>
      <c r="C10" s="3482"/>
      <c r="D10" s="2477">
        <v>527</v>
      </c>
      <c r="E10" s="2477" t="e">
        <f>ROUND(D1*10000/D10/H9,0)</f>
        <v>#DIV/0!</v>
      </c>
      <c r="F10" s="2478"/>
      <c r="G10" s="2478"/>
      <c r="H10" s="2479"/>
      <c r="I10" s="2480">
        <f>SUM(I3:I9)</f>
        <v>0</v>
      </c>
    </row>
    <row r="11" spans="1:9" ht="14.25">
      <c r="A11" s="3480" t="s">
        <v>2483</v>
      </c>
      <c r="B11" s="3481" t="s">
        <v>2484</v>
      </c>
      <c r="C11" s="3481"/>
      <c r="D11" s="2473" t="s">
        <v>2485</v>
      </c>
      <c r="E11" s="2473" t="s">
        <v>2486</v>
      </c>
      <c r="F11" s="2474" t="s">
        <v>2487</v>
      </c>
      <c r="G11" s="2474" t="s">
        <v>2488</v>
      </c>
      <c r="H11" s="2481" t="s">
        <v>2489</v>
      </c>
      <c r="I11" s="2472" t="s">
        <v>2490</v>
      </c>
    </row>
    <row r="12" spans="1:9">
      <c r="A12" s="3480"/>
      <c r="B12" s="3481" t="s">
        <v>2491</v>
      </c>
      <c r="C12" s="3481"/>
      <c r="D12" s="2473"/>
      <c r="E12" s="2473"/>
      <c r="F12" s="2474"/>
      <c r="G12" s="2475"/>
      <c r="H12" s="2482"/>
      <c r="I12" s="2472">
        <f>ROUND(D12*E12*F12*G12/10000,0)</f>
        <v>0</v>
      </c>
    </row>
    <row r="13" spans="1:9">
      <c r="A13" s="3480"/>
      <c r="B13" s="3481" t="s">
        <v>2492</v>
      </c>
      <c r="C13" s="3481"/>
      <c r="D13" s="2473"/>
      <c r="E13" s="2473"/>
      <c r="F13" s="2474"/>
      <c r="G13" s="2475"/>
      <c r="H13" s="2482"/>
      <c r="I13" s="2472">
        <f>ROUND(D13*E13*F13*G13/10000,0)</f>
        <v>0</v>
      </c>
    </row>
    <row r="14" spans="1:9">
      <c r="A14" s="3480"/>
      <c r="B14" s="3481" t="s">
        <v>2493</v>
      </c>
      <c r="C14" s="3481"/>
      <c r="D14" s="2473"/>
      <c r="E14" s="2473"/>
      <c r="F14" s="2474"/>
      <c r="G14" s="2475"/>
      <c r="H14" s="2482"/>
      <c r="I14" s="2472">
        <f>ROUND(D14*E14*F14*G14/10000,0)</f>
        <v>0</v>
      </c>
    </row>
    <row r="15" spans="1:9">
      <c r="A15" s="3480"/>
      <c r="B15" s="3482" t="s">
        <v>2482</v>
      </c>
      <c r="C15" s="3482"/>
      <c r="D15" s="2477"/>
      <c r="E15" s="2477">
        <f>SUM(E12:E14)</f>
        <v>0</v>
      </c>
      <c r="F15" s="2478"/>
      <c r="G15" s="2475"/>
      <c r="H15" s="2482"/>
      <c r="I15" s="2483">
        <f>SUM(I12:I14)</f>
        <v>0</v>
      </c>
    </row>
    <row r="16" spans="1:9" ht="24">
      <c r="A16" s="3480" t="s">
        <v>2494</v>
      </c>
      <c r="B16" s="3481" t="s">
        <v>2495</v>
      </c>
      <c r="C16" s="3481"/>
      <c r="D16" s="2473" t="s">
        <v>2496</v>
      </c>
      <c r="E16" s="2484" t="s">
        <v>2497</v>
      </c>
      <c r="F16" s="2474" t="s">
        <v>2498</v>
      </c>
      <c r="G16" s="2475" t="s">
        <v>2488</v>
      </c>
      <c r="H16" s="2481" t="s">
        <v>2489</v>
      </c>
      <c r="I16" s="2472" t="s">
        <v>2490</v>
      </c>
    </row>
    <row r="17" spans="1:9" ht="14.25">
      <c r="A17" s="3480"/>
      <c r="B17" s="3481" t="s">
        <v>2499</v>
      </c>
      <c r="C17" s="3481"/>
      <c r="D17" s="2473"/>
      <c r="E17" s="2473"/>
      <c r="F17" s="2474"/>
      <c r="G17" s="2475"/>
      <c r="H17" s="2485"/>
      <c r="I17" s="2486">
        <f>ROUND(D17*E17*F17*G17/10000,0)</f>
        <v>0</v>
      </c>
    </row>
    <row r="18" spans="1:9" ht="14.25">
      <c r="A18" s="3480"/>
      <c r="B18" s="3481" t="s">
        <v>2500</v>
      </c>
      <c r="C18" s="3481"/>
      <c r="D18" s="2473"/>
      <c r="E18" s="2473"/>
      <c r="F18" s="2474"/>
      <c r="G18" s="2475"/>
      <c r="H18" s="2485"/>
      <c r="I18" s="2486">
        <f>ROUND(D18*E18*F18*G18/10000,0)</f>
        <v>0</v>
      </c>
    </row>
    <row r="19" spans="1:9" ht="14.25">
      <c r="A19" s="3480"/>
      <c r="B19" s="3481" t="s">
        <v>2501</v>
      </c>
      <c r="C19" s="3481"/>
      <c r="D19" s="2473"/>
      <c r="E19" s="2473"/>
      <c r="F19" s="2474"/>
      <c r="G19" s="2475"/>
      <c r="H19" s="2485"/>
      <c r="I19" s="2486">
        <f>ROUND(D19*E19*F19*G19/10000,0)</f>
        <v>0</v>
      </c>
    </row>
    <row r="20" spans="1:9">
      <c r="A20" s="3480"/>
      <c r="B20" s="3482" t="s">
        <v>2482</v>
      </c>
      <c r="C20" s="3482"/>
      <c r="D20" s="2477">
        <f>SUM(D17:D19)</f>
        <v>0</v>
      </c>
      <c r="E20" s="2477"/>
      <c r="F20" s="2478"/>
      <c r="G20" s="2475"/>
      <c r="H20" s="2482"/>
      <c r="I20" s="2483">
        <f>SUM(I17:I19)</f>
        <v>0</v>
      </c>
    </row>
    <row r="21" spans="1:9">
      <c r="A21" s="3480" t="s">
        <v>2502</v>
      </c>
      <c r="B21" s="3483"/>
      <c r="C21" s="3483"/>
      <c r="D21" s="3483"/>
      <c r="E21" s="3483"/>
      <c r="F21" s="3483"/>
      <c r="G21" s="3483"/>
      <c r="H21" s="2487">
        <v>0.1</v>
      </c>
      <c r="I21" s="2480">
        <f>ROUND(I10*H21,0)</f>
        <v>0</v>
      </c>
    </row>
    <row r="22" spans="1:9" ht="14.25">
      <c r="A22" s="3484" t="s">
        <v>2503</v>
      </c>
      <c r="B22" s="3485"/>
      <c r="C22" s="3486"/>
      <c r="D22" s="2488" t="s">
        <v>2504</v>
      </c>
      <c r="E22" s="2488" t="s">
        <v>2505</v>
      </c>
      <c r="F22" s="2489" t="s">
        <v>2506</v>
      </c>
      <c r="G22" s="2489" t="s">
        <v>2507</v>
      </c>
      <c r="H22" s="2481" t="s">
        <v>2508</v>
      </c>
      <c r="I22" s="2472" t="s">
        <v>2509</v>
      </c>
    </row>
    <row r="23" spans="1:9" ht="14.25" thickBot="1">
      <c r="A23" s="3487"/>
      <c r="B23" s="3488"/>
      <c r="C23" s="3489"/>
      <c r="D23" s="2490"/>
      <c r="E23" s="2490"/>
      <c r="F23" s="2490"/>
      <c r="G23" s="2491"/>
      <c r="H23" s="2492"/>
      <c r="I23" s="2493">
        <f>ROUND(E23*D23*F23*(1-G23)/10000,0)</f>
        <v>0</v>
      </c>
    </row>
    <row r="26" spans="1:9">
      <c r="A26" s="2494" t="s">
        <v>2510</v>
      </c>
      <c r="B26" s="2494"/>
      <c r="C26" s="2494"/>
      <c r="D26" s="2494"/>
      <c r="E26" s="3477">
        <f>C27-C30-C31-C32</f>
        <v>0</v>
      </c>
      <c r="F26" s="3477"/>
      <c r="G26" s="3477"/>
      <c r="H26" s="2995" t="s">
        <v>2837</v>
      </c>
    </row>
    <row r="27" spans="1:9">
      <c r="A27" s="2495">
        <v>1</v>
      </c>
      <c r="B27" s="2496" t="s">
        <v>2511</v>
      </c>
      <c r="C27" s="2496"/>
      <c r="D27" s="2496"/>
      <c r="E27" s="3478"/>
      <c r="F27" s="3478"/>
      <c r="G27" s="3478"/>
    </row>
    <row r="28" spans="1:9">
      <c r="A28" s="2497" t="s">
        <v>2512</v>
      </c>
      <c r="B28" s="2496" t="s">
        <v>2513</v>
      </c>
      <c r="C28" s="2496"/>
      <c r="D28" s="2496"/>
      <c r="E28" s="3478"/>
      <c r="F28" s="3478"/>
      <c r="G28" s="3478"/>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479"/>
      <c r="F32" s="3479"/>
      <c r="G32" s="3479"/>
    </row>
    <row r="33" spans="1:7" hidden="1">
      <c r="A33" s="3474" t="s">
        <v>2521</v>
      </c>
      <c r="B33" s="3475"/>
      <c r="C33" s="3475"/>
      <c r="D33" s="3476"/>
      <c r="E33" s="3477"/>
      <c r="F33" s="3477"/>
      <c r="G33" s="3477"/>
    </row>
    <row r="34" spans="1:7" hidden="1">
      <c r="A34" s="2499">
        <v>1</v>
      </c>
      <c r="B34" s="2496" t="s">
        <v>2522</v>
      </c>
      <c r="C34" s="2496"/>
      <c r="D34" s="2496"/>
      <c r="E34" s="3478"/>
      <c r="F34" s="3478"/>
      <c r="G34" s="3478"/>
    </row>
    <row r="35" spans="1:7" hidden="1">
      <c r="A35" s="2499">
        <v>2</v>
      </c>
      <c r="B35" s="2496" t="s">
        <v>2523</v>
      </c>
      <c r="C35" s="2496"/>
      <c r="D35" s="2496"/>
      <c r="E35" s="3478"/>
      <c r="F35" s="3478"/>
      <c r="G35" s="3478"/>
    </row>
    <row r="36" spans="1:7" hidden="1">
      <c r="A36" s="2499">
        <v>3</v>
      </c>
      <c r="B36" s="2496" t="s">
        <v>2524</v>
      </c>
      <c r="C36" s="2496"/>
      <c r="D36" s="2496"/>
      <c r="E36" s="3478"/>
      <c r="F36" s="3478"/>
      <c r="G36" s="3478"/>
    </row>
    <row r="37" spans="1:7" hidden="1">
      <c r="A37" s="2499">
        <v>4</v>
      </c>
      <c r="B37" s="2496" t="s">
        <v>2525</v>
      </c>
      <c r="C37" s="2496"/>
      <c r="D37" s="2496"/>
      <c r="E37" s="3478"/>
      <c r="F37" s="3478"/>
      <c r="G37" s="3478"/>
    </row>
    <row r="38" spans="1:7" hidden="1">
      <c r="A38" s="3474" t="s">
        <v>2526</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2436</v>
      </c>
      <c r="B8" s="2436" t="s">
        <v>2438</v>
      </c>
      <c r="C8" s="2437"/>
      <c r="D8" s="749"/>
      <c r="E8" s="750"/>
      <c r="F8" s="750"/>
      <c r="G8" s="751"/>
    </row>
    <row r="9" spans="1:25" s="2168" customFormat="1" ht="13.5" customHeight="1">
      <c r="A9" s="2433" t="s">
        <v>2437</v>
      </c>
      <c r="B9" s="2436" t="s">
        <v>2439</v>
      </c>
      <c r="C9" s="2437"/>
      <c r="D9" s="749"/>
      <c r="E9" s="750"/>
      <c r="F9" s="750"/>
      <c r="G9" s="751"/>
    </row>
    <row r="10" spans="1:25" s="2168" customFormat="1" ht="36">
      <c r="A10" s="2433">
        <v>2</v>
      </c>
      <c r="B10" s="748" t="s">
        <v>612</v>
      </c>
      <c r="C10" s="749">
        <f>C11+C14+C15</f>
        <v>0</v>
      </c>
      <c r="D10" s="760">
        <f>'数据-汇总表'!E3</f>
        <v>4086</v>
      </c>
      <c r="E10" s="749">
        <f>'数据-取费表'!B31</f>
        <v>200</v>
      </c>
      <c r="F10" s="761"/>
      <c r="G10" s="759" t="s">
        <v>613</v>
      </c>
    </row>
    <row r="11" spans="1:25" s="2168" customFormat="1" ht="13.5" customHeight="1">
      <c r="A11" s="2433" t="s">
        <v>2436</v>
      </c>
      <c r="B11" s="752" t="s">
        <v>609</v>
      </c>
      <c r="C11" s="753">
        <f>'数据-取费表'!B29</f>
        <v>0</v>
      </c>
      <c r="D11" s="754"/>
      <c r="E11" s="753"/>
      <c r="F11" s="755"/>
      <c r="G11" s="2442" t="s">
        <v>2447</v>
      </c>
    </row>
    <row r="12" spans="1:25" s="2168" customFormat="1" ht="13.5" customHeight="1">
      <c r="A12" s="2440" t="s">
        <v>2444</v>
      </c>
      <c r="B12" s="756" t="s">
        <v>610</v>
      </c>
      <c r="C12" s="757">
        <f>ROUND(D12*E12/10000,0)</f>
        <v>69</v>
      </c>
      <c r="D12" s="758">
        <f>'数据-汇总表'!E5</f>
        <v>4086</v>
      </c>
      <c r="E12" s="757">
        <f>'数据-取费表'!B27</f>
        <v>170</v>
      </c>
      <c r="F12" s="755"/>
      <c r="G12" s="759"/>
    </row>
    <row r="13" spans="1:25" s="2168" customFormat="1" ht="13.5" customHeight="1">
      <c r="A13" s="2440" t="s">
        <v>2443</v>
      </c>
      <c r="B13" s="756" t="s">
        <v>611</v>
      </c>
      <c r="C13" s="757">
        <f>ROUND(D13*E13/10000,0)</f>
        <v>0</v>
      </c>
      <c r="D13" s="758">
        <f>'数据-汇总表'!E6</f>
        <v>0</v>
      </c>
      <c r="E13" s="757">
        <f>'数据-取费表'!B28</f>
        <v>170</v>
      </c>
      <c r="F13" s="755"/>
      <c r="G13" s="759"/>
    </row>
    <row r="14" spans="1:25" s="2168" customFormat="1" ht="13.5" customHeight="1">
      <c r="A14" s="2433" t="s">
        <v>2437</v>
      </c>
      <c r="B14" s="2439" t="s">
        <v>2440</v>
      </c>
      <c r="C14" s="2437"/>
      <c r="D14" s="758"/>
      <c r="E14" s="757"/>
      <c r="F14" s="2438"/>
      <c r="G14" s="2441" t="s">
        <v>2445</v>
      </c>
    </row>
    <row r="15" spans="1:25" s="2168" customFormat="1" ht="13.5" customHeight="1">
      <c r="A15" s="2433" t="s">
        <v>2442</v>
      </c>
      <c r="B15" s="2439" t="s">
        <v>2441</v>
      </c>
      <c r="C15" s="2437"/>
      <c r="D15" s="758"/>
      <c r="E15" s="757"/>
      <c r="F15" s="2438"/>
      <c r="G15" s="2441" t="s">
        <v>2446</v>
      </c>
    </row>
    <row r="16" spans="1:25" s="2169" customFormat="1" ht="48">
      <c r="A16" s="2433">
        <v>3</v>
      </c>
      <c r="B16" s="748" t="s">
        <v>614</v>
      </c>
      <c r="C16" s="2437"/>
      <c r="D16" s="760"/>
      <c r="E16" s="749"/>
      <c r="F16" s="761"/>
      <c r="G16" s="759" t="s">
        <v>2448</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0.15</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4"/>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0.95399999999999996</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16" sqref="D1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4"/>
      <c r="C1" s="2089"/>
      <c r="D1" s="2089"/>
      <c r="E1" s="2089"/>
      <c r="F1" s="2089"/>
      <c r="G1" s="2089"/>
      <c r="H1" s="2089"/>
      <c r="I1" s="2089"/>
      <c r="J1" s="2089"/>
      <c r="K1" s="422">
        <f>MATCH(B1,'数据-取费表'!A6:A16,0)+5</f>
        <v>7</v>
      </c>
    </row>
    <row r="2" spans="1:31" s="2026" customFormat="1" ht="18" customHeight="1">
      <c r="A2" s="2086" t="s">
        <v>466</v>
      </c>
      <c r="B2" s="2090">
        <f ca="1">C36</f>
        <v>3187</v>
      </c>
      <c r="C2" s="2089"/>
      <c r="D2" s="2089"/>
      <c r="E2" s="2089"/>
      <c r="F2" s="2089"/>
      <c r="G2" s="2089"/>
      <c r="H2" s="2089"/>
      <c r="I2" s="2089"/>
      <c r="J2" s="2089"/>
      <c r="K2" s="2089"/>
    </row>
    <row r="3" spans="1:31" s="2026" customFormat="1" ht="18" customHeight="1">
      <c r="A3" s="2091" t="s">
        <v>1683</v>
      </c>
      <c r="B3" s="2092">
        <f ca="1">ROUND(B2*10000/IF(B1="",'数据-汇总表'!E3,INDIRECT("'数据-取费表'!K"&amp;$K$1)),0)</f>
        <v>7800</v>
      </c>
      <c r="C3" s="2089"/>
      <c r="D3" s="2089"/>
      <c r="E3" s="2089"/>
      <c r="F3" s="2089"/>
      <c r="G3" s="2089"/>
      <c r="H3" s="2089"/>
      <c r="I3" s="2089"/>
      <c r="J3" s="2089"/>
      <c r="K3" s="2089"/>
    </row>
    <row r="4" spans="1:31" s="2026" customFormat="1" ht="18" customHeight="1">
      <c r="A4" s="426" t="s">
        <v>467</v>
      </c>
      <c r="B4" s="427">
        <f ca="1">ROUND(B2*10000/IF(B1="",'数据-汇总表'!D3,INDIRECT("'数据-取费表'!R"&amp;$K$1)),0)</f>
        <v>38996</v>
      </c>
      <c r="C4" s="428"/>
      <c r="D4" s="422"/>
      <c r="E4" s="422"/>
      <c r="F4" s="422"/>
      <c r="G4" s="422"/>
      <c r="H4" s="422"/>
      <c r="I4" s="422"/>
      <c r="J4" s="422"/>
      <c r="K4" s="422"/>
    </row>
    <row r="5" spans="1:31" s="2026" customFormat="1" ht="18" customHeight="1" thickBot="1">
      <c r="A5" s="429"/>
      <c r="B5" s="430">
        <f ca="1">ROUND(B2/(IF(B1="",'数据-汇总表'!D3,INDIRECT("'数据-取费表'!R"&amp;$K$1))/666.67),0)</f>
        <v>2600</v>
      </c>
      <c r="C5" s="431" t="s">
        <v>468</v>
      </c>
      <c r="D5" s="422"/>
      <c r="E5" s="422"/>
      <c r="F5" s="422"/>
      <c r="G5" s="422"/>
      <c r="H5" s="422"/>
      <c r="I5" s="422"/>
      <c r="J5" s="422"/>
      <c r="K5" s="422"/>
    </row>
    <row r="6" spans="1:31" s="2096" customFormat="1" ht="16.5" customHeight="1">
      <c r="A6" s="2783" t="s">
        <v>1841</v>
      </c>
      <c r="B6" s="2784"/>
      <c r="C6" s="2785">
        <f>SUM(C10:K10)</f>
        <v>6169</v>
      </c>
      <c r="D6" s="2784"/>
      <c r="E6" s="2784"/>
      <c r="F6" s="2784"/>
      <c r="G6" s="2784"/>
      <c r="H6" s="2784"/>
      <c r="I6" s="2784"/>
      <c r="J6" s="2784"/>
      <c r="K6" s="2786"/>
    </row>
    <row r="7" spans="1:31" s="2098" customFormat="1" ht="15">
      <c r="A7" s="2787" t="s">
        <v>469</v>
      </c>
      <c r="B7" s="2788" t="s">
        <v>470</v>
      </c>
      <c r="C7" s="436" t="s">
        <v>922</v>
      </c>
      <c r="D7" s="436" t="s">
        <v>2993</v>
      </c>
      <c r="E7" s="436" t="s">
        <v>2995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f>'不动产比较法-住宅'!B3</f>
        <v>15097</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4086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81">
        <f>'不动产比较法-住宅'!B2</f>
        <v>6169</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1847</v>
      </c>
      <c r="B13" s="2798" t="s">
        <v>478</v>
      </c>
      <c r="C13" s="450">
        <f ca="1">IF(B1="",'数据-取费表'!P16,INDIRECT("'数据-取费表'!p"&amp;$K$1)+INDIRECT("'数据-取费表'!t"&amp;$K$1))</f>
        <v>1022</v>
      </c>
      <c r="D13" s="2799"/>
      <c r="E13" s="2800"/>
      <c r="F13" s="2801"/>
      <c r="G13" s="2767"/>
      <c r="H13" s="2768"/>
      <c r="I13" s="2768"/>
      <c r="J13" s="2768"/>
      <c r="K13" s="2769"/>
    </row>
    <row r="14" spans="1:31" s="2101" customFormat="1" ht="13.5" customHeight="1">
      <c r="A14" s="2797" t="s">
        <v>1848</v>
      </c>
      <c r="B14" s="2798" t="s">
        <v>479</v>
      </c>
      <c r="C14" s="53">
        <f ca="1">ROUND(C13*F14,0)</f>
        <v>51</v>
      </c>
      <c r="D14" s="2799"/>
      <c r="E14" s="2800"/>
      <c r="F14" s="2802">
        <f>'数据-取费表'!B33</f>
        <v>0.05</v>
      </c>
      <c r="G14" s="2767" t="s">
        <v>480</v>
      </c>
      <c r="H14" s="2768"/>
      <c r="I14" s="2768"/>
      <c r="J14" s="2768"/>
      <c r="K14" s="2769"/>
    </row>
    <row r="15" spans="1:31" s="2101" customFormat="1" ht="13.5" customHeight="1">
      <c r="A15" s="2797" t="s">
        <v>1849</v>
      </c>
      <c r="B15" s="2798" t="s">
        <v>481</v>
      </c>
      <c r="C15" s="53">
        <f ca="1">ROUND(IF(B1="",SUMIF('数据-取费表'!C:C,"住宅",'数据-取费表'!P:P)*F15,IF(INDIRECT("'数据-取费表'!c"&amp;$K$1)="住宅",INDIRECT("'数据-取费表'!P"&amp;$K$1)*F15,0)),0)</f>
        <v>51</v>
      </c>
      <c r="D15" s="2799"/>
      <c r="E15" s="2800"/>
      <c r="F15" s="2802">
        <f>'数据-取费表'!B34</f>
        <v>0.05</v>
      </c>
      <c r="G15" s="2767" t="s">
        <v>482</v>
      </c>
      <c r="H15" s="2768"/>
      <c r="I15" s="2768"/>
      <c r="J15" s="2768"/>
      <c r="K15" s="2769"/>
    </row>
    <row r="16" spans="1:31" s="2102" customFormat="1" ht="13.5" customHeight="1">
      <c r="A16" s="2797" t="s">
        <v>1850</v>
      </c>
      <c r="B16" s="2798" t="s">
        <v>483</v>
      </c>
      <c r="C16" s="53">
        <f ca="1">ROUND(D16*E16/10000,0)</f>
        <v>82</v>
      </c>
      <c r="D16" s="2799">
        <f ca="1">IF(B1="",'数据-汇总表'!E3,INDIRECT("'数据-取费表'!K"&amp;$K$1)+INDIRECT("'数据-取费表'!S"&amp;$K$1))</f>
        <v>4086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15</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1221</v>
      </c>
      <c r="D18" s="2808"/>
      <c r="E18" s="468"/>
      <c r="F18" s="468"/>
      <c r="G18" s="2771" t="s">
        <v>2427</v>
      </c>
      <c r="H18" s="2772"/>
      <c r="I18" s="2772"/>
      <c r="J18" s="2772"/>
      <c r="K18" s="2773"/>
    </row>
    <row r="19" spans="1:14" s="2101" customFormat="1" ht="13.5" customHeight="1">
      <c r="A19" s="2805" t="s">
        <v>1853</v>
      </c>
      <c r="B19" s="2806" t="s">
        <v>487</v>
      </c>
      <c r="C19" s="2763">
        <f ca="1">ROUND(D19*E19/10000,0)</f>
        <v>0</v>
      </c>
      <c r="D19" s="2809">
        <f ca="1">D16</f>
        <v>4086</v>
      </c>
      <c r="E19" s="2763">
        <f>'数据-取费表'!B32</f>
        <v>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69</v>
      </c>
      <c r="D20" s="2809"/>
      <c r="E20" s="2763"/>
      <c r="F20" s="2810"/>
      <c r="G20" s="3039"/>
      <c r="H20" s="2765"/>
      <c r="I20" s="2766" t="s">
        <v>2645</v>
      </c>
      <c r="J20" s="2772"/>
      <c r="K20" s="2773"/>
    </row>
    <row r="21" spans="1:14" s="2101" customFormat="1" ht="13.5" customHeight="1">
      <c r="A21" s="2797" t="s">
        <v>1855</v>
      </c>
      <c r="B21" s="2798" t="s">
        <v>490</v>
      </c>
      <c r="C21" s="53">
        <f ca="1">ROUND(D21*E21/10000,0)</f>
        <v>69</v>
      </c>
      <c r="D21" s="2799">
        <f ca="1">IF(B1="",'数据-汇总表'!E5,IF(INDIRECT("'数据-取费表'!c"&amp;$K$1)="住宅",INDIRECT("'数据-取费表'!k"&amp;$K$1),0))</f>
        <v>4086</v>
      </c>
      <c r="E21" s="53">
        <f>'数据-取费表'!B27</f>
        <v>170</v>
      </c>
      <c r="F21" s="2802"/>
      <c r="G21" s="26"/>
      <c r="H21" s="51"/>
      <c r="I21" s="51"/>
      <c r="J21" s="51"/>
      <c r="K21" s="2774"/>
    </row>
    <row r="22" spans="1:14" s="2101" customFormat="1" ht="13.5" customHeight="1">
      <c r="A22" s="2797" t="s">
        <v>1856</v>
      </c>
      <c r="B22" s="2798" t="s">
        <v>491</v>
      </c>
      <c r="C22" s="53">
        <f ca="1">ROUND(D22*E22/10000,0)</f>
        <v>0</v>
      </c>
      <c r="D22" s="2799">
        <f ca="1">IF(B1="",'数据-汇总表'!E6,IF(INDIRECT("'数据-取费表'!c"&amp;$K$1)="住宅",INDIRECT("'数据-取费表'!s"&amp;$K$1),INDIRECT("'数据-取费表'!k"&amp;$K$1)+INDIRECT("'数据-取费表'!s"&amp;$K$1)))</f>
        <v>0</v>
      </c>
      <c r="E22" s="53">
        <f>'数据-取费表'!B28</f>
        <v>170</v>
      </c>
      <c r="F22" s="2802"/>
      <c r="G22" s="26"/>
      <c r="H22" s="51"/>
      <c r="I22" s="51"/>
      <c r="J22" s="51"/>
      <c r="K22" s="2774"/>
    </row>
    <row r="23" spans="1:14" s="2101" customFormat="1" ht="13.5" customHeight="1">
      <c r="A23" s="2805" t="s">
        <v>1857</v>
      </c>
      <c r="B23" s="2987" t="s">
        <v>2828</v>
      </c>
      <c r="C23" s="2807">
        <f ca="1">ROUND((C18+C19+C20)*F23,0)</f>
        <v>39</v>
      </c>
      <c r="D23" s="468"/>
      <c r="E23" s="468"/>
      <c r="F23" s="2811">
        <f>'数据-取费表'!B37</f>
        <v>0.03</v>
      </c>
      <c r="G23" s="2767" t="s">
        <v>2428</v>
      </c>
      <c r="H23" s="2768"/>
      <c r="I23" s="2768"/>
      <c r="J23" s="2768"/>
      <c r="K23" s="2769"/>
      <c r="L23" s="2103"/>
      <c r="M23" s="2103"/>
      <c r="N23" s="2103"/>
    </row>
    <row r="24" spans="1:14" s="2101" customFormat="1" ht="13.5" customHeight="1">
      <c r="A24" s="2805" t="s">
        <v>1858</v>
      </c>
      <c r="B24" s="2987" t="s">
        <v>2831</v>
      </c>
      <c r="C24" s="2807">
        <f>ROUND(C6*F24,0)</f>
        <v>185</v>
      </c>
      <c r="D24" s="475"/>
      <c r="E24" s="473"/>
      <c r="F24" s="2811">
        <f>'数据-取费表'!B38</f>
        <v>0.03</v>
      </c>
      <c r="G24" s="2776" t="s">
        <v>498</v>
      </c>
      <c r="H24" s="2770"/>
      <c r="I24" s="2770"/>
      <c r="J24" s="2770"/>
      <c r="K24" s="279"/>
      <c r="L24" s="2103"/>
      <c r="M24" s="2103"/>
      <c r="N24" s="2103"/>
    </row>
    <row r="25" spans="1:14" s="2104" customFormat="1" ht="13.5" customHeight="1">
      <c r="A25" s="2805" t="s">
        <v>1859</v>
      </c>
      <c r="B25" s="2987" t="s">
        <v>2829</v>
      </c>
      <c r="C25" s="467">
        <f>ROUND(F25/(1+'数据-取费表'!C42),4)</f>
        <v>3.8600000000000002E-2</v>
      </c>
      <c r="D25" s="462" t="s">
        <v>2823</v>
      </c>
      <c r="E25" s="469"/>
      <c r="F25" s="2811">
        <f>IF(项目基本情况!B8="出让",0,'数据-取费表'!B48+'数据-取费表'!B49)</f>
        <v>4.0500000000000001E-2</v>
      </c>
      <c r="G25" s="2775" t="s">
        <v>2286</v>
      </c>
      <c r="H25" s="2768"/>
      <c r="I25" s="2768"/>
      <c r="J25" s="2768"/>
      <c r="K25" s="2769"/>
    </row>
    <row r="26" spans="1:14" s="2103" customFormat="1" ht="13.5" customHeight="1">
      <c r="A26" s="2805" t="s">
        <v>1860</v>
      </c>
      <c r="B26" s="2988" t="s">
        <v>2830</v>
      </c>
      <c r="C26" s="2812">
        <f ca="1">C28</f>
        <v>54</v>
      </c>
      <c r="D26" s="467">
        <f ca="1">C27</f>
        <v>7.4899999999999994E-2</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7.4899999999999994E-2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2832</v>
      </c>
      <c r="C28" s="2815">
        <f ca="1">ROUND(IF('数据-取费表'!B22&lt;=1,(C18+C19+C20+C23+C24)*F26*'数据-取费表'!B24/2,(C18+C19+C20+C23+C24)*(POWER((1+F26),'数据-取费表'!B24/2)-1)),0)</f>
        <v>54</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ROUND(C6*F29/(1+'数据-取费表'!C42),0)</f>
        <v>329</v>
      </c>
      <c r="D29" s="468"/>
      <c r="E29" s="468"/>
      <c r="F29" s="2989">
        <f>'数据-取费表'!B41</f>
        <v>5.6000000000000001E-2</v>
      </c>
      <c r="G29" s="2776" t="s">
        <v>497</v>
      </c>
      <c r="H29" s="2768"/>
      <c r="I29" s="2768"/>
      <c r="J29" s="2768"/>
      <c r="K29" s="2769"/>
    </row>
    <row r="30" spans="1:14" s="2106" customFormat="1" ht="13.5" customHeight="1">
      <c r="A30" s="1620" t="s">
        <v>1862</v>
      </c>
      <c r="B30" s="2817" t="s">
        <v>499</v>
      </c>
      <c r="C30" s="2812">
        <f ca="1">C31</f>
        <v>1897</v>
      </c>
      <c r="D30" s="477">
        <f ca="1">C32</f>
        <v>0.1135</v>
      </c>
      <c r="E30" s="469" t="s">
        <v>494</v>
      </c>
      <c r="F30" s="471"/>
      <c r="G30" s="2775" t="s">
        <v>2956</v>
      </c>
      <c r="H30" s="2768"/>
      <c r="I30" s="2768"/>
      <c r="J30" s="2768"/>
      <c r="K30" s="2769"/>
    </row>
    <row r="31" spans="1:14" s="2105" customFormat="1" ht="13.5" customHeight="1">
      <c r="A31" s="803" t="s">
        <v>1855</v>
      </c>
      <c r="B31" s="2813"/>
      <c r="C31" s="450">
        <f ca="1">C18+C19+C20+C23+C24+C26+C29</f>
        <v>1897</v>
      </c>
      <c r="D31" s="472"/>
      <c r="E31" s="473"/>
      <c r="F31" s="474"/>
      <c r="G31" s="261"/>
      <c r="H31" s="2770"/>
      <c r="I31" s="2770"/>
      <c r="J31" s="2770"/>
      <c r="K31" s="279"/>
    </row>
    <row r="32" spans="1:14" s="2105" customFormat="1" ht="13.5" customHeight="1">
      <c r="A32" s="803" t="s">
        <v>1856</v>
      </c>
      <c r="B32" s="2813"/>
      <c r="C32" s="53">
        <f ca="1">ROUND(C25+D26,4)</f>
        <v>0.1135</v>
      </c>
      <c r="D32" s="472"/>
      <c r="E32" s="473"/>
      <c r="F32" s="474"/>
      <c r="G32" s="261"/>
      <c r="H32" s="2770"/>
      <c r="I32" s="2770"/>
      <c r="J32" s="2770"/>
      <c r="K32" s="279"/>
    </row>
    <row r="33" spans="1:11" s="2107" customFormat="1" ht="13.5" customHeight="1">
      <c r="A33" s="2986" t="s">
        <v>2827</v>
      </c>
      <c r="B33" s="2984" t="s">
        <v>2825</v>
      </c>
      <c r="C33" s="478">
        <f ca="1">C35</f>
        <v>227</v>
      </c>
      <c r="D33" s="467">
        <f ca="1">C34</f>
        <v>0.15579999999999999</v>
      </c>
      <c r="E33" s="469" t="s">
        <v>494</v>
      </c>
      <c r="F33" s="479">
        <f ca="1">IF(B1="",'数据-取费表'!Q16,INDIRECT("'数据-取费表'!q"&amp;$K$1))</f>
        <v>0.15</v>
      </c>
      <c r="G33" s="2771"/>
      <c r="H33" s="2772"/>
      <c r="I33" s="2772"/>
      <c r="J33" s="2772"/>
      <c r="K33" s="2773"/>
    </row>
    <row r="34" spans="1:11" s="2108" customFormat="1" ht="13.5" customHeight="1">
      <c r="A34" s="375" t="s">
        <v>1855</v>
      </c>
      <c r="B34" s="2818" t="s">
        <v>500</v>
      </c>
      <c r="C34" s="472">
        <f ca="1">ROUND((1+C25)*F33,4)</f>
        <v>0.15579999999999999</v>
      </c>
      <c r="D34" s="472"/>
      <c r="E34" s="473"/>
      <c r="F34" s="480"/>
      <c r="G34" s="261" t="s">
        <v>2287</v>
      </c>
      <c r="H34" s="2770"/>
      <c r="I34" s="2770"/>
      <c r="J34" s="2770"/>
      <c r="K34" s="279"/>
    </row>
    <row r="35" spans="1:11" s="2108" customFormat="1" ht="13.5" customHeight="1" thickBot="1">
      <c r="A35" s="1621" t="s">
        <v>1856</v>
      </c>
      <c r="B35" s="2985" t="s">
        <v>2833</v>
      </c>
      <c r="C35" s="1613">
        <f ca="1">ROUND((C18+C19+C20+C23+C24)*F33,0)</f>
        <v>227</v>
      </c>
      <c r="D35" s="1614"/>
      <c r="E35" s="2819"/>
      <c r="F35" s="1615"/>
      <c r="G35" s="2777"/>
      <c r="H35" s="2778"/>
      <c r="I35" s="2778"/>
      <c r="J35" s="2778"/>
      <c r="K35" s="2779"/>
    </row>
    <row r="36" spans="1:11" s="2070" customFormat="1" ht="13.5" customHeight="1" thickBot="1">
      <c r="A36" s="284" t="s">
        <v>1843</v>
      </c>
      <c r="B36" s="2781"/>
      <c r="C36" s="2820">
        <f ca="1">ROUND((C6-C30-C33)/(1+D30+D33),0)</f>
        <v>3187</v>
      </c>
      <c r="D36" s="2781"/>
      <c r="E36" s="2781"/>
      <c r="F36" s="2781"/>
      <c r="G36" s="2780" t="s">
        <v>2834</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2" customWidth="1"/>
    <col min="2" max="2" width="15.75" style="1332" customWidth="1"/>
    <col min="3" max="3" width="15.125" style="1332" customWidth="1"/>
    <col min="4" max="4" width="12.125" style="1332" customWidth="1"/>
    <col min="5" max="5" width="15.75" style="1332" customWidth="1"/>
    <col min="6" max="6" width="12.125" style="1332" customWidth="1"/>
    <col min="7" max="7" width="14.5" style="1332" customWidth="1"/>
    <col min="8" max="8" width="12.125" style="1332" customWidth="1"/>
    <col min="9" max="9" width="16.125" style="1332" customWidth="1"/>
    <col min="10" max="10" width="12.125" style="1332" customWidth="1"/>
    <col min="11" max="11" width="12.125" style="1338" customWidth="1"/>
    <col min="12" max="12" width="12.125" style="1339" customWidth="1"/>
    <col min="13" max="15" width="12.125" style="1332" customWidth="1"/>
    <col min="16" max="16" width="4.75" style="1332" customWidth="1"/>
    <col min="17" max="17" width="19.5" style="1332" customWidth="1"/>
    <col min="18" max="22" width="6.125" style="1332" customWidth="1"/>
    <col min="23" max="23" width="5.75" style="1332" customWidth="1"/>
    <col min="24" max="24" width="4.1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7" t="s">
        <v>718</v>
      </c>
      <c r="C1" s="2588" t="s">
        <v>719</v>
      </c>
      <c r="D1" s="2589" t="s">
        <v>922</v>
      </c>
      <c r="E1" s="2590"/>
      <c r="F1" s="2762" t="s">
        <v>3281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6">
        <f>ROUND(B3*D3/10000,0)</f>
        <v>6169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15097</v>
      </c>
      <c r="C3" s="852" t="s">
        <v>721</v>
      </c>
      <c r="D3" s="851">
        <f>SUMIF('数据-汇总表'!$C19:$C33,D1,'数据-汇总表'!$E19:$E33)</f>
        <v>4086</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520</v>
      </c>
      <c r="B4" s="513"/>
      <c r="C4" s="3399" t="s">
        <v>521</v>
      </c>
      <c r="D4" s="3400"/>
      <c r="E4" s="3424" t="s">
        <v>522</v>
      </c>
      <c r="F4" s="3425"/>
      <c r="G4" s="3399" t="s">
        <v>523</v>
      </c>
      <c r="H4" s="3400"/>
      <c r="I4" s="3399" t="s">
        <v>524</v>
      </c>
      <c r="J4" s="3400"/>
      <c r="K4" s="853" t="s">
        <v>525</v>
      </c>
      <c r="L4" s="2118"/>
      <c r="M4" s="2119"/>
      <c r="N4" s="2119"/>
      <c r="O4" s="2119"/>
      <c r="P4" s="3401" t="s">
        <v>526</v>
      </c>
      <c r="Q4" s="3402"/>
      <c r="R4" s="3387" t="s">
        <v>522</v>
      </c>
      <c r="S4" s="3388"/>
      <c r="T4" s="3387" t="s">
        <v>523</v>
      </c>
      <c r="U4" s="3388"/>
      <c r="V4" s="3407" t="s">
        <v>524</v>
      </c>
      <c r="W4" s="3407"/>
      <c r="X4" s="1553"/>
      <c r="Y4" s="3387" t="s">
        <v>526</v>
      </c>
      <c r="Z4" s="3388"/>
      <c r="AA4" s="3382" t="s">
        <v>522</v>
      </c>
      <c r="AB4" s="3382" t="s">
        <v>523</v>
      </c>
      <c r="AC4" s="3382" t="s">
        <v>524</v>
      </c>
    </row>
    <row r="5" spans="1:29" ht="15.75" thickBot="1">
      <c r="A5" s="515"/>
      <c r="B5" s="516"/>
      <c r="C5" s="3412" t="s">
        <v>2914</v>
      </c>
      <c r="D5" s="3411"/>
      <c r="E5" s="3495" t="s">
        <v>3301</v>
      </c>
      <c r="F5" s="3427"/>
      <c r="G5" s="3410" t="s">
        <v>3302</v>
      </c>
      <c r="H5" s="3411"/>
      <c r="I5" s="3410" t="s">
        <v>3303</v>
      </c>
      <c r="J5" s="3411"/>
      <c r="K5" s="854"/>
      <c r="L5" s="2118"/>
      <c r="M5" s="2119"/>
      <c r="N5" s="2119"/>
      <c r="O5" s="2119"/>
      <c r="P5" s="3403"/>
      <c r="Q5" s="3404"/>
      <c r="R5" s="3389"/>
      <c r="S5" s="3390"/>
      <c r="T5" s="3389"/>
      <c r="U5" s="3390"/>
      <c r="V5" s="3407"/>
      <c r="W5" s="3407"/>
      <c r="X5" s="1553"/>
      <c r="Y5" s="3389"/>
      <c r="Z5" s="3390"/>
      <c r="AA5" s="3383"/>
      <c r="AB5" s="3383"/>
      <c r="AC5" s="3383"/>
    </row>
    <row r="6" spans="1:29" ht="15.75" hidden="1" thickBot="1">
      <c r="A6" s="517"/>
      <c r="B6" s="518"/>
      <c r="C6" s="3408" t="s">
        <v>2918</v>
      </c>
      <c r="D6" s="3409"/>
      <c r="E6" s="3428" t="s">
        <v>2918</v>
      </c>
      <c r="F6" s="3429"/>
      <c r="G6" s="3408" t="s">
        <v>2918</v>
      </c>
      <c r="H6" s="3409"/>
      <c r="I6" s="3408" t="s">
        <v>2918</v>
      </c>
      <c r="J6" s="3409"/>
      <c r="K6" s="854" t="s">
        <v>527</v>
      </c>
      <c r="L6" s="2118"/>
      <c r="M6" s="2119"/>
      <c r="N6" s="2119"/>
      <c r="O6" s="2119"/>
      <c r="P6" s="3405"/>
      <c r="Q6" s="3406"/>
      <c r="R6" s="3389"/>
      <c r="S6" s="3390"/>
      <c r="T6" s="3391"/>
      <c r="U6" s="3392"/>
      <c r="V6" s="3407"/>
      <c r="W6" s="3407"/>
      <c r="X6" s="1553"/>
      <c r="Y6" s="3391"/>
      <c r="Z6" s="3392"/>
      <c r="AA6" s="3384"/>
      <c r="AB6" s="3384"/>
      <c r="AC6" s="3384"/>
    </row>
    <row r="7" spans="1:29" s="1215" customFormat="1" ht="15.75" thickBot="1">
      <c r="A7" s="2867"/>
      <c r="B7" s="2874" t="s">
        <v>528</v>
      </c>
      <c r="C7" s="519">
        <f>'数据-取费表'!B2</f>
        <v>43961</v>
      </c>
      <c r="D7" s="520">
        <v>100</v>
      </c>
      <c r="E7" s="521">
        <v>43915</v>
      </c>
      <c r="F7" s="522">
        <f>SUMIF(58:58,YEAR(E7)&amp;"-"&amp;MONTH(E7),59:59)</f>
        <v>99.5</v>
      </c>
      <c r="G7" s="523">
        <v>43924</v>
      </c>
      <c r="H7" s="520">
        <f>SUMIF(58:58,YEAR(G7)&amp;"-"&amp;MONTH(G7),59:59)</f>
        <v>100</v>
      </c>
      <c r="I7" s="523">
        <v>43910</v>
      </c>
      <c r="J7" s="520">
        <f>SUMIF(58:58,YEAR(I7)&amp;"-"&amp;MONTH(I7),59:59)</f>
        <v>99.5</v>
      </c>
      <c r="K7" s="855"/>
      <c r="L7" s="2120"/>
      <c r="M7" s="2121"/>
      <c r="N7" s="2121"/>
      <c r="O7" s="2121"/>
      <c r="P7" s="3385" t="s">
        <v>529</v>
      </c>
      <c r="Q7" s="3394"/>
      <c r="R7" s="1554" t="s">
        <v>13</v>
      </c>
      <c r="S7" s="1555">
        <f t="shared" ref="S7:S15" si="0">F7</f>
        <v>99.5</v>
      </c>
      <c r="T7" s="1554" t="s">
        <v>13</v>
      </c>
      <c r="U7" s="1555">
        <f t="shared" ref="U7:U15" si="1">H7</f>
        <v>100</v>
      </c>
      <c r="V7" s="1554" t="s">
        <v>13</v>
      </c>
      <c r="W7" s="1555">
        <f t="shared" ref="W7:W15" si="2">J7</f>
        <v>99.5</v>
      </c>
      <c r="X7" s="1556"/>
      <c r="Y7" s="3385" t="s">
        <v>529</v>
      </c>
      <c r="Z7" s="3386"/>
      <c r="AA7" s="1557">
        <f>D7/F7</f>
        <v>1.0050251256281406</v>
      </c>
      <c r="AB7" s="1557">
        <f>D7/H7</f>
        <v>1</v>
      </c>
      <c r="AC7" s="1557">
        <f>D7/J7</f>
        <v>1.0050251256281406</v>
      </c>
    </row>
    <row r="8" spans="1:29" s="1215" customFormat="1" ht="15.75" thickBot="1">
      <c r="A8" s="2868"/>
      <c r="B8" s="2875" t="s">
        <v>530</v>
      </c>
      <c r="C8" s="525" t="s">
        <v>575</v>
      </c>
      <c r="D8" s="520">
        <v>100</v>
      </c>
      <c r="E8" s="856" t="s">
        <v>3256</v>
      </c>
      <c r="F8" s="522">
        <f>SUMIF(61:61,E8,62:62)-SUMIF(61:61,C8,62:62)+100</f>
        <v>100</v>
      </c>
      <c r="G8" s="525" t="s">
        <v>3256</v>
      </c>
      <c r="H8" s="520">
        <f>SUMIF(61:61,G8,62:62)-SUMIF(61:61,C8,62:62)+100</f>
        <v>100</v>
      </c>
      <c r="I8" s="856" t="s">
        <v>3256</v>
      </c>
      <c r="J8" s="520">
        <f>SUMIF(61:61,I8,62:62)-SUMIF(61:61,C8,62:62)+100</f>
        <v>100</v>
      </c>
      <c r="K8" s="855"/>
      <c r="L8" s="2120"/>
      <c r="M8" s="2121"/>
      <c r="N8" s="2121"/>
      <c r="O8" s="2121"/>
      <c r="P8" s="3385" t="s">
        <v>532</v>
      </c>
      <c r="Q8" s="3386"/>
      <c r="R8" s="1554" t="s">
        <v>13</v>
      </c>
      <c r="S8" s="1555">
        <f t="shared" si="0"/>
        <v>100</v>
      </c>
      <c r="T8" s="1554" t="s">
        <v>13</v>
      </c>
      <c r="U8" s="1555">
        <f t="shared" si="1"/>
        <v>100</v>
      </c>
      <c r="V8" s="1554" t="s">
        <v>13</v>
      </c>
      <c r="W8" s="1555">
        <f t="shared" si="2"/>
        <v>100</v>
      </c>
      <c r="X8" s="1556"/>
      <c r="Y8" s="3385" t="s">
        <v>532</v>
      </c>
      <c r="Z8" s="3386"/>
      <c r="AA8" s="1557">
        <f t="shared" ref="AA8:AA46" si="3">D8/F8</f>
        <v>1</v>
      </c>
      <c r="AB8" s="1557">
        <f t="shared" ref="AB8:AB46" si="4">D8/H8</f>
        <v>1</v>
      </c>
      <c r="AC8" s="1557">
        <f t="shared" ref="AC8:AC46" si="5">D8/J8</f>
        <v>1</v>
      </c>
    </row>
    <row r="9" spans="1:29" s="1215" customFormat="1" ht="15">
      <c r="A9" s="2869"/>
      <c r="B9" s="2876" t="s">
        <v>2750</v>
      </c>
      <c r="C9" s="3198" t="s">
        <v>3283</v>
      </c>
      <c r="D9" s="254">
        <v>100</v>
      </c>
      <c r="E9" s="858" t="s">
        <v>922</v>
      </c>
      <c r="F9" s="859">
        <f>SUMIF(63:63,E9,64:64)-SUMIF(63:63,C9,64:64)+100</f>
        <v>100</v>
      </c>
      <c r="G9" s="860" t="s">
        <v>922</v>
      </c>
      <c r="H9" s="254">
        <f>SUMIF(63:63,G9,64:64)-SUMIF(63:63,C9,64:64)+100</f>
        <v>100</v>
      </c>
      <c r="I9" s="860" t="s">
        <v>922</v>
      </c>
      <c r="J9" s="254">
        <f>SUMIF(63:63,I9,64:64)-SUMIF(63:63,C9,64:64)+100</f>
        <v>100</v>
      </c>
      <c r="K9" s="855"/>
      <c r="L9" s="2120"/>
      <c r="M9" s="2121"/>
      <c r="N9" s="2121"/>
      <c r="O9" s="2122"/>
      <c r="P9" s="3393" t="s">
        <v>534</v>
      </c>
      <c r="Q9" s="1146" t="str">
        <f t="shared" ref="Q9:Q15" si="6">B9</f>
        <v>用途</v>
      </c>
      <c r="R9" s="1554" t="s">
        <v>8</v>
      </c>
      <c r="S9" s="1555">
        <f t="shared" si="0"/>
        <v>100</v>
      </c>
      <c r="T9" s="1554" t="s">
        <v>8</v>
      </c>
      <c r="U9" s="1555">
        <f t="shared" si="1"/>
        <v>100</v>
      </c>
      <c r="V9" s="1554" t="s">
        <v>8</v>
      </c>
      <c r="W9" s="1555">
        <f t="shared" si="2"/>
        <v>100</v>
      </c>
      <c r="X9" s="1556"/>
      <c r="Y9" s="3350" t="s">
        <v>535</v>
      </c>
      <c r="Z9" s="1145" t="str">
        <f t="shared" ref="Z9:Z15" si="7">Q9</f>
        <v>用途</v>
      </c>
      <c r="AA9" s="1557">
        <f t="shared" si="3"/>
        <v>1</v>
      </c>
      <c r="AB9" s="1557">
        <f t="shared" si="4"/>
        <v>1</v>
      </c>
      <c r="AC9" s="1557">
        <f t="shared" si="5"/>
        <v>1</v>
      </c>
    </row>
    <row r="10" spans="1:29" s="1333" customFormat="1" ht="27">
      <c r="A10" s="2870"/>
      <c r="B10" s="2875" t="s">
        <v>2751</v>
      </c>
      <c r="C10" s="861" t="s">
        <v>3282</v>
      </c>
      <c r="D10" s="255">
        <v>100</v>
      </c>
      <c r="E10" s="862" t="s">
        <v>3282</v>
      </c>
      <c r="F10" s="863">
        <f>SUMIF(65:65,E10,66:66)-SUMIF(65:65,C10,66:66)+100</f>
        <v>100</v>
      </c>
      <c r="G10" s="861" t="s">
        <v>3282</v>
      </c>
      <c r="H10" s="255">
        <f>SUMIF(65:65,G10,66:66)-SUMIF(65:65,C10,66:66)+100</f>
        <v>100</v>
      </c>
      <c r="I10" s="861" t="s">
        <v>3282</v>
      </c>
      <c r="J10" s="255">
        <f>SUMIF(65:65,I10,66:66)-SUMIF(65:65,C10,66:66)+100</f>
        <v>100</v>
      </c>
      <c r="K10" s="864">
        <v>1</v>
      </c>
      <c r="L10" s="2123"/>
      <c r="M10" s="2163"/>
      <c r="N10" s="2163"/>
      <c r="O10" s="2124"/>
      <c r="P10" s="3393"/>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75" thickBot="1">
      <c r="A11" s="2871"/>
      <c r="B11" s="2875" t="s">
        <v>2752</v>
      </c>
      <c r="C11" s="533">
        <f>'数据-汇总表'!I6</f>
        <v>5</v>
      </c>
      <c r="D11" s="255">
        <v>100</v>
      </c>
      <c r="E11" s="534">
        <v>3.7</v>
      </c>
      <c r="F11" s="863">
        <f>LOOKUP(E11,68:68,69:69)-LOOKUP(C11,68:68,69:69)+100</f>
        <v>101</v>
      </c>
      <c r="G11" s="533">
        <v>3.75</v>
      </c>
      <c r="H11" s="255">
        <f>LOOKUP(G11,68:68,69:69)-LOOKUP(C11,68:68,69:69)+100</f>
        <v>101</v>
      </c>
      <c r="I11" s="533">
        <v>3.49</v>
      </c>
      <c r="J11" s="255">
        <f>LOOKUP(I11,68:68,69:69)-LOOKUP(C11,68:68,69:69)+100</f>
        <v>102</v>
      </c>
      <c r="K11" s="864">
        <v>1</v>
      </c>
      <c r="L11" s="2125"/>
      <c r="M11" s="2119"/>
      <c r="N11" s="2119"/>
      <c r="O11" s="2126"/>
      <c r="P11" s="3393"/>
      <c r="Q11" s="1146" t="str">
        <f t="shared" si="6"/>
        <v>容积率</v>
      </c>
      <c r="R11" s="1554" t="s">
        <v>11</v>
      </c>
      <c r="S11" s="1555">
        <f t="shared" si="0"/>
        <v>101</v>
      </c>
      <c r="T11" s="1554" t="s">
        <v>11</v>
      </c>
      <c r="U11" s="1555">
        <f t="shared" si="1"/>
        <v>101</v>
      </c>
      <c r="V11" s="1554" t="s">
        <v>11</v>
      </c>
      <c r="W11" s="1555">
        <f t="shared" si="2"/>
        <v>102</v>
      </c>
      <c r="X11" s="1556"/>
      <c r="Y11" s="3350"/>
      <c r="Z11" s="1145" t="str">
        <f t="shared" si="7"/>
        <v>容积率</v>
      </c>
      <c r="AA11" s="1557">
        <f t="shared" si="3"/>
        <v>0.99009900990099009</v>
      </c>
      <c r="AB11" s="1557">
        <f t="shared" si="4"/>
        <v>0.99009900990099009</v>
      </c>
      <c r="AC11" s="1557">
        <f t="shared" si="5"/>
        <v>0.98039215686274506</v>
      </c>
    </row>
    <row r="12" spans="1:29" s="1215"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93"/>
      <c r="Q12" s="1146">
        <f t="shared" si="6"/>
        <v>111</v>
      </c>
      <c r="R12" s="1554" t="s">
        <v>11</v>
      </c>
      <c r="S12" s="1555">
        <f t="shared" si="0"/>
        <v>100</v>
      </c>
      <c r="T12" s="1554" t="s">
        <v>11</v>
      </c>
      <c r="U12" s="1555">
        <f t="shared" si="1"/>
        <v>100</v>
      </c>
      <c r="V12" s="1554" t="s">
        <v>11</v>
      </c>
      <c r="W12" s="1555">
        <f t="shared" si="2"/>
        <v>100</v>
      </c>
      <c r="X12" s="1556"/>
      <c r="Y12" s="3350"/>
      <c r="Z12" s="1145">
        <f t="shared" si="7"/>
        <v>111</v>
      </c>
      <c r="AA12" s="1557">
        <f>D12/F12</f>
        <v>1</v>
      </c>
      <c r="AB12" s="1557">
        <f>D12/H12</f>
        <v>1</v>
      </c>
      <c r="AC12" s="1557">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93"/>
      <c r="Q13" s="1146">
        <f t="shared" si="6"/>
        <v>111</v>
      </c>
      <c r="R13" s="1554" t="s">
        <v>11</v>
      </c>
      <c r="S13" s="1555">
        <f t="shared" si="0"/>
        <v>100</v>
      </c>
      <c r="T13" s="1554" t="s">
        <v>11</v>
      </c>
      <c r="U13" s="1555">
        <f t="shared" si="1"/>
        <v>100</v>
      </c>
      <c r="V13" s="1554" t="s">
        <v>11</v>
      </c>
      <c r="W13" s="1555">
        <f t="shared" si="2"/>
        <v>100</v>
      </c>
      <c r="X13" s="1556"/>
      <c r="Y13" s="3350"/>
      <c r="Z13" s="1145">
        <f t="shared" si="7"/>
        <v>111</v>
      </c>
      <c r="AA13" s="1557">
        <f t="shared" si="3"/>
        <v>1</v>
      </c>
      <c r="AB13" s="1557">
        <f t="shared" si="4"/>
        <v>1</v>
      </c>
      <c r="AC13" s="1557">
        <f t="shared" si="5"/>
        <v>1</v>
      </c>
    </row>
    <row r="14" spans="1:29" ht="15.75"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93"/>
      <c r="Q14" s="1146">
        <f t="shared" si="6"/>
        <v>111</v>
      </c>
      <c r="R14" s="1554" t="s">
        <v>11</v>
      </c>
      <c r="S14" s="1555">
        <f t="shared" si="0"/>
        <v>100</v>
      </c>
      <c r="T14" s="1554" t="s">
        <v>11</v>
      </c>
      <c r="U14" s="1555">
        <f t="shared" si="1"/>
        <v>100</v>
      </c>
      <c r="V14" s="1554" t="s">
        <v>11</v>
      </c>
      <c r="W14" s="1555">
        <f t="shared" si="2"/>
        <v>100</v>
      </c>
      <c r="X14" s="1556"/>
      <c r="Y14" s="3350"/>
      <c r="Z14" s="1145">
        <f t="shared" si="7"/>
        <v>111</v>
      </c>
      <c r="AA14" s="1557">
        <f t="shared" si="3"/>
        <v>1</v>
      </c>
      <c r="AB14" s="1557">
        <f t="shared" si="4"/>
        <v>1</v>
      </c>
      <c r="AC14" s="1557">
        <f t="shared" si="5"/>
        <v>1</v>
      </c>
    </row>
    <row r="15" spans="1:29" ht="15">
      <c r="A15" s="2865" t="s">
        <v>2748</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3</v>
      </c>
      <c r="L15" s="2127"/>
      <c r="M15" s="2119"/>
      <c r="N15" s="2119"/>
      <c r="O15" s="2126"/>
      <c r="P15" s="3395" t="s">
        <v>539</v>
      </c>
      <c r="Q15" s="1558" t="str">
        <f t="shared" si="6"/>
        <v>居住社区成熟度</v>
      </c>
      <c r="R15" s="1559" t="s">
        <v>11</v>
      </c>
      <c r="S15" s="1560">
        <f t="shared" si="0"/>
        <v>100</v>
      </c>
      <c r="T15" s="1559" t="s">
        <v>11</v>
      </c>
      <c r="U15" s="1560">
        <f t="shared" si="1"/>
        <v>100</v>
      </c>
      <c r="V15" s="1559" t="s">
        <v>11</v>
      </c>
      <c r="W15" s="1560">
        <f t="shared" si="2"/>
        <v>100</v>
      </c>
      <c r="X15" s="1553"/>
      <c r="Y15" s="3395" t="s">
        <v>539</v>
      </c>
      <c r="Z15" s="1561" t="str">
        <f t="shared" si="7"/>
        <v>居住社区成熟度</v>
      </c>
      <c r="AA15" s="1562">
        <f t="shared" si="3"/>
        <v>1</v>
      </c>
      <c r="AB15" s="1562">
        <f t="shared" si="4"/>
        <v>1</v>
      </c>
      <c r="AC15" s="1562">
        <f t="shared" si="5"/>
        <v>1</v>
      </c>
    </row>
    <row r="16" spans="1:29" ht="15">
      <c r="A16" s="532"/>
      <c r="B16" s="869"/>
      <c r="C16" s="576" t="s">
        <v>3270</v>
      </c>
      <c r="D16" s="555"/>
      <c r="E16" s="556" t="s">
        <v>3270</v>
      </c>
      <c r="F16" s="557"/>
      <c r="G16" s="558" t="s">
        <v>3270</v>
      </c>
      <c r="H16" s="559"/>
      <c r="I16" s="556" t="s">
        <v>3270</v>
      </c>
      <c r="J16" s="555"/>
      <c r="K16" s="870"/>
      <c r="L16" s="2127"/>
      <c r="M16" s="2119"/>
      <c r="N16" s="2119"/>
      <c r="O16" s="2126"/>
      <c r="P16" s="3396"/>
      <c r="Q16" s="1558"/>
      <c r="R16" s="1559"/>
      <c r="S16" s="1560"/>
      <c r="T16" s="1559"/>
      <c r="U16" s="1560"/>
      <c r="V16" s="1559"/>
      <c r="W16" s="1560"/>
      <c r="X16" s="1553"/>
      <c r="Y16" s="3396"/>
      <c r="Z16" s="1561"/>
      <c r="AA16" s="1562">
        <v>1</v>
      </c>
      <c r="AB16" s="1562">
        <v>1</v>
      </c>
      <c r="AC16" s="1562">
        <v>1</v>
      </c>
    </row>
    <row r="17" spans="1:29" ht="15">
      <c r="A17" s="532"/>
      <c r="B17" s="871" t="s">
        <v>296</v>
      </c>
      <c r="C17" s="872">
        <f>估价对象房地状况!C6</f>
        <v>0</v>
      </c>
      <c r="D17" s="559">
        <v>100</v>
      </c>
      <c r="E17" s="562">
        <v>0</v>
      </c>
      <c r="F17" s="563">
        <f>SUMIF(78:78,E18,79:79)-SUMIF(78:78,C18,79:79)+100</f>
        <v>100</v>
      </c>
      <c r="G17" s="564">
        <v>0</v>
      </c>
      <c r="H17" s="565">
        <f>SUMIF(78:78,G18,79:79)-SUMIF(78:78,C18,79:79)+100</f>
        <v>98</v>
      </c>
      <c r="I17" s="562">
        <v>0</v>
      </c>
      <c r="J17" s="565">
        <f>SUMIF(78:78,I18,79:79)-SUMIF(78:78,C18,79:79)+100</f>
        <v>100</v>
      </c>
      <c r="K17" s="868">
        <v>2</v>
      </c>
      <c r="L17" s="2127"/>
      <c r="M17" s="2119"/>
      <c r="N17" s="2119"/>
      <c r="O17" s="2126"/>
      <c r="P17" s="3396"/>
      <c r="Q17" s="1558" t="str">
        <f>B17</f>
        <v>交通便捷度</v>
      </c>
      <c r="R17" s="1559" t="s">
        <v>11</v>
      </c>
      <c r="S17" s="1560">
        <f>F17</f>
        <v>100</v>
      </c>
      <c r="T17" s="1559" t="s">
        <v>11</v>
      </c>
      <c r="U17" s="1560">
        <f>H17</f>
        <v>98</v>
      </c>
      <c r="V17" s="1559" t="s">
        <v>11</v>
      </c>
      <c r="W17" s="1560">
        <f>J17</f>
        <v>100</v>
      </c>
      <c r="X17" s="1553"/>
      <c r="Y17" s="3396"/>
      <c r="Z17" s="1561" t="str">
        <f>Q17</f>
        <v>交通便捷度</v>
      </c>
      <c r="AA17" s="1562">
        <f t="shared" si="3"/>
        <v>1</v>
      </c>
      <c r="AB17" s="1562">
        <f t="shared" si="4"/>
        <v>1.0204081632653061</v>
      </c>
      <c r="AC17" s="1562">
        <f t="shared" si="5"/>
        <v>1</v>
      </c>
    </row>
    <row r="18" spans="1:29" ht="15">
      <c r="A18" s="532"/>
      <c r="B18" s="595"/>
      <c r="C18" s="873" t="s">
        <v>3270</v>
      </c>
      <c r="D18" s="559"/>
      <c r="E18" s="568" t="s">
        <v>3270</v>
      </c>
      <c r="F18" s="563"/>
      <c r="G18" s="569" t="s">
        <v>3275</v>
      </c>
      <c r="H18" s="555"/>
      <c r="I18" s="568" t="s">
        <v>3270</v>
      </c>
      <c r="J18" s="555"/>
      <c r="K18" s="870"/>
      <c r="L18" s="2127"/>
      <c r="M18" s="2119"/>
      <c r="N18" s="2119"/>
      <c r="O18" s="2126"/>
      <c r="P18" s="3396"/>
      <c r="Q18" s="1558"/>
      <c r="R18" s="1559"/>
      <c r="S18" s="1560"/>
      <c r="T18" s="1559"/>
      <c r="U18" s="1560"/>
      <c r="V18" s="1559"/>
      <c r="W18" s="1560"/>
      <c r="X18" s="1553"/>
      <c r="Y18" s="3396"/>
      <c r="Z18" s="1561"/>
      <c r="AA18" s="1562">
        <v>1</v>
      </c>
      <c r="AB18" s="1562">
        <v>1</v>
      </c>
      <c r="AC18" s="1562">
        <v>1</v>
      </c>
    </row>
    <row r="19" spans="1:29" ht="15">
      <c r="A19" s="532"/>
      <c r="B19" s="2564" t="s">
        <v>2541</v>
      </c>
      <c r="C19" s="872">
        <f>估价对象房地状况!C7</f>
        <v>0</v>
      </c>
      <c r="D19" s="565">
        <v>100</v>
      </c>
      <c r="E19" s="570">
        <v>0</v>
      </c>
      <c r="F19" s="571">
        <f>SUMIF(80:80,E20,81:81)-SUMIF(80:80,C20,81:81)+100</f>
        <v>100</v>
      </c>
      <c r="G19" s="572">
        <v>0</v>
      </c>
      <c r="H19" s="559">
        <f>SUMIF(80:80,G20,81:81)-SUMIF(80:80,C20,81:81)+100</f>
        <v>100</v>
      </c>
      <c r="I19" s="570">
        <v>0</v>
      </c>
      <c r="J19" s="559">
        <f>SUMIF(80:80,I20,81:81)-SUMIF(80:80,C20,81:81)+100</f>
        <v>100</v>
      </c>
      <c r="K19" s="868">
        <v>2</v>
      </c>
      <c r="L19" s="2127"/>
      <c r="M19" s="2119"/>
      <c r="N19" s="2119"/>
      <c r="O19" s="2126"/>
      <c r="P19" s="3396"/>
      <c r="Q19" s="1558" t="str">
        <f>B19</f>
        <v>公共配套设施</v>
      </c>
      <c r="R19" s="1559" t="s">
        <v>11</v>
      </c>
      <c r="S19" s="1560">
        <f>F19</f>
        <v>100</v>
      </c>
      <c r="T19" s="1559" t="s">
        <v>11</v>
      </c>
      <c r="U19" s="1560">
        <f>H19</f>
        <v>100</v>
      </c>
      <c r="V19" s="1559" t="s">
        <v>11</v>
      </c>
      <c r="W19" s="1560">
        <f>J19</f>
        <v>100</v>
      </c>
      <c r="X19" s="1553"/>
      <c r="Y19" s="3396"/>
      <c r="Z19" s="1561" t="str">
        <f>Q19</f>
        <v>公共配套设施</v>
      </c>
      <c r="AA19" s="1562">
        <f t="shared" si="3"/>
        <v>1</v>
      </c>
      <c r="AB19" s="1562">
        <f t="shared" si="4"/>
        <v>1</v>
      </c>
      <c r="AC19" s="1562">
        <f t="shared" si="5"/>
        <v>1</v>
      </c>
    </row>
    <row r="20" spans="1:29" ht="15">
      <c r="A20" s="532"/>
      <c r="B20" s="595"/>
      <c r="C20" s="576" t="s">
        <v>3270</v>
      </c>
      <c r="D20" s="555"/>
      <c r="E20" s="556" t="s">
        <v>3270</v>
      </c>
      <c r="F20" s="557"/>
      <c r="G20" s="558" t="s">
        <v>3270</v>
      </c>
      <c r="H20" s="555"/>
      <c r="I20" s="556" t="s">
        <v>3270</v>
      </c>
      <c r="J20" s="555"/>
      <c r="K20" s="870"/>
      <c r="L20" s="2127"/>
      <c r="M20" s="2119"/>
      <c r="N20" s="2119"/>
      <c r="O20" s="2126"/>
      <c r="P20" s="3396"/>
      <c r="Q20" s="1558"/>
      <c r="R20" s="1559"/>
      <c r="S20" s="1560"/>
      <c r="T20" s="1559"/>
      <c r="U20" s="1560"/>
      <c r="V20" s="1559"/>
      <c r="W20" s="1560"/>
      <c r="X20" s="1553"/>
      <c r="Y20" s="3396"/>
      <c r="Z20" s="1561"/>
      <c r="AA20" s="1562">
        <v>1</v>
      </c>
      <c r="AB20" s="1562">
        <v>1</v>
      </c>
      <c r="AC20" s="1562">
        <v>1</v>
      </c>
    </row>
    <row r="21" spans="1:29" ht="15">
      <c r="A21" s="532"/>
      <c r="B21" s="2557" t="s">
        <v>2553</v>
      </c>
      <c r="C21" s="872">
        <f>估价对象房地状况!C8</f>
        <v>0</v>
      </c>
      <c r="D21" s="565">
        <v>100</v>
      </c>
      <c r="E21" s="572">
        <v>0</v>
      </c>
      <c r="F21" s="571">
        <f>SUMIF(82:82,E22,83:83)-SUMIF(82:82,C22,83:83)+100</f>
        <v>100</v>
      </c>
      <c r="G21" s="572">
        <v>0</v>
      </c>
      <c r="H21" s="565">
        <f>SUMIF(82:82,G22,83:83)-SUMIF(82:82,C22,83:83)+100</f>
        <v>100</v>
      </c>
      <c r="I21" s="570">
        <v>0</v>
      </c>
      <c r="J21" s="565">
        <f>SUMIF(82:82,I22,83:83)-SUMIF(82:82,C22,83:83)+100</f>
        <v>100</v>
      </c>
      <c r="K21" s="868">
        <v>2</v>
      </c>
      <c r="L21" s="2127"/>
      <c r="M21" s="2119"/>
      <c r="N21" s="2119"/>
      <c r="O21" s="2126"/>
      <c r="P21" s="3396"/>
      <c r="Q21" s="2543" t="str">
        <f>B21</f>
        <v>基础设施水平</v>
      </c>
      <c r="R21" s="1559" t="s">
        <v>11</v>
      </c>
      <c r="S21" s="1560">
        <f>F21</f>
        <v>100</v>
      </c>
      <c r="T21" s="1559" t="s">
        <v>11</v>
      </c>
      <c r="U21" s="1560">
        <f>H21</f>
        <v>100</v>
      </c>
      <c r="V21" s="1559" t="s">
        <v>11</v>
      </c>
      <c r="W21" s="1560">
        <f>J21</f>
        <v>100</v>
      </c>
      <c r="X21" s="2545"/>
      <c r="Y21" s="3396"/>
      <c r="Z21" s="2544" t="str">
        <f>Q21</f>
        <v>基础设施水平</v>
      </c>
      <c r="AA21" s="1562">
        <f t="shared" ref="AA21" si="8">D21/F21</f>
        <v>1</v>
      </c>
      <c r="AB21" s="1562">
        <f t="shared" ref="AB21" si="9">D21/H21</f>
        <v>1</v>
      </c>
      <c r="AC21" s="1562">
        <f t="shared" ref="AC21" si="10">D21/J21</f>
        <v>1</v>
      </c>
    </row>
    <row r="22" spans="1:29" ht="15">
      <c r="A22" s="532"/>
      <c r="B22" s="921"/>
      <c r="C22" s="873" t="s">
        <v>3263</v>
      </c>
      <c r="D22" s="555"/>
      <c r="E22" s="576" t="s">
        <v>3263</v>
      </c>
      <c r="F22" s="557"/>
      <c r="G22" s="576" t="s">
        <v>3263</v>
      </c>
      <c r="H22" s="555"/>
      <c r="I22" s="576" t="s">
        <v>3263</v>
      </c>
      <c r="J22" s="555"/>
      <c r="K22" s="2563"/>
      <c r="L22" s="2127"/>
      <c r="M22" s="2119"/>
      <c r="N22" s="2119"/>
      <c r="O22" s="2126"/>
      <c r="P22" s="3396"/>
      <c r="Q22" s="2543"/>
      <c r="R22" s="1559"/>
      <c r="S22" s="1560"/>
      <c r="T22" s="1559"/>
      <c r="U22" s="1560"/>
      <c r="V22" s="1559"/>
      <c r="W22" s="1560"/>
      <c r="X22" s="2545"/>
      <c r="Y22" s="3396"/>
      <c r="Z22" s="2544"/>
      <c r="AA22" s="1562">
        <v>1</v>
      </c>
      <c r="AB22" s="1562">
        <v>1</v>
      </c>
      <c r="AC22" s="1562">
        <v>1</v>
      </c>
    </row>
    <row r="23" spans="1:29" ht="15">
      <c r="A23" s="532"/>
      <c r="B23" s="871" t="s">
        <v>297</v>
      </c>
      <c r="C23" s="872">
        <f>估价对象房地状况!C9</f>
        <v>0</v>
      </c>
      <c r="D23" s="559">
        <v>100</v>
      </c>
      <c r="E23" s="562">
        <v>0</v>
      </c>
      <c r="F23" s="563">
        <f>SUMIF(84:84,E24,85:85)-SUMIF(84:84,C24,85:85)+100</f>
        <v>100</v>
      </c>
      <c r="G23" s="564">
        <v>0</v>
      </c>
      <c r="H23" s="559">
        <f>SUMIF(84:84,G24,85:85)-SUMIF(84:84,C24,85:85)+100</f>
        <v>100</v>
      </c>
      <c r="I23" s="562">
        <v>0</v>
      </c>
      <c r="J23" s="559">
        <f>SUMIF(84:84,I24,85:85)-SUMIF(84:84,C24,85:85)+100</f>
        <v>103</v>
      </c>
      <c r="K23" s="868">
        <v>3</v>
      </c>
      <c r="L23" s="2127"/>
      <c r="M23" s="2119"/>
      <c r="N23" s="2119"/>
      <c r="O23" s="2126"/>
      <c r="P23" s="3396"/>
      <c r="Q23" s="1558" t="str">
        <f>B23</f>
        <v>自然及人文环境</v>
      </c>
      <c r="R23" s="1559" t="s">
        <v>11</v>
      </c>
      <c r="S23" s="1560">
        <f>F23</f>
        <v>100</v>
      </c>
      <c r="T23" s="1559" t="s">
        <v>11</v>
      </c>
      <c r="U23" s="1560">
        <f>H23</f>
        <v>100</v>
      </c>
      <c r="V23" s="1559" t="s">
        <v>11</v>
      </c>
      <c r="W23" s="1560">
        <f>J23</f>
        <v>103</v>
      </c>
      <c r="X23" s="1553"/>
      <c r="Y23" s="3396"/>
      <c r="Z23" s="1561" t="str">
        <f>Q23</f>
        <v>自然及人文环境</v>
      </c>
      <c r="AA23" s="1562">
        <f t="shared" si="3"/>
        <v>1</v>
      </c>
      <c r="AB23" s="1562">
        <f t="shared" si="4"/>
        <v>1</v>
      </c>
      <c r="AC23" s="1562">
        <f t="shared" si="5"/>
        <v>0.970873786407767</v>
      </c>
    </row>
    <row r="24" spans="1:29" ht="15.75" thickBot="1">
      <c r="A24" s="532"/>
      <c r="B24" s="595"/>
      <c r="C24" s="576" t="s">
        <v>3275</v>
      </c>
      <c r="D24" s="555"/>
      <c r="E24" s="556" t="s">
        <v>3275</v>
      </c>
      <c r="F24" s="557"/>
      <c r="G24" s="558" t="s">
        <v>3275</v>
      </c>
      <c r="H24" s="555"/>
      <c r="I24" s="556" t="s">
        <v>3270</v>
      </c>
      <c r="J24" s="555"/>
      <c r="K24" s="870"/>
      <c r="L24" s="2127"/>
      <c r="M24" s="2119"/>
      <c r="N24" s="2119"/>
      <c r="O24" s="2126"/>
      <c r="P24" s="3396"/>
      <c r="Q24" s="1558"/>
      <c r="R24" s="1559"/>
      <c r="S24" s="1560"/>
      <c r="T24" s="1559"/>
      <c r="U24" s="1560"/>
      <c r="V24" s="1559"/>
      <c r="W24" s="1560"/>
      <c r="X24" s="1553"/>
      <c r="Y24" s="3396"/>
      <c r="Z24" s="1561"/>
      <c r="AA24" s="1562">
        <v>1</v>
      </c>
      <c r="AB24" s="1562">
        <v>1</v>
      </c>
      <c r="AC24" s="1562">
        <v>1</v>
      </c>
    </row>
    <row r="25" spans="1:29" ht="15" hidden="1">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6"/>
      <c r="Q25" s="1558" t="str">
        <f t="shared" ref="Q25:Q46" si="11">B25</f>
        <v>楼层-1</v>
      </c>
      <c r="R25" s="1559" t="s">
        <v>11</v>
      </c>
      <c r="S25" s="1560">
        <f>F25</f>
        <v>100</v>
      </c>
      <c r="T25" s="1559" t="s">
        <v>11</v>
      </c>
      <c r="U25" s="1560">
        <f>H25</f>
        <v>100</v>
      </c>
      <c r="V25" s="1559" t="s">
        <v>11</v>
      </c>
      <c r="W25" s="1560">
        <f>J25</f>
        <v>100</v>
      </c>
      <c r="X25" s="1553"/>
      <c r="Y25" s="3396"/>
      <c r="Z25" s="1561" t="str">
        <f>Q25</f>
        <v>楼层-1</v>
      </c>
      <c r="AA25" s="1562">
        <f t="shared" si="3"/>
        <v>1</v>
      </c>
      <c r="AB25" s="1562">
        <f t="shared" si="4"/>
        <v>1</v>
      </c>
      <c r="AC25" s="1562">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6"/>
      <c r="Q26" s="1558" t="str">
        <f t="shared" si="11"/>
        <v>朝向</v>
      </c>
      <c r="R26" s="1559" t="s">
        <v>11</v>
      </c>
      <c r="S26" s="1560">
        <f>F26</f>
        <v>100</v>
      </c>
      <c r="T26" s="1559" t="s">
        <v>11</v>
      </c>
      <c r="U26" s="1560">
        <f>H26</f>
        <v>100</v>
      </c>
      <c r="V26" s="1559" t="s">
        <v>11</v>
      </c>
      <c r="W26" s="1560">
        <f>J26</f>
        <v>100</v>
      </c>
      <c r="X26" s="1553"/>
      <c r="Y26" s="3396"/>
      <c r="Z26" s="1561" t="str">
        <f>Q26</f>
        <v>朝向</v>
      </c>
      <c r="AA26" s="1562">
        <f t="shared" si="3"/>
        <v>1</v>
      </c>
      <c r="AB26" s="1562">
        <f t="shared" si="4"/>
        <v>1</v>
      </c>
      <c r="AC26" s="1562">
        <f t="shared" si="5"/>
        <v>1</v>
      </c>
    </row>
    <row r="27" spans="1:29" s="1215"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6"/>
      <c r="Q27" s="1146" t="str">
        <f t="shared" si="11"/>
        <v>道路级别</v>
      </c>
      <c r="R27" s="1554" t="s">
        <v>11</v>
      </c>
      <c r="S27" s="1555">
        <f>F27</f>
        <v>100</v>
      </c>
      <c r="T27" s="1554" t="s">
        <v>11</v>
      </c>
      <c r="U27" s="1555">
        <f>H27</f>
        <v>100</v>
      </c>
      <c r="V27" s="1554" t="s">
        <v>11</v>
      </c>
      <c r="W27" s="1555">
        <f>J27</f>
        <v>100</v>
      </c>
      <c r="X27" s="1556"/>
      <c r="Y27" s="3396"/>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6"/>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6"/>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6"/>
      <c r="Q29" s="1558">
        <f t="shared" si="11"/>
        <v>111</v>
      </c>
      <c r="R29" s="1559" t="s">
        <v>11</v>
      </c>
      <c r="S29" s="1560">
        <f t="shared" si="12"/>
        <v>100</v>
      </c>
      <c r="T29" s="1559" t="s">
        <v>11</v>
      </c>
      <c r="U29" s="1560">
        <f t="shared" si="13"/>
        <v>100</v>
      </c>
      <c r="V29" s="1559" t="s">
        <v>11</v>
      </c>
      <c r="W29" s="1560">
        <f t="shared" si="14"/>
        <v>100</v>
      </c>
      <c r="X29" s="1553"/>
      <c r="Y29" s="3396"/>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6"/>
      <c r="Q30" s="1558">
        <f t="shared" si="11"/>
        <v>111</v>
      </c>
      <c r="R30" s="1559" t="s">
        <v>11</v>
      </c>
      <c r="S30" s="1560">
        <f t="shared" si="12"/>
        <v>100</v>
      </c>
      <c r="T30" s="1559" t="s">
        <v>11</v>
      </c>
      <c r="U30" s="1560">
        <f t="shared" si="13"/>
        <v>100</v>
      </c>
      <c r="V30" s="1559" t="s">
        <v>11</v>
      </c>
      <c r="W30" s="1560">
        <f t="shared" si="14"/>
        <v>100</v>
      </c>
      <c r="X30" s="1553"/>
      <c r="Y30" s="3396"/>
      <c r="Z30" s="1561">
        <f t="shared" si="15"/>
        <v>111</v>
      </c>
      <c r="AA30" s="1562">
        <f t="shared" si="3"/>
        <v>1</v>
      </c>
      <c r="AB30" s="1562">
        <f t="shared" si="4"/>
        <v>1</v>
      </c>
      <c r="AC30" s="156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6"/>
      <c r="Q31" s="1558">
        <f t="shared" si="11"/>
        <v>111</v>
      </c>
      <c r="R31" s="1559" t="s">
        <v>11</v>
      </c>
      <c r="S31" s="1560">
        <f t="shared" si="12"/>
        <v>100</v>
      </c>
      <c r="T31" s="1559" t="s">
        <v>11</v>
      </c>
      <c r="U31" s="1560">
        <f t="shared" si="13"/>
        <v>100</v>
      </c>
      <c r="V31" s="1559" t="s">
        <v>11</v>
      </c>
      <c r="W31" s="1560">
        <f t="shared" si="14"/>
        <v>100</v>
      </c>
      <c r="X31" s="1553"/>
      <c r="Y31" s="3396"/>
      <c r="Z31" s="1561">
        <f t="shared" si="15"/>
        <v>111</v>
      </c>
      <c r="AA31" s="1562">
        <f t="shared" si="3"/>
        <v>1</v>
      </c>
      <c r="AB31" s="1562">
        <f t="shared" si="4"/>
        <v>1</v>
      </c>
      <c r="AC31" s="1562">
        <f t="shared" si="5"/>
        <v>1</v>
      </c>
    </row>
    <row r="32" spans="1:29" ht="15">
      <c r="A32" s="2862" t="s">
        <v>2749</v>
      </c>
      <c r="B32" s="172" t="s">
        <v>724</v>
      </c>
      <c r="C32" s="878" t="s">
        <v>3284</v>
      </c>
      <c r="D32" s="597">
        <v>100</v>
      </c>
      <c r="E32" s="878" t="s">
        <v>3284</v>
      </c>
      <c r="F32" s="575">
        <f>SUMIF(100:100,E32,101:101)-SUMIF(100:100,C32,101:101)+100</f>
        <v>100</v>
      </c>
      <c r="G32" s="878" t="s">
        <v>3284</v>
      </c>
      <c r="H32" s="597">
        <f>SUMIF(100:100,G32,101:101)-SUMIF(100:100,C32,101:101)+100</f>
        <v>100</v>
      </c>
      <c r="I32" s="878" t="s">
        <v>3284</v>
      </c>
      <c r="J32" s="540">
        <f>SUMIF(100:100,I32,101:101)-SUMIF(100:100,C32,101:101)+100</f>
        <v>100</v>
      </c>
      <c r="K32" s="864">
        <v>5</v>
      </c>
      <c r="L32" s="2127"/>
      <c r="M32" s="2119"/>
      <c r="N32" s="2119"/>
      <c r="O32" s="2126"/>
      <c r="P32" s="3397" t="s">
        <v>549</v>
      </c>
      <c r="Q32" s="1558" t="str">
        <f t="shared" si="11"/>
        <v>建筑类型</v>
      </c>
      <c r="R32" s="1559" t="s">
        <v>11</v>
      </c>
      <c r="S32" s="1560">
        <f t="shared" si="12"/>
        <v>100</v>
      </c>
      <c r="T32" s="1559" t="s">
        <v>11</v>
      </c>
      <c r="U32" s="1560">
        <f t="shared" si="13"/>
        <v>100</v>
      </c>
      <c r="V32" s="1559" t="s">
        <v>11</v>
      </c>
      <c r="W32" s="1560">
        <f t="shared" si="14"/>
        <v>100</v>
      </c>
      <c r="X32" s="1553"/>
      <c r="Y32" s="3398" t="s">
        <v>549</v>
      </c>
      <c r="Z32" s="1561" t="str">
        <f t="shared" si="15"/>
        <v>建筑类型</v>
      </c>
      <c r="AA32" s="1562">
        <f t="shared" si="3"/>
        <v>1</v>
      </c>
      <c r="AB32" s="1562">
        <f t="shared" si="4"/>
        <v>1</v>
      </c>
      <c r="AC32" s="1562">
        <f t="shared" si="5"/>
        <v>1</v>
      </c>
    </row>
    <row r="33" spans="1:29" s="1334" customFormat="1" ht="15">
      <c r="A33" s="603"/>
      <c r="B33" s="527" t="s">
        <v>725</v>
      </c>
      <c r="C33" s="879">
        <f>'数据-汇总表'!F19</f>
        <v>4086</v>
      </c>
      <c r="D33" s="255">
        <v>100</v>
      </c>
      <c r="E33" s="879">
        <v>122535</v>
      </c>
      <c r="F33" s="863">
        <f>LOOKUP(E33,103:103,104:104)-LOOKUP(C33,103:103,104:104)+100</f>
        <v>102</v>
      </c>
      <c r="G33" s="879">
        <v>147659</v>
      </c>
      <c r="H33" s="255">
        <f>LOOKUP(G33,103:103,104:104)-LOOKUP(C33,103:103,104:104)+100</f>
        <v>102</v>
      </c>
      <c r="I33" s="879">
        <v>32187.26</v>
      </c>
      <c r="J33" s="255">
        <f>LOOKUP(I33,103:103,104:104)-LOOKUP(C33,103:103,104:104)+100</f>
        <v>100</v>
      </c>
      <c r="K33" s="865"/>
      <c r="L33" s="2125"/>
      <c r="M33" s="2156"/>
      <c r="N33" s="2156"/>
      <c r="O33" s="2128"/>
      <c r="P33" s="3398"/>
      <c r="Q33" s="1590" t="str">
        <f t="shared" si="11"/>
        <v>项目建筑规模</v>
      </c>
      <c r="R33" s="1563" t="s">
        <v>11</v>
      </c>
      <c r="S33" s="1564">
        <f t="shared" si="12"/>
        <v>102</v>
      </c>
      <c r="T33" s="1563" t="s">
        <v>11</v>
      </c>
      <c r="U33" s="1564">
        <f t="shared" si="13"/>
        <v>102</v>
      </c>
      <c r="V33" s="1563" t="s">
        <v>11</v>
      </c>
      <c r="W33" s="1564">
        <f t="shared" si="14"/>
        <v>100</v>
      </c>
      <c r="X33" s="1565"/>
      <c r="Y33" s="3398"/>
      <c r="Z33" s="1566" t="str">
        <f t="shared" si="15"/>
        <v>项目建筑规模</v>
      </c>
      <c r="AA33" s="1562">
        <f t="shared" si="3"/>
        <v>0.98039215686274506</v>
      </c>
      <c r="AB33" s="1562">
        <f t="shared" si="4"/>
        <v>0.98039215686274506</v>
      </c>
      <c r="AC33" s="1562">
        <f t="shared" si="5"/>
        <v>1</v>
      </c>
    </row>
    <row r="34" spans="1:29" ht="15">
      <c r="A34" s="594"/>
      <c r="B34" s="527" t="s">
        <v>726</v>
      </c>
      <c r="C34" s="880" t="s">
        <v>3286</v>
      </c>
      <c r="D34" s="540">
        <v>100</v>
      </c>
      <c r="E34" s="880" t="s">
        <v>3286</v>
      </c>
      <c r="F34" s="575">
        <f>SUMIF(105:105,E34,106:106)-SUMIF(105:105,C34,106:106)+100</f>
        <v>100</v>
      </c>
      <c r="G34" s="880" t="s">
        <v>3286</v>
      </c>
      <c r="H34" s="540">
        <f>SUMIF(105:105,G34,106:106)-SUMIF(105:105,C34,106:106)+100</f>
        <v>100</v>
      </c>
      <c r="I34" s="880" t="s">
        <v>3286</v>
      </c>
      <c r="J34" s="540">
        <f>SUMIF(105:105,I34,106:106)-SUMIF(105:105,C34,106:106)+100</f>
        <v>100</v>
      </c>
      <c r="K34" s="864">
        <v>1</v>
      </c>
      <c r="L34" s="2127"/>
      <c r="M34" s="2119"/>
      <c r="N34" s="2119"/>
      <c r="O34" s="2126"/>
      <c r="P34" s="3398"/>
      <c r="Q34" s="1558" t="str">
        <f t="shared" si="11"/>
        <v>建筑结构</v>
      </c>
      <c r="R34" s="1559" t="s">
        <v>11</v>
      </c>
      <c r="S34" s="1560">
        <f t="shared" si="12"/>
        <v>100</v>
      </c>
      <c r="T34" s="1559" t="s">
        <v>11</v>
      </c>
      <c r="U34" s="1560">
        <f t="shared" si="13"/>
        <v>100</v>
      </c>
      <c r="V34" s="1559" t="s">
        <v>11</v>
      </c>
      <c r="W34" s="1560">
        <f t="shared" si="14"/>
        <v>100</v>
      </c>
      <c r="X34" s="1553"/>
      <c r="Y34" s="3398"/>
      <c r="Z34" s="1561" t="str">
        <f t="shared" si="15"/>
        <v>建筑结构</v>
      </c>
      <c r="AA34" s="1562">
        <f t="shared" si="3"/>
        <v>1</v>
      </c>
      <c r="AB34" s="1562">
        <f t="shared" si="4"/>
        <v>1</v>
      </c>
      <c r="AC34" s="1562">
        <f t="shared" si="5"/>
        <v>1</v>
      </c>
    </row>
    <row r="35" spans="1:29" ht="15">
      <c r="A35" s="594"/>
      <c r="B35" s="527" t="s">
        <v>727</v>
      </c>
      <c r="C35" s="599" t="s">
        <v>3288</v>
      </c>
      <c r="D35" s="540">
        <v>100</v>
      </c>
      <c r="E35" s="599" t="s">
        <v>3288</v>
      </c>
      <c r="F35" s="575">
        <f>SUMIF(107:107,E35,108:108)-SUMIF(107:107,C35,108:108)+100</f>
        <v>100</v>
      </c>
      <c r="G35" s="599" t="s">
        <v>3288</v>
      </c>
      <c r="H35" s="540">
        <f>SUMIF(107:107,G35,108:108)-SUMIF(107:107,C35,108:108)+100</f>
        <v>100</v>
      </c>
      <c r="I35" s="599" t="s">
        <v>3288</v>
      </c>
      <c r="J35" s="540">
        <f>SUMIF(107:107,I35,108:108)-SUMIF(107:107,C35,108:108)+100</f>
        <v>100</v>
      </c>
      <c r="K35" s="864">
        <v>1</v>
      </c>
      <c r="L35" s="2127"/>
      <c r="M35" s="2119"/>
      <c r="N35" s="2119"/>
      <c r="O35" s="2126"/>
      <c r="P35" s="3398"/>
      <c r="Q35" s="1558" t="str">
        <f t="shared" si="11"/>
        <v>建筑品质</v>
      </c>
      <c r="R35" s="1559" t="s">
        <v>11</v>
      </c>
      <c r="S35" s="1560">
        <f t="shared" si="12"/>
        <v>100</v>
      </c>
      <c r="T35" s="1559" t="s">
        <v>11</v>
      </c>
      <c r="U35" s="1560">
        <f t="shared" si="13"/>
        <v>100</v>
      </c>
      <c r="V35" s="1559" t="s">
        <v>11</v>
      </c>
      <c r="W35" s="1560">
        <f t="shared" si="14"/>
        <v>100</v>
      </c>
      <c r="X35" s="1553"/>
      <c r="Y35" s="3398"/>
      <c r="Z35" s="1561" t="str">
        <f t="shared" si="15"/>
        <v>建筑品质</v>
      </c>
      <c r="AA35" s="1562">
        <f t="shared" si="3"/>
        <v>1</v>
      </c>
      <c r="AB35" s="1562">
        <f t="shared" si="4"/>
        <v>1</v>
      </c>
      <c r="AC35" s="1562">
        <f t="shared" si="5"/>
        <v>1</v>
      </c>
    </row>
    <row r="36" spans="1:29" ht="15">
      <c r="A36" s="594"/>
      <c r="B36" s="527" t="s">
        <v>728</v>
      </c>
      <c r="C36" s="599" t="s">
        <v>3290</v>
      </c>
      <c r="D36" s="540">
        <v>100</v>
      </c>
      <c r="E36" s="599" t="s">
        <v>3290</v>
      </c>
      <c r="F36" s="575">
        <f>SUMIF(109:109,E36,110:110)-SUMIF(109:109,C36,110:110)+100</f>
        <v>100</v>
      </c>
      <c r="G36" s="599" t="s">
        <v>3290</v>
      </c>
      <c r="H36" s="540">
        <f>SUMIF(109:109,G36,110:110)-SUMIF(109:109,C36,110:110)+100</f>
        <v>100</v>
      </c>
      <c r="I36" s="599" t="s">
        <v>3290</v>
      </c>
      <c r="J36" s="540">
        <f>SUMIF(109:109,I36,110:110)-SUMIF(109:109,C36,110:110)+100</f>
        <v>100</v>
      </c>
      <c r="K36" s="864">
        <v>1</v>
      </c>
      <c r="L36" s="2127"/>
      <c r="M36" s="2119"/>
      <c r="N36" s="2119"/>
      <c r="O36" s="2126"/>
      <c r="P36" s="3398"/>
      <c r="Q36" s="1558" t="str">
        <f t="shared" si="11"/>
        <v>公共部分装修</v>
      </c>
      <c r="R36" s="1559" t="s">
        <v>11</v>
      </c>
      <c r="S36" s="1560">
        <f t="shared" si="12"/>
        <v>100</v>
      </c>
      <c r="T36" s="1559" t="s">
        <v>11</v>
      </c>
      <c r="U36" s="1560">
        <f t="shared" si="13"/>
        <v>100</v>
      </c>
      <c r="V36" s="1559" t="s">
        <v>11</v>
      </c>
      <c r="W36" s="1560">
        <f t="shared" si="14"/>
        <v>100</v>
      </c>
      <c r="X36" s="1553"/>
      <c r="Y36" s="3398"/>
      <c r="Z36" s="1561" t="str">
        <f t="shared" si="15"/>
        <v>公共部分装修</v>
      </c>
      <c r="AA36" s="1562">
        <f t="shared" si="3"/>
        <v>1</v>
      </c>
      <c r="AB36" s="1562">
        <f t="shared" si="4"/>
        <v>1</v>
      </c>
      <c r="AC36" s="1562">
        <f t="shared" si="5"/>
        <v>1</v>
      </c>
    </row>
    <row r="37" spans="1:29" s="1215"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20"/>
      <c r="M37" s="2121"/>
      <c r="N37" s="2121"/>
      <c r="O37" s="2122"/>
      <c r="P37" s="3398"/>
      <c r="Q37" s="1146" t="str">
        <f t="shared" si="11"/>
        <v>成新度</v>
      </c>
      <c r="R37" s="1554" t="s">
        <v>11</v>
      </c>
      <c r="S37" s="1555">
        <f t="shared" si="12"/>
        <v>100</v>
      </c>
      <c r="T37" s="1554" t="s">
        <v>11</v>
      </c>
      <c r="U37" s="1555">
        <f t="shared" si="13"/>
        <v>100</v>
      </c>
      <c r="V37" s="1554" t="s">
        <v>11</v>
      </c>
      <c r="W37" s="1555">
        <f t="shared" si="14"/>
        <v>100</v>
      </c>
      <c r="X37" s="1556"/>
      <c r="Y37" s="3398"/>
      <c r="Z37" s="1145" t="str">
        <f t="shared" si="15"/>
        <v>成新度</v>
      </c>
      <c r="AA37" s="1557">
        <f t="shared" si="3"/>
        <v>1</v>
      </c>
      <c r="AB37" s="1557">
        <f t="shared" si="4"/>
        <v>1</v>
      </c>
      <c r="AC37" s="1557">
        <f t="shared" si="5"/>
        <v>1</v>
      </c>
    </row>
    <row r="38" spans="1:29" ht="15">
      <c r="A38" s="594"/>
      <c r="B38" s="527" t="s">
        <v>730</v>
      </c>
      <c r="C38" s="599" t="s">
        <v>3292</v>
      </c>
      <c r="D38" s="540">
        <v>100</v>
      </c>
      <c r="E38" s="599" t="s">
        <v>3292</v>
      </c>
      <c r="F38" s="575">
        <f>SUMIF(114:114,E38,115:115)-SUMIF(114:114,C38,115:115)+100</f>
        <v>100</v>
      </c>
      <c r="G38" s="599" t="s">
        <v>3292</v>
      </c>
      <c r="H38" s="540">
        <f>SUMIF(114:114,G38,115:115)-SUMIF(114:114,C38,115:115)+100</f>
        <v>100</v>
      </c>
      <c r="I38" s="599" t="s">
        <v>3292</v>
      </c>
      <c r="J38" s="540">
        <f>SUMIF(114:114,I38,115:115)-SUMIF(114:114,C38,115:115)+100</f>
        <v>100</v>
      </c>
      <c r="K38" s="864">
        <v>1</v>
      </c>
      <c r="L38" s="2127"/>
      <c r="M38" s="2119"/>
      <c r="N38" s="2119"/>
      <c r="O38" s="2126"/>
      <c r="P38" s="3398" t="s">
        <v>549</v>
      </c>
      <c r="Q38" s="1558" t="str">
        <f t="shared" si="11"/>
        <v>物业管理</v>
      </c>
      <c r="R38" s="1559" t="s">
        <v>11</v>
      </c>
      <c r="S38" s="1560">
        <f t="shared" si="12"/>
        <v>100</v>
      </c>
      <c r="T38" s="1559" t="s">
        <v>11</v>
      </c>
      <c r="U38" s="1560">
        <f t="shared" si="13"/>
        <v>100</v>
      </c>
      <c r="V38" s="1559" t="s">
        <v>11</v>
      </c>
      <c r="W38" s="1560">
        <f t="shared" si="14"/>
        <v>100</v>
      </c>
      <c r="X38" s="1553"/>
      <c r="Y38" s="3398" t="s">
        <v>549</v>
      </c>
      <c r="Z38" s="1561" t="str">
        <f t="shared" si="15"/>
        <v>物业管理</v>
      </c>
      <c r="AA38" s="1562">
        <f t="shared" si="3"/>
        <v>1</v>
      </c>
      <c r="AB38" s="1562">
        <f t="shared" si="4"/>
        <v>1</v>
      </c>
      <c r="AC38" s="1562">
        <f t="shared" si="5"/>
        <v>1</v>
      </c>
    </row>
    <row r="39" spans="1:29" ht="15">
      <c r="A39" s="594"/>
      <c r="B39" s="1880" t="s">
        <v>2559</v>
      </c>
      <c r="C39" s="599" t="s">
        <v>3263</v>
      </c>
      <c r="D39" s="540">
        <v>100</v>
      </c>
      <c r="E39" s="599" t="s">
        <v>3263</v>
      </c>
      <c r="F39" s="575">
        <f>SUMIF(116:116,E39,117:117)-SUMIF(116:116,C39,117:117)+100</f>
        <v>100</v>
      </c>
      <c r="G39" s="599" t="s">
        <v>3263</v>
      </c>
      <c r="H39" s="540">
        <f>SUMIF(116:116,G39,117:117)-SUMIF(116:116,C39,117:117)+100</f>
        <v>100</v>
      </c>
      <c r="I39" s="599" t="s">
        <v>3263</v>
      </c>
      <c r="J39" s="540">
        <f>SUMIF(116:116,I39,117:117)-SUMIF(116:116,C39,117:117)+100</f>
        <v>100</v>
      </c>
      <c r="K39" s="864">
        <v>1</v>
      </c>
      <c r="L39" s="2127"/>
      <c r="M39" s="2119"/>
      <c r="N39" s="2119"/>
      <c r="O39" s="2126"/>
      <c r="P39" s="3398"/>
      <c r="Q39" s="1558" t="str">
        <f t="shared" si="11"/>
        <v>市政基础设施</v>
      </c>
      <c r="R39" s="1559" t="s">
        <v>11</v>
      </c>
      <c r="S39" s="1560">
        <f t="shared" si="12"/>
        <v>100</v>
      </c>
      <c r="T39" s="1559" t="s">
        <v>11</v>
      </c>
      <c r="U39" s="1560">
        <f t="shared" si="13"/>
        <v>100</v>
      </c>
      <c r="V39" s="1559" t="s">
        <v>11</v>
      </c>
      <c r="W39" s="1560">
        <f t="shared" si="14"/>
        <v>100</v>
      </c>
      <c r="X39" s="1553"/>
      <c r="Y39" s="3398"/>
      <c r="Z39" s="1561" t="str">
        <f t="shared" si="15"/>
        <v>市政基础设施</v>
      </c>
      <c r="AA39" s="1562">
        <f t="shared" si="3"/>
        <v>1</v>
      </c>
      <c r="AB39" s="1562">
        <f t="shared" si="4"/>
        <v>1</v>
      </c>
      <c r="AC39" s="1562">
        <f t="shared" si="5"/>
        <v>1</v>
      </c>
    </row>
    <row r="40" spans="1:29" ht="15">
      <c r="A40" s="594"/>
      <c r="B40" s="527" t="s">
        <v>731</v>
      </c>
      <c r="C40" s="599" t="s">
        <v>3299</v>
      </c>
      <c r="D40" s="540">
        <v>100</v>
      </c>
      <c r="E40" s="599" t="s">
        <v>3299</v>
      </c>
      <c r="F40" s="575">
        <f>SUMIF(118:118,E40,119:119)-SUMIF(118:118,C40,119:119)+100</f>
        <v>100</v>
      </c>
      <c r="G40" s="599" t="s">
        <v>3299</v>
      </c>
      <c r="H40" s="540">
        <f>SUMIF(118:118,G40,119:119)-SUMIF(118:118,C40,119:119)+100</f>
        <v>100</v>
      </c>
      <c r="I40" s="599" t="s">
        <v>3299</v>
      </c>
      <c r="J40" s="540">
        <f>SUMIF(118:118,I40,119:119)-SUMIF(118:118,C40,119:119)+100</f>
        <v>100</v>
      </c>
      <c r="K40" s="864">
        <v>1</v>
      </c>
      <c r="L40" s="2127"/>
      <c r="M40" s="2119"/>
      <c r="N40" s="2119"/>
      <c r="O40" s="2126"/>
      <c r="P40" s="3398"/>
      <c r="Q40" s="1558" t="str">
        <f t="shared" si="11"/>
        <v>房型</v>
      </c>
      <c r="R40" s="1559" t="s">
        <v>11</v>
      </c>
      <c r="S40" s="1560">
        <f t="shared" si="12"/>
        <v>100</v>
      </c>
      <c r="T40" s="1559" t="s">
        <v>11</v>
      </c>
      <c r="U40" s="1560">
        <f t="shared" si="13"/>
        <v>100</v>
      </c>
      <c r="V40" s="1559" t="s">
        <v>11</v>
      </c>
      <c r="W40" s="1560">
        <f t="shared" si="14"/>
        <v>100</v>
      </c>
      <c r="X40" s="1553"/>
      <c r="Y40" s="3398"/>
      <c r="Z40" s="1561" t="str">
        <f t="shared" si="15"/>
        <v>房型</v>
      </c>
      <c r="AA40" s="1562">
        <f t="shared" si="3"/>
        <v>1</v>
      </c>
      <c r="AB40" s="1562">
        <f t="shared" si="4"/>
        <v>1</v>
      </c>
      <c r="AC40" s="1562">
        <f t="shared" si="5"/>
        <v>1</v>
      </c>
    </row>
    <row r="41" spans="1:29" s="1334" customFormat="1" ht="28.5" hidden="1">
      <c r="A41" s="603"/>
      <c r="B41" s="527" t="s">
        <v>732</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5"/>
      <c r="M41" s="2156"/>
      <c r="N41" s="2156"/>
      <c r="O41" s="2128"/>
      <c r="P41" s="3398"/>
      <c r="Q41" s="1590" t="str">
        <f t="shared" si="11"/>
        <v>单套/主力户型建筑面积</v>
      </c>
      <c r="R41" s="1563" t="s">
        <v>11</v>
      </c>
      <c r="S41" s="1564">
        <f t="shared" si="12"/>
        <v>100</v>
      </c>
      <c r="T41" s="1563" t="s">
        <v>11</v>
      </c>
      <c r="U41" s="1564">
        <f t="shared" si="13"/>
        <v>100</v>
      </c>
      <c r="V41" s="1563" t="s">
        <v>11</v>
      </c>
      <c r="W41" s="1564">
        <f t="shared" si="14"/>
        <v>100</v>
      </c>
      <c r="X41" s="1565"/>
      <c r="Y41" s="3398"/>
      <c r="Z41" s="1566" t="str">
        <f t="shared" si="15"/>
        <v>单套/主力户型建筑面积</v>
      </c>
      <c r="AA41" s="1562">
        <f t="shared" si="3"/>
        <v>1</v>
      </c>
      <c r="AB41" s="1562">
        <f t="shared" si="4"/>
        <v>1</v>
      </c>
      <c r="AC41" s="1562">
        <f t="shared" si="5"/>
        <v>1</v>
      </c>
    </row>
    <row r="42" spans="1:29" ht="15.75" thickBot="1">
      <c r="A42" s="594"/>
      <c r="B42" s="527" t="s">
        <v>733</v>
      </c>
      <c r="C42" s="599" t="s">
        <v>3297</v>
      </c>
      <c r="D42" s="540">
        <v>100</v>
      </c>
      <c r="E42" s="599" t="s">
        <v>3297</v>
      </c>
      <c r="F42" s="575">
        <f>SUMIF(122:122,E42,123:123)-SUMIF(122:122,C42,123:123)+100</f>
        <v>100</v>
      </c>
      <c r="G42" s="599" t="s">
        <v>3297</v>
      </c>
      <c r="H42" s="540">
        <f>SUMIF(122:122,G42,123:123)-SUMIF(122:122,C42,123:123)+100</f>
        <v>100</v>
      </c>
      <c r="I42" s="599" t="s">
        <v>3297</v>
      </c>
      <c r="J42" s="540">
        <f>SUMIF(122:122,I42,123:123)-SUMIF(122:122,C42,123:123)+100</f>
        <v>100</v>
      </c>
      <c r="K42" s="864">
        <v>1</v>
      </c>
      <c r="L42" s="2127"/>
      <c r="M42" s="2119"/>
      <c r="N42" s="2119"/>
      <c r="O42" s="2126"/>
      <c r="P42" s="3398"/>
      <c r="Q42" s="1558" t="str">
        <f t="shared" si="11"/>
        <v>内部装修</v>
      </c>
      <c r="R42" s="1559" t="s">
        <v>11</v>
      </c>
      <c r="S42" s="1560">
        <f t="shared" si="12"/>
        <v>100</v>
      </c>
      <c r="T42" s="1559" t="s">
        <v>11</v>
      </c>
      <c r="U42" s="1560">
        <f t="shared" si="13"/>
        <v>100</v>
      </c>
      <c r="V42" s="1559" t="s">
        <v>11</v>
      </c>
      <c r="W42" s="1560">
        <f t="shared" si="14"/>
        <v>100</v>
      </c>
      <c r="X42" s="1553"/>
      <c r="Y42" s="3398"/>
      <c r="Z42" s="1561" t="str">
        <f t="shared" si="15"/>
        <v>内部装修</v>
      </c>
      <c r="AA42" s="1562">
        <f t="shared" si="3"/>
        <v>1</v>
      </c>
      <c r="AB42" s="1562">
        <f t="shared" si="4"/>
        <v>1</v>
      </c>
      <c r="AC42" s="1562">
        <f t="shared" si="5"/>
        <v>1</v>
      </c>
    </row>
    <row r="43" spans="1:29" ht="27" hidden="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98"/>
      <c r="Q43" s="1558" t="str">
        <f t="shared" si="11"/>
        <v>内部装修维护情况</v>
      </c>
      <c r="R43" s="1559" t="s">
        <v>11</v>
      </c>
      <c r="S43" s="1560">
        <f t="shared" si="12"/>
        <v>100</v>
      </c>
      <c r="T43" s="1559" t="s">
        <v>11</v>
      </c>
      <c r="U43" s="1560">
        <f t="shared" si="13"/>
        <v>100</v>
      </c>
      <c r="V43" s="1559" t="s">
        <v>11</v>
      </c>
      <c r="W43" s="1560">
        <f t="shared" si="14"/>
        <v>100</v>
      </c>
      <c r="X43" s="1553"/>
      <c r="Y43" s="3398"/>
      <c r="Z43" s="1561" t="str">
        <f t="shared" si="15"/>
        <v>内部装修维护情况</v>
      </c>
      <c r="AA43" s="1562">
        <f t="shared" si="3"/>
        <v>1</v>
      </c>
      <c r="AB43" s="1562">
        <f t="shared" si="4"/>
        <v>1</v>
      </c>
      <c r="AC43" s="1562">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398"/>
      <c r="Q44" s="1146">
        <f t="shared" si="11"/>
        <v>111</v>
      </c>
      <c r="R44" s="1554" t="s">
        <v>11</v>
      </c>
      <c r="S44" s="1555">
        <f t="shared" si="12"/>
        <v>100</v>
      </c>
      <c r="T44" s="1554" t="s">
        <v>11</v>
      </c>
      <c r="U44" s="1555">
        <f t="shared" si="13"/>
        <v>100</v>
      </c>
      <c r="V44" s="1554" t="s">
        <v>11</v>
      </c>
      <c r="W44" s="1555">
        <f t="shared" si="14"/>
        <v>100</v>
      </c>
      <c r="X44" s="1556"/>
      <c r="Y44" s="3398"/>
      <c r="Z44" s="1145">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98"/>
      <c r="Q45" s="1558">
        <f t="shared" si="11"/>
        <v>111</v>
      </c>
      <c r="R45" s="1559" t="s">
        <v>11</v>
      </c>
      <c r="S45" s="1560">
        <f t="shared" si="12"/>
        <v>100</v>
      </c>
      <c r="T45" s="1559" t="s">
        <v>11</v>
      </c>
      <c r="U45" s="1560">
        <f t="shared" si="13"/>
        <v>100</v>
      </c>
      <c r="V45" s="1559" t="s">
        <v>11</v>
      </c>
      <c r="W45" s="1560">
        <f t="shared" si="14"/>
        <v>100</v>
      </c>
      <c r="X45" s="1553"/>
      <c r="Y45" s="3398"/>
      <c r="Z45" s="1561">
        <f t="shared" si="15"/>
        <v>111</v>
      </c>
      <c r="AA45" s="1562">
        <f t="shared" si="3"/>
        <v>1</v>
      </c>
      <c r="AB45" s="1562">
        <f t="shared" si="4"/>
        <v>1</v>
      </c>
      <c r="AC45" s="1562">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8"/>
      <c r="Q46" s="1558">
        <f t="shared" si="11"/>
        <v>111</v>
      </c>
      <c r="R46" s="1559" t="s">
        <v>10</v>
      </c>
      <c r="S46" s="1560">
        <f t="shared" si="12"/>
        <v>100</v>
      </c>
      <c r="T46" s="1559" t="s">
        <v>10</v>
      </c>
      <c r="U46" s="1560">
        <f t="shared" si="13"/>
        <v>100</v>
      </c>
      <c r="V46" s="1559" t="s">
        <v>10</v>
      </c>
      <c r="W46" s="1560">
        <f t="shared" si="14"/>
        <v>100</v>
      </c>
      <c r="X46" s="1553"/>
      <c r="Y46" s="3498"/>
      <c r="Z46" s="1561">
        <f t="shared" si="15"/>
        <v>111</v>
      </c>
      <c r="AA46" s="1562">
        <f t="shared" si="3"/>
        <v>1</v>
      </c>
      <c r="AB46" s="1562">
        <f t="shared" si="4"/>
        <v>1</v>
      </c>
      <c r="AC46" s="1562">
        <f t="shared" si="5"/>
        <v>1</v>
      </c>
    </row>
    <row r="47" spans="1:29" ht="15">
      <c r="A47" s="607" t="s">
        <v>735</v>
      </c>
      <c r="B47" s="886"/>
      <c r="C47" s="2591" t="s">
        <v>9</v>
      </c>
      <c r="D47" s="2592"/>
      <c r="E47" s="2593">
        <v>15000</v>
      </c>
      <c r="F47" s="2594"/>
      <c r="G47" s="2595">
        <v>15500</v>
      </c>
      <c r="H47" s="2596"/>
      <c r="I47" s="2593">
        <v>16000</v>
      </c>
      <c r="J47" s="2596"/>
      <c r="K47" s="1591"/>
      <c r="L47" s="2129"/>
      <c r="M47" s="2130"/>
      <c r="N47" s="2119"/>
      <c r="O47" s="2130"/>
      <c r="P47" s="3393" t="str">
        <f>A47</f>
        <v>成交单价（元/平方米）</v>
      </c>
      <c r="Q47" s="3393"/>
      <c r="R47" s="3497">
        <f>E47</f>
        <v>15000</v>
      </c>
      <c r="S47" s="3497"/>
      <c r="T47" s="3497">
        <f>G47</f>
        <v>15500</v>
      </c>
      <c r="U47" s="3497"/>
      <c r="V47" s="3497">
        <f>I47</f>
        <v>16000</v>
      </c>
      <c r="W47" s="3497"/>
      <c r="X47" s="1545"/>
      <c r="Y47" s="1567"/>
      <c r="Z47" s="1545"/>
      <c r="AA47" s="1545"/>
      <c r="AB47" s="1545"/>
      <c r="AC47" s="1545"/>
    </row>
    <row r="48" spans="1:29" ht="15.75" thickBot="1">
      <c r="A48" s="615" t="s">
        <v>2754</v>
      </c>
      <c r="B48" s="887"/>
      <c r="C48" s="2597">
        <f>R49</f>
        <v>15097</v>
      </c>
      <c r="D48" s="2598"/>
      <c r="E48" s="2599">
        <f>R48</f>
        <v>14633</v>
      </c>
      <c r="F48" s="2599"/>
      <c r="G48" s="2597">
        <f>T48</f>
        <v>15353</v>
      </c>
      <c r="H48" s="2598"/>
      <c r="I48" s="2599">
        <f>V48</f>
        <v>15306</v>
      </c>
      <c r="J48" s="2598"/>
      <c r="K48" s="1592"/>
      <c r="L48" s="2129"/>
      <c r="M48" s="2130"/>
      <c r="N48" s="2130"/>
      <c r="O48" s="2130"/>
      <c r="P48" s="3393" t="str">
        <f>A48</f>
        <v>比较价格（元/平方米）</v>
      </c>
      <c r="Q48" s="3393"/>
      <c r="R48" s="3497">
        <f>IF(F1="售价",ROUND(PRODUCT(R47,AA7:AA46),0),ROUND(PRODUCT(R47,AA7:AA46),1))</f>
        <v>14633</v>
      </c>
      <c r="S48" s="3497"/>
      <c r="T48" s="3497">
        <f>IF(F1="售价",ROUND(PRODUCT(T47,AB7:AB46),0),ROUND(PRODUCT(T47,AB7:AB46),1))</f>
        <v>15353</v>
      </c>
      <c r="U48" s="3497"/>
      <c r="V48" s="3497">
        <f>IF(F1="售价",ROUND(PRODUCT(V47,AC7:AC46),0),ROUND(PRODUCT(V47,AC7:AC46),1))</f>
        <v>15306</v>
      </c>
      <c r="W48" s="3497"/>
      <c r="X48" s="1545"/>
      <c r="Y48" s="1545"/>
      <c r="Z48" s="1545"/>
      <c r="AA48" s="1545"/>
      <c r="AB48" s="1545"/>
      <c r="AC48" s="1545"/>
    </row>
    <row r="49" spans="1:29" ht="15.75" thickBot="1">
      <c r="A49" s="621" t="s">
        <v>2920</v>
      </c>
      <c r="B49" s="622"/>
      <c r="C49" s="2600">
        <f>R49</f>
        <v>15097</v>
      </c>
      <c r="D49" s="2600"/>
      <c r="E49" s="2600"/>
      <c r="F49" s="2600"/>
      <c r="G49" s="2600"/>
      <c r="H49" s="2600"/>
      <c r="I49" s="2600"/>
      <c r="J49" s="2600"/>
      <c r="K49" s="1593"/>
      <c r="L49" s="2129"/>
      <c r="M49" s="2130"/>
      <c r="N49" s="2130"/>
      <c r="O49" s="2130"/>
      <c r="P49" s="3415" t="str">
        <f>A49</f>
        <v>估价对象XX用房的比较价格（楼面单价，元/平方米）</v>
      </c>
      <c r="Q49" s="3416"/>
      <c r="R49" s="3496">
        <f>IF(F1="售价",ROUND(AVERAGE(R48:V48),0),ROUND(AVERAGE(R48:V48),1))</f>
        <v>15097</v>
      </c>
      <c r="S49" s="3496"/>
      <c r="T49" s="3496"/>
      <c r="U49" s="3496"/>
      <c r="V49" s="3496"/>
      <c r="W49" s="349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2.5080297956673325E-2</v>
      </c>
      <c r="F52" s="627" t="str">
        <f>IF(OR(E52&gt;=0.3,E52&lt;=-0.3),"超过30%","")</f>
        <v/>
      </c>
      <c r="G52" s="626">
        <f>IF(G47&lt;G48,G48/G47-1,G47/G48-1)</f>
        <v>9.5746759590960018E-3</v>
      </c>
      <c r="H52" s="627" t="str">
        <f>IF(OR(G52&gt;=0.3,G52&lt;=-0.3),"超过30%","")</f>
        <v/>
      </c>
      <c r="I52" s="626">
        <f>IF(I47&lt;I48,I48/I47-1,I47/I48-1)</f>
        <v>4.5341696066901971E-2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4.9203854301920424E-2</v>
      </c>
      <c r="F53" s="627" t="str">
        <f>IF(OR(E53&gt;=0.2,E53&lt;=-0.2),"超过20%","")</f>
        <v/>
      </c>
      <c r="G53" s="626">
        <f>IF(G48&lt;I48,I48/G48-1,G48/I48-1)</f>
        <v>3.0706912321964985E-3</v>
      </c>
      <c r="H53" s="627" t="str">
        <f>IF(OR(G53&gt;=0.2,G53&lt;=-0.2),"超过20%","")</f>
        <v/>
      </c>
      <c r="I53" s="626">
        <f>IF(I48&lt;E48,E48/I48-1,I48/E48-1)</f>
        <v>4.5991936034989411E-2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f>IF(E47&lt;G47,G47/E47-1,E47/G47-1)</f>
        <v>3.3333333333333437E-2</v>
      </c>
      <c r="F54" s="627" t="str">
        <f>IF(OR(E54&gt;=0.3,E54&lt;=-0.3),"超过30%","")</f>
        <v/>
      </c>
      <c r="G54" s="626">
        <f>IF(G47&lt;I47,I47/G47-1,G47/I47-1)</f>
        <v>3.2258064516129004E-2</v>
      </c>
      <c r="H54" s="627" t="str">
        <f>IF(OR(G54&gt;=0.3,G54&lt;=-0.3),"超过30%","")</f>
        <v/>
      </c>
      <c r="I54" s="626">
        <f>IF(I47&lt;E47,E47/I47-1,I47/E47-1)</f>
        <v>6.6666666666666652E-2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528</v>
      </c>
      <c r="B58" s="646"/>
      <c r="C58" s="2759"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v>100</v>
      </c>
      <c r="E59" s="650">
        <v>99.5</v>
      </c>
      <c r="F59" s="650">
        <v>99.5</v>
      </c>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0（含）-1.5</v>
      </c>
      <c r="D67" s="682" t="str">
        <f t="shared" ref="D67:L67" si="18">D68&amp;"（含）"&amp;"-"&amp;E68</f>
        <v>1.5（含）-2.5</v>
      </c>
      <c r="E67" s="682" t="str">
        <f t="shared" si="18"/>
        <v>2.5（含）-3.5</v>
      </c>
      <c r="F67" s="682" t="str">
        <f t="shared" si="18"/>
        <v>3.5（含）-4.5</v>
      </c>
      <c r="G67" s="682" t="str">
        <f t="shared" si="18"/>
        <v>4.5（含）-5.5</v>
      </c>
      <c r="H67" s="682" t="str">
        <f t="shared" si="18"/>
        <v>5.5（含）-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1.5</v>
      </c>
      <c r="E68" s="541">
        <v>2.5</v>
      </c>
      <c r="F68" s="541">
        <v>3.5</v>
      </c>
      <c r="G68" s="541">
        <v>4.5</v>
      </c>
      <c r="H68" s="541">
        <v>5.5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97</v>
      </c>
      <c r="E77" s="679">
        <f>D77-$K15</f>
        <v>94</v>
      </c>
      <c r="F77" s="679">
        <f>E77-$K15</f>
        <v>91</v>
      </c>
      <c r="G77" s="679">
        <f>F77-$K15</f>
        <v>88</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97</v>
      </c>
      <c r="E85" s="679">
        <f>D85-$K23</f>
        <v>94</v>
      </c>
      <c r="F85" s="679">
        <f>E85-$K23</f>
        <v>91</v>
      </c>
      <c r="G85" s="679">
        <f>F85-$K23</f>
        <v>88</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2254</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745</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3195" t="s">
        <v>3285</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50000</v>
      </c>
      <c r="E103" s="730">
        <v>100000</v>
      </c>
      <c r="F103" s="730">
        <v>150000</v>
      </c>
      <c r="G103" s="730">
        <v>200000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v>101</v>
      </c>
      <c r="E104" s="671">
        <v>102</v>
      </c>
      <c r="F104" s="671">
        <v>103</v>
      </c>
      <c r="G104" s="671">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196" t="s">
        <v>3287</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3197" t="s">
        <v>3289</v>
      </c>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3196" t="s">
        <v>3291</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3196" t="s">
        <v>3293</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3196" t="s">
        <v>3294</v>
      </c>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3197" t="s">
        <v>3300</v>
      </c>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732</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196" t="s">
        <v>3291</v>
      </c>
      <c r="D122" s="3196" t="s">
        <v>3295</v>
      </c>
      <c r="E122" s="3196" t="s">
        <v>3296</v>
      </c>
      <c r="F122" s="3197" t="s">
        <v>3298</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
  <sheetViews>
    <sheetView topLeftCell="G1" zoomScaleNormal="100" workbookViewId="0">
      <selection activeCell="K19" sqref="K19"/>
    </sheetView>
  </sheetViews>
  <sheetFormatPr defaultColWidth="8.75" defaultRowHeight="13.5"/>
  <sheetData>
    <row r="5" spans="1:1">
      <c r="A5" s="3193"/>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25" style="2084" customWidth="1"/>
    <col min="3" max="3" width="11.75" style="2084" customWidth="1"/>
    <col min="4" max="4" width="40.5" style="2045" customWidth="1"/>
    <col min="5" max="5" width="15.75" style="2045" customWidth="1"/>
    <col min="6" max="6" width="10.625" style="2045" customWidth="1"/>
    <col min="7" max="7" width="4.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1" t="s">
        <v>2371</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694</v>
      </c>
      <c r="I3" s="1358"/>
      <c r="J3" s="1358"/>
      <c r="K3" s="1577"/>
      <c r="L3" s="1358"/>
      <c r="M3" s="1358"/>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2453</v>
      </c>
      <c r="C5" s="55">
        <f ca="1">C6+C10+C12</f>
        <v>0</v>
      </c>
      <c r="D5" s="2460" t="s">
        <v>2456</v>
      </c>
      <c r="E5" s="2454"/>
      <c r="F5" s="2455"/>
      <c r="G5" s="1578"/>
      <c r="H5" s="781">
        <v>1</v>
      </c>
      <c r="I5" s="782" t="s">
        <v>2453</v>
      </c>
      <c r="J5" s="55">
        <f ca="1">J6+J10+J12</f>
        <v>0</v>
      </c>
      <c r="K5" s="2460" t="s">
        <v>2456</v>
      </c>
      <c r="L5" s="2454"/>
      <c r="M5" s="2455"/>
    </row>
    <row r="6" spans="1:33" ht="18" customHeight="1">
      <c r="A6" s="1815" t="s">
        <v>1823</v>
      </c>
      <c r="B6" s="3468" t="s">
        <v>2458</v>
      </c>
      <c r="C6" s="783">
        <f ca="1">ROUND(F6*F8*F7*(1-F9)/10000,0)</f>
        <v>0</v>
      </c>
      <c r="D6" s="2461" t="s">
        <v>2457</v>
      </c>
      <c r="E6" s="784" t="s">
        <v>1737</v>
      </c>
      <c r="F6" s="785">
        <f ca="1">INDIRECT("'数据-取费表'!u"&amp;$G$1)</f>
        <v>0</v>
      </c>
      <c r="G6" s="1578"/>
      <c r="H6" s="2468" t="s">
        <v>2463</v>
      </c>
      <c r="I6" s="3468" t="s">
        <v>2458</v>
      </c>
      <c r="J6" s="783">
        <f ca="1">ROUND(M6*M8*M7*(1-M9)/10000,0)</f>
        <v>0</v>
      </c>
      <c r="K6" s="341" t="s">
        <v>1736</v>
      </c>
      <c r="L6" s="784" t="s">
        <v>1737</v>
      </c>
      <c r="M6" s="785">
        <f ca="1">INDIRECT("'数据-取费表'!z"&amp;$G$1)</f>
        <v>0</v>
      </c>
    </row>
    <row r="7" spans="1:33" ht="18" customHeight="1">
      <c r="A7" s="2464"/>
      <c r="B7" s="3469"/>
      <c r="C7" s="788"/>
      <c r="D7" s="789"/>
      <c r="E7" s="784" t="s">
        <v>1738</v>
      </c>
      <c r="F7" s="785">
        <f ca="1">IF(INDIRECT("'数据-取费表'!ah"&amp;$G$1)="",INDIRECT("'数据-取费表'!k"&amp;$G$1),INDIRECT("'数据-取费表'!ah"&amp;$G$1))</f>
        <v>0</v>
      </c>
      <c r="G7" s="1578"/>
      <c r="H7" s="2453"/>
      <c r="I7" s="3469"/>
      <c r="J7" s="788"/>
      <c r="K7" s="789"/>
      <c r="L7" s="784" t="s">
        <v>1738</v>
      </c>
      <c r="M7" s="785">
        <f ca="1">F7</f>
        <v>0</v>
      </c>
    </row>
    <row r="8" spans="1:33" ht="18" customHeight="1">
      <c r="A8" s="2457"/>
      <c r="B8" s="3470"/>
      <c r="C8" s="788"/>
      <c r="D8" s="789"/>
      <c r="E8" s="784" t="s">
        <v>1739</v>
      </c>
      <c r="F8" s="785">
        <f ca="1">INDIRECT("'数据-取费表'!ai"&amp;$G$1)</f>
        <v>0</v>
      </c>
      <c r="G8" s="1578"/>
      <c r="H8" s="2453"/>
      <c r="I8" s="3470"/>
      <c r="J8" s="788"/>
      <c r="K8" s="789"/>
      <c r="L8" s="784" t="s">
        <v>1739</v>
      </c>
      <c r="M8" s="785">
        <f ca="1">INDIRECT("'数据-取费表'!ai"&amp;$G$1)</f>
        <v>0</v>
      </c>
    </row>
    <row r="9" spans="1:33" ht="18" customHeight="1">
      <c r="A9" s="786"/>
      <c r="B9" s="3471"/>
      <c r="C9" s="788"/>
      <c r="D9" s="789"/>
      <c r="E9" s="784" t="s">
        <v>1740</v>
      </c>
      <c r="F9" s="794">
        <f ca="1">INDIRECT("'数据-取费表'!w"&amp;$G$1)</f>
        <v>0</v>
      </c>
      <c r="G9" s="1578"/>
      <c r="H9" s="2469"/>
      <c r="I9" s="3470"/>
      <c r="J9" s="788"/>
      <c r="K9" s="789"/>
      <c r="L9" s="795" t="s">
        <v>1740</v>
      </c>
      <c r="M9" s="796">
        <f ca="1">INDIRECT("'数据-取费表'!ab"&amp;$G$1)</f>
        <v>0</v>
      </c>
    </row>
    <row r="10" spans="1:33" ht="18" customHeight="1">
      <c r="A10" s="1815" t="s">
        <v>2461</v>
      </c>
      <c r="B10" s="2458" t="s">
        <v>2454</v>
      </c>
      <c r="C10" s="799">
        <f ca="1">ROUND(IF(F10="押一",C6/12*F11,IF(F10="押二",C6/12*2*F11,IF(F10="押三",C6/12*3*F11,C11*F11))),0)</f>
        <v>0</v>
      </c>
      <c r="D10" s="2465" t="s">
        <v>2958</v>
      </c>
      <c r="E10" s="2462" t="s">
        <v>2459</v>
      </c>
      <c r="F10" s="2585"/>
      <c r="G10" s="1578"/>
      <c r="H10" s="2525" t="s">
        <v>2464</v>
      </c>
      <c r="I10" s="2530" t="s">
        <v>2454</v>
      </c>
      <c r="J10" s="783">
        <f ca="1">ROUND(IF(M10="押一",J6/12*M11,IF(M10="押二",J6/12*2*M11,IF(M10="押三",J6/12*3*M11,J11*M11))),0)</f>
        <v>0</v>
      </c>
      <c r="K10" s="2465" t="s">
        <v>2958</v>
      </c>
      <c r="L10" s="2462" t="s">
        <v>2459</v>
      </c>
      <c r="M10" s="2585"/>
    </row>
    <row r="11" spans="1:33" ht="18" customHeight="1">
      <c r="A11" s="790"/>
      <c r="B11" s="2459" t="s">
        <v>2568</v>
      </c>
      <c r="C11" s="2463"/>
      <c r="D11" s="789"/>
      <c r="E11" s="2462" t="s">
        <v>2460</v>
      </c>
      <c r="F11" s="796">
        <f ca="1">'数据-取费表'!B39</f>
        <v>1.4999999999999999E-2</v>
      </c>
      <c r="G11" s="1578"/>
      <c r="H11" s="2526"/>
      <c r="I11" s="2459" t="s">
        <v>2568</v>
      </c>
      <c r="J11" s="2463"/>
      <c r="K11" s="2527"/>
      <c r="L11" s="2462" t="s">
        <v>2460</v>
      </c>
      <c r="M11" s="2456">
        <f ca="1">'数据-取费表'!B39</f>
        <v>1.4999999999999999E-2</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1741</v>
      </c>
      <c r="C13" s="792">
        <f ca="1">ROUND(C29*F13,0)</f>
        <v>0</v>
      </c>
      <c r="D13" s="1819" t="s">
        <v>2294</v>
      </c>
      <c r="E13" s="1819" t="s">
        <v>1743</v>
      </c>
      <c r="F13" s="2500">
        <f ca="1">INDIRECT("'数据-取费表'!y"&amp;$G$1)</f>
        <v>0</v>
      </c>
      <c r="G13" s="1578"/>
      <c r="H13" s="1814">
        <v>2</v>
      </c>
      <c r="I13" s="1812" t="s">
        <v>1741</v>
      </c>
      <c r="J13" s="1804">
        <f ca="1">ROUND(J14*J15,0)</f>
        <v>0</v>
      </c>
      <c r="K13" s="1806" t="s">
        <v>1742</v>
      </c>
      <c r="L13" s="2516"/>
      <c r="M13" s="2517"/>
    </row>
    <row r="14" spans="1:33" ht="18" customHeight="1">
      <c r="A14" s="1633" t="s">
        <v>1883</v>
      </c>
      <c r="B14" s="784" t="s">
        <v>644</v>
      </c>
      <c r="C14" s="804">
        <f ca="1">INDIRECT("'数据-取费表'!m"&amp;$G$1)+INDIRECT("'数据-取费表'!t"&amp;$G$1)</f>
        <v>0</v>
      </c>
      <c r="D14" s="1964" t="s">
        <v>1744</v>
      </c>
      <c r="E14" s="1965"/>
      <c r="F14" s="805"/>
      <c r="G14" s="1578"/>
      <c r="H14" s="1634" t="s">
        <v>1829</v>
      </c>
      <c r="I14" s="2216" t="s">
        <v>2820</v>
      </c>
      <c r="J14" s="53">
        <f ca="1">C29</f>
        <v>0</v>
      </c>
      <c r="K14" s="26"/>
      <c r="L14" s="801"/>
      <c r="M14" s="802"/>
    </row>
    <row r="15" spans="1:33" s="2049" customFormat="1" ht="18" customHeight="1" thickBot="1">
      <c r="A15" s="1633" t="s">
        <v>1884</v>
      </c>
      <c r="B15" s="784" t="s">
        <v>646</v>
      </c>
      <c r="C15" s="53">
        <f ca="1">ROUND(C14*F15,0)</f>
        <v>0</v>
      </c>
      <c r="D15" s="806" t="s">
        <v>1745</v>
      </c>
      <c r="E15" s="806" t="s">
        <v>1746</v>
      </c>
      <c r="F15" s="807">
        <f>'数据-取费表'!B33</f>
        <v>0.05</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50"/>
      <c r="M16" s="2455"/>
    </row>
    <row r="17" spans="1:33" s="2049" customFormat="1" ht="18" customHeight="1">
      <c r="A17" s="1633" t="s">
        <v>1886</v>
      </c>
      <c r="B17" s="784" t="s">
        <v>652</v>
      </c>
      <c r="C17" s="53">
        <f ca="1">ROUND(F17*(F43+INDIRECT("'数据-取费表'!S"&amp;$G$1))/10000,0)</f>
        <v>0</v>
      </c>
      <c r="D17" s="784" t="s">
        <v>1750</v>
      </c>
      <c r="E17" s="784" t="s">
        <v>1751</v>
      </c>
      <c r="F17" s="56">
        <f>'数据-取费表'!B35</f>
        <v>200</v>
      </c>
      <c r="G17" s="1579"/>
      <c r="H17" s="1634" t="s">
        <v>1829</v>
      </c>
      <c r="I17" s="784" t="s">
        <v>655</v>
      </c>
      <c r="J17" s="53">
        <f ca="1">ROUND(IF(项目基本情况!B11="自然人",J6*M17/(1+'数据-取费表'!C42),J18+J19+J20),0)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0</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0</v>
      </c>
      <c r="D19" s="261" t="s">
        <v>1756</v>
      </c>
      <c r="E19" s="1967"/>
      <c r="F19" s="56"/>
      <c r="G19" s="1578"/>
      <c r="H19" s="1633" t="s">
        <v>1884</v>
      </c>
      <c r="I19" s="784" t="s">
        <v>1757</v>
      </c>
      <c r="J19" s="53">
        <f ca="1">IF(K19="按租金收入计税",ROUND(J6*M19/(1+'数据-取费表'!C42),1),ROUND(C29*F33*0.7,1))</f>
        <v>0</v>
      </c>
      <c r="K19" s="811" t="s">
        <v>664</v>
      </c>
      <c r="L19" s="784" t="s">
        <v>1746</v>
      </c>
      <c r="M19" s="809">
        <f>IF(K19="按租金收入计税",'数据-取费表'!B51,'数据-取费表'!B50)</f>
        <v>1.2E-2</v>
      </c>
    </row>
    <row r="20" spans="1:33" s="2049" customFormat="1" ht="18" customHeight="1">
      <c r="A20" s="1634" t="s">
        <v>1888</v>
      </c>
      <c r="B20" s="784" t="s">
        <v>665</v>
      </c>
      <c r="C20" s="53">
        <f ca="1">ROUND(C19*F20,0)</f>
        <v>0</v>
      </c>
      <c r="D20" s="812" t="s">
        <v>1758</v>
      </c>
      <c r="E20" s="784" t="s">
        <v>1746</v>
      </c>
      <c r="F20" s="809">
        <f>'数据-取费表'!B37</f>
        <v>0.03</v>
      </c>
      <c r="G20" s="1579"/>
      <c r="H20" s="1636" t="s">
        <v>1879</v>
      </c>
      <c r="I20" s="341" t="s">
        <v>1759</v>
      </c>
      <c r="J20" s="54">
        <f ca="1">ROUND(M20*M21/10000,0)</f>
        <v>0</v>
      </c>
      <c r="K20" s="814" t="s">
        <v>1760</v>
      </c>
      <c r="L20" s="784" t="s">
        <v>1761</v>
      </c>
      <c r="M20" s="640">
        <f>'数据-取费表'!B52</f>
        <v>18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2295</v>
      </c>
      <c r="E21" s="784" t="s">
        <v>1764</v>
      </c>
      <c r="F21" s="809">
        <f>'数据-取费表'!B38</f>
        <v>0.03</v>
      </c>
      <c r="G21" s="1579"/>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8" t="s">
        <v>1768</v>
      </c>
      <c r="L22" s="784" t="s">
        <v>1746</v>
      </c>
      <c r="M22" s="817">
        <f ca="1">INDIRECT("'数据-取费表'!Ak"&amp;$G$1)</f>
        <v>0</v>
      </c>
    </row>
    <row r="23" spans="1:33" s="2049" customFormat="1" ht="18" customHeight="1">
      <c r="A23" s="1633" t="s">
        <v>1830</v>
      </c>
      <c r="B23" s="784" t="s">
        <v>2530</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79"/>
      <c r="H23" s="1634" t="s">
        <v>1889</v>
      </c>
      <c r="I23" s="784" t="s">
        <v>678</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1.1000000000000001E-3</v>
      </c>
      <c r="D24" s="2535" t="str">
        <f>IF(F23&lt;=1,"销售费用×利率×(建设周期÷2)","销售费用×((1+利率)^(建设周期÷2)-1)")</f>
        <v>销售费用×((1+利率)^(建设周期÷2)-1)</v>
      </c>
      <c r="E24" s="784" t="s">
        <v>1772</v>
      </c>
      <c r="F24" s="819">
        <f ca="1">'数据-取费表'!B40</f>
        <v>4.7500000000000001E-2</v>
      </c>
      <c r="G24" s="1579"/>
      <c r="H24" s="2515" t="s">
        <v>1890</v>
      </c>
      <c r="I24" s="2510" t="s">
        <v>665</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2" t="s">
        <v>2816</v>
      </c>
      <c r="J25" s="792">
        <f ca="1">J5-J16</f>
        <v>0</v>
      </c>
      <c r="K25" s="2512" t="s">
        <v>1776</v>
      </c>
      <c r="L25" s="2513"/>
      <c r="M25" s="2514"/>
    </row>
    <row r="26" spans="1:33" ht="18" customHeight="1">
      <c r="A26" s="1633" t="s">
        <v>1830</v>
      </c>
      <c r="B26" s="784" t="s">
        <v>2435</v>
      </c>
      <c r="C26" s="53">
        <f ca="1">ROUND((C19+C20)*F26,0)</f>
        <v>0</v>
      </c>
      <c r="D26" s="812" t="s">
        <v>1777</v>
      </c>
      <c r="E26" s="795" t="s">
        <v>1778</v>
      </c>
      <c r="F26" s="794">
        <f ca="1">INDIRECT("'数据-取费表'!q"&amp;$G$1)</f>
        <v>0</v>
      </c>
      <c r="G26" s="1578"/>
      <c r="H26" s="2466" t="s">
        <v>1779</v>
      </c>
      <c r="I26" s="2217" t="s">
        <v>2821</v>
      </c>
      <c r="J26" s="783">
        <f ca="1">IF(J5&lt;&gt;0,ROUND(J25*(1-((1+M28)/(1+M26))^M27)/(M26-M28),0),0)</f>
        <v>0</v>
      </c>
      <c r="K26" s="814" t="s">
        <v>1780</v>
      </c>
      <c r="L26" s="784" t="s">
        <v>2416</v>
      </c>
      <c r="M26" s="794">
        <f ca="1">INDIRECT("'数据-取费表'!I"&amp;$G$1)</f>
        <v>0</v>
      </c>
    </row>
    <row r="27" spans="1:33" ht="18" customHeight="1">
      <c r="A27" s="1633" t="s">
        <v>1831</v>
      </c>
      <c r="B27" s="784" t="s">
        <v>685</v>
      </c>
      <c r="C27" s="53">
        <f ca="1">ROUND(F21*F26,4)</f>
        <v>0</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2296</v>
      </c>
      <c r="E28" s="784" t="s">
        <v>1784</v>
      </c>
      <c r="F28" s="809">
        <f>'数据-取费表'!B41</f>
        <v>5.6000000000000001E-2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0</v>
      </c>
      <c r="D29" s="2509"/>
      <c r="E29" s="2510"/>
      <c r="F29" s="2511"/>
      <c r="G29" s="1579"/>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50"/>
      <c r="F30" s="2455"/>
      <c r="G30" s="2047"/>
      <c r="H30" s="2050"/>
      <c r="I30" s="2051"/>
      <c r="J30" s="2052"/>
      <c r="K30" s="2053"/>
      <c r="L30" s="2054"/>
      <c r="M30" s="2055"/>
    </row>
    <row r="31" spans="1:33" ht="18" customHeight="1">
      <c r="A31" s="1634" t="s">
        <v>1829</v>
      </c>
      <c r="B31" s="784" t="s">
        <v>655</v>
      </c>
      <c r="C31" s="53">
        <f ca="1">ROUND(IF(项目基本情况!B11="自然人",C6*F31/(1+'数据-取费表'!C42),C32+C33+C34),1)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0</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18</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678</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665</v>
      </c>
      <c r="C38" s="2508">
        <f ca="1">ROUND(C5*F38,1)</f>
        <v>0</v>
      </c>
      <c r="D38" s="2509" t="s">
        <v>1804</v>
      </c>
      <c r="E38" s="2510" t="s">
        <v>1795</v>
      </c>
      <c r="F38" s="2506">
        <f ca="1">INDIRECT("'数据-取费表'!Am"&amp;$G$1)</f>
        <v>0</v>
      </c>
      <c r="G38" s="2047"/>
      <c r="H38" s="2062"/>
      <c r="I38" s="843" t="s">
        <v>1816</v>
      </c>
      <c r="J38" s="844"/>
      <c r="K38" s="2068"/>
      <c r="L38" s="2062"/>
      <c r="M38" s="2062"/>
    </row>
    <row r="39" spans="1:18" ht="24.4" customHeight="1" thickTop="1">
      <c r="A39" s="1814" t="s">
        <v>1893</v>
      </c>
      <c r="B39" s="2962" t="s">
        <v>2816</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2298</v>
      </c>
      <c r="C40" s="783" t="e">
        <f ca="1">ROUND(C39*(1-((1+F42)/(1+F40))^F41)/(F40-F42),0)</f>
        <v>#DIV/0!</v>
      </c>
      <c r="D40" s="814" t="s">
        <v>1806</v>
      </c>
      <c r="E40" s="784" t="s">
        <v>2416</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2948</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t="e">
        <f ca="1">C67-C40</f>
        <v>#DIV/0!</v>
      </c>
      <c r="D46" s="2070"/>
      <c r="E46" s="2070"/>
      <c r="F46" s="2070"/>
      <c r="I46" s="2342" t="s">
        <v>2340</v>
      </c>
      <c r="J46" s="2343"/>
      <c r="K46" s="2344"/>
      <c r="L46" s="3107" t="e">
        <f ca="1">IF(OR(M47="住宅",D1="土地（套用方法）"),0,IF(L48&gt;J51,L60,J60))</f>
        <v>#DIV/0!</v>
      </c>
      <c r="O46" s="2358" t="s">
        <v>2407</v>
      </c>
      <c r="P46" s="1578"/>
      <c r="Q46" s="1589"/>
      <c r="R46" s="1578"/>
    </row>
    <row r="47" spans="1:18" s="2044" customFormat="1" ht="18" customHeight="1" thickBot="1">
      <c r="A47" s="2336">
        <v>1</v>
      </c>
      <c r="B47" s="2337" t="s">
        <v>634</v>
      </c>
      <c r="C47" s="2538">
        <f ca="1">C48+C52+C54</f>
        <v>0</v>
      </c>
      <c r="D47" s="2070"/>
      <c r="E47" s="2070"/>
      <c r="F47" s="2070"/>
      <c r="I47" s="3098" t="s">
        <v>2341</v>
      </c>
      <c r="J47" s="2345"/>
      <c r="K47" s="3104" t="s">
        <v>2346</v>
      </c>
      <c r="L47" s="3108">
        <f ca="1">INDIRECT("'数据-取费表'!d"&amp;$G$1)</f>
        <v>0</v>
      </c>
      <c r="M47" s="1589" t="str">
        <f>IF(ISNUMBER(FIND("住宅",C1)),"住宅","非住宅")</f>
        <v>非住宅</v>
      </c>
      <c r="O47" s="2359" t="s">
        <v>2372</v>
      </c>
      <c r="P47" s="2360" t="s">
        <v>2373</v>
      </c>
      <c r="Q47" s="2361" t="s">
        <v>2374</v>
      </c>
      <c r="R47" s="2360" t="s">
        <v>2375</v>
      </c>
    </row>
    <row r="48" spans="1:18" s="2044" customFormat="1" ht="18" customHeight="1" thickBot="1">
      <c r="A48" s="2606" t="s">
        <v>2532</v>
      </c>
      <c r="B48" s="2607" t="s">
        <v>2533</v>
      </c>
      <c r="C48" s="2338">
        <f ca="1">ROUND(F48*F50*F49*(1-F51)/10000,0)</f>
        <v>0</v>
      </c>
      <c r="D48" s="2339" t="s">
        <v>635</v>
      </c>
      <c r="E48" s="2340" t="s">
        <v>2293</v>
      </c>
      <c r="F48" s="2341"/>
      <c r="G48" s="2075"/>
      <c r="I48" s="3077" t="s">
        <v>2342</v>
      </c>
      <c r="J48" s="2346"/>
      <c r="K48" s="3105" t="s">
        <v>2348</v>
      </c>
      <c r="L48" s="1893">
        <f ca="1">INDIRECT("'数据-取费表'!f"&amp;$G$1)</f>
        <v>0</v>
      </c>
      <c r="O48" s="2362" t="s">
        <v>2376</v>
      </c>
      <c r="P48" s="2363" t="s">
        <v>2402</v>
      </c>
      <c r="Q48" s="2364" t="e">
        <f ca="1">C40+J29</f>
        <v>#DIV/0!</v>
      </c>
      <c r="R48" s="2363" t="s">
        <v>2377</v>
      </c>
    </row>
    <row r="49" spans="1:18" s="2044" customFormat="1" ht="18" customHeight="1" thickBot="1">
      <c r="A49" s="786"/>
      <c r="B49" s="787"/>
      <c r="C49" s="788"/>
      <c r="D49" s="789"/>
      <c r="E49" s="784" t="s">
        <v>1738</v>
      </c>
      <c r="F49" s="785">
        <f ca="1">F7</f>
        <v>0</v>
      </c>
      <c r="G49" s="2075"/>
      <c r="H49" s="2078"/>
      <c r="I49" s="3077" t="s">
        <v>2343</v>
      </c>
      <c r="J49" s="2347"/>
      <c r="K49" s="3106" t="s">
        <v>2349</v>
      </c>
      <c r="L49" s="2348"/>
      <c r="O49" s="2362" t="s">
        <v>2378</v>
      </c>
      <c r="P49" s="2363" t="s">
        <v>2403</v>
      </c>
      <c r="Q49" s="2364" t="e">
        <f ca="1">J60</f>
        <v>#DIV/0!</v>
      </c>
      <c r="R49" s="2363" t="s">
        <v>2379</v>
      </c>
    </row>
    <row r="50" spans="1:18" s="2044" customFormat="1" ht="18" customHeight="1" thickBot="1">
      <c r="A50" s="786"/>
      <c r="B50" s="787"/>
      <c r="C50" s="788"/>
      <c r="D50" s="789"/>
      <c r="E50" s="784" t="s">
        <v>1739</v>
      </c>
      <c r="F50" s="785">
        <f ca="1">F8</f>
        <v>0</v>
      </c>
      <c r="G50" s="2080"/>
      <c r="H50" s="2078"/>
      <c r="I50" s="3077" t="s">
        <v>2344</v>
      </c>
      <c r="J50" s="3102">
        <f>SUMPRODUCT((I63:I65=J47)*(J62:L62=J48)*(J63:L65))</f>
        <v>0</v>
      </c>
      <c r="K50" s="3106" t="s">
        <v>2350</v>
      </c>
      <c r="L50" s="2348"/>
      <c r="O50" s="2365" t="s">
        <v>2380</v>
      </c>
      <c r="P50" s="2363" t="s">
        <v>2404</v>
      </c>
      <c r="Q50" s="2364">
        <f ca="1">C29</f>
        <v>0</v>
      </c>
      <c r="R50" s="2363" t="s">
        <v>2377</v>
      </c>
    </row>
    <row r="51" spans="1:18" s="2044" customFormat="1" ht="18" customHeight="1" thickBot="1">
      <c r="A51" s="786"/>
      <c r="B51" s="787"/>
      <c r="C51" s="788"/>
      <c r="D51" s="789"/>
      <c r="E51" s="784" t="s">
        <v>639</v>
      </c>
      <c r="F51" s="2335"/>
      <c r="H51" s="2078"/>
      <c r="I51" s="3099" t="s">
        <v>2345</v>
      </c>
      <c r="J51" s="3103">
        <f>IF(J49="",J50,J49+J50-YEAR('数据-取费表'!B2))</f>
        <v>0</v>
      </c>
      <c r="K51" s="3077" t="s">
        <v>2351</v>
      </c>
      <c r="L51" s="3109">
        <f ca="1">ROUND(-PV(INDIRECT("'数据-取费表'!h"&amp;$G$1),L48,(C39-C13*J36),0),0)</f>
        <v>0</v>
      </c>
      <c r="O51" s="2365" t="s">
        <v>2381</v>
      </c>
      <c r="P51" s="2363" t="s">
        <v>2382</v>
      </c>
      <c r="Q51" s="2366" t="e">
        <f ca="1">J58</f>
        <v>#DIV/0!</v>
      </c>
      <c r="R51" s="2367"/>
    </row>
    <row r="52" spans="1:18" s="2044" customFormat="1" ht="18" customHeight="1" thickBot="1">
      <c r="A52" s="781" t="s">
        <v>2531</v>
      </c>
      <c r="B52" s="2458" t="s">
        <v>2454</v>
      </c>
      <c r="C52" s="799">
        <f ca="1">ROUND(IF(F52="押一",C48/12*F11,IF(F52="押二",C48/12*2*F11,IF(F52="押三",C48/12*3*F11,C53*F11))),0)</f>
        <v>0</v>
      </c>
      <c r="D52" s="2465" t="s">
        <v>2959</v>
      </c>
      <c r="E52" s="2462" t="s">
        <v>2459</v>
      </c>
      <c r="F52" s="2585"/>
      <c r="I52" s="3100" t="s">
        <v>2418</v>
      </c>
      <c r="J52" s="2349"/>
      <c r="K52" s="3100" t="s">
        <v>2417</v>
      </c>
      <c r="L52" s="2349"/>
      <c r="O52" s="2365" t="s">
        <v>2383</v>
      </c>
      <c r="P52" s="2363" t="s">
        <v>2384</v>
      </c>
      <c r="Q52" s="2366">
        <f>J52</f>
        <v>0</v>
      </c>
      <c r="R52" s="2367"/>
    </row>
    <row r="53" spans="1:18" s="2044" customFormat="1" ht="39.75" customHeight="1" thickBot="1">
      <c r="A53" s="786"/>
      <c r="B53" s="2459" t="s">
        <v>2568</v>
      </c>
      <c r="C53" s="2463"/>
      <c r="D53" s="2465"/>
      <c r="E53" s="2462"/>
      <c r="F53" s="800"/>
      <c r="I53" s="3101" t="s">
        <v>2962</v>
      </c>
      <c r="J53" s="3180">
        <f ca="1">IF(M47="住宅",IF(D1="——",MAX(J51,L48),MAX(J51,L48-'数据-取费表'!B20)),IF(D1="——",MIN(J51,L48),MIN(J51,L48-'数据-取费表'!B20)))</f>
        <v>0</v>
      </c>
      <c r="K53" s="3499" t="s">
        <v>2950</v>
      </c>
      <c r="L53" s="3500"/>
      <c r="O53" s="2365" t="s">
        <v>2385</v>
      </c>
      <c r="P53" s="2363" t="s">
        <v>2386</v>
      </c>
      <c r="Q53" s="2364">
        <f ca="1">J53</f>
        <v>0</v>
      </c>
      <c r="R53" s="2363" t="s">
        <v>2387</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2388</v>
      </c>
      <c r="P54" s="2363" t="s">
        <v>2405</v>
      </c>
      <c r="Q54" s="2364" t="e">
        <f ca="1">Q48+Q49</f>
        <v>#DIV/0!</v>
      </c>
      <c r="R54" s="2367" t="s">
        <v>2389</v>
      </c>
    </row>
    <row r="55" spans="1:18" s="2044" customFormat="1" ht="18" customHeight="1" thickTop="1" thickBot="1">
      <c r="A55" s="797">
        <v>2</v>
      </c>
      <c r="B55" s="798" t="s">
        <v>643</v>
      </c>
      <c r="C55" s="799">
        <f ca="1">C13</f>
        <v>0</v>
      </c>
      <c r="D55" s="795"/>
      <c r="E55" s="795"/>
      <c r="F55" s="800"/>
      <c r="I55" s="3112" t="s">
        <v>2352</v>
      </c>
      <c r="J55" s="3052" t="e">
        <f ca="1">ROUND(IF(J47="钢混",J57/J50,1-(1-2%)*(J50-J57)/J50),3)</f>
        <v>#DIV/0!</v>
      </c>
      <c r="K55" s="3113" t="s">
        <v>2353</v>
      </c>
      <c r="L55" s="2350"/>
      <c r="O55" s="2368" t="s">
        <v>2408</v>
      </c>
      <c r="P55" s="1578"/>
      <c r="Q55" s="1589"/>
      <c r="R55" s="1578"/>
    </row>
    <row r="56" spans="1:18" s="2044" customFormat="1" ht="42.75" customHeight="1" thickBot="1">
      <c r="A56" s="1635"/>
      <c r="B56" s="2216" t="s">
        <v>2299</v>
      </c>
      <c r="C56" s="53">
        <f ca="1">C29</f>
        <v>0</v>
      </c>
      <c r="D56" s="2603"/>
      <c r="E56" s="784"/>
      <c r="F56" s="809"/>
      <c r="I56" s="3114" t="s">
        <v>2354</v>
      </c>
      <c r="J56" s="3124"/>
      <c r="K56" s="3077" t="s">
        <v>2359</v>
      </c>
      <c r="L56" s="1893">
        <f ca="1">IF(L48&lt;J51,"——",L48-J51)</f>
        <v>0</v>
      </c>
      <c r="O56" s="2359" t="s">
        <v>2372</v>
      </c>
      <c r="P56" s="2360" t="s">
        <v>2373</v>
      </c>
      <c r="Q56" s="2361" t="s">
        <v>2374</v>
      </c>
      <c r="R56" s="2360" t="s">
        <v>2375</v>
      </c>
    </row>
    <row r="57" spans="1:18" s="2044" customFormat="1" ht="28.5" customHeight="1" thickBot="1">
      <c r="A57" s="797" t="s">
        <v>1747</v>
      </c>
      <c r="B57" s="798" t="s">
        <v>650</v>
      </c>
      <c r="C57" s="799">
        <f ca="1">ROUND(C58+C63+C64+C65,0)</f>
        <v>0</v>
      </c>
      <c r="D57" s="26" t="s">
        <v>1749</v>
      </c>
      <c r="E57" s="2604"/>
      <c r="F57" s="56"/>
      <c r="I57" s="3115" t="s">
        <v>2355</v>
      </c>
      <c r="J57" s="3116">
        <f ca="1">IF(OR(M47="住宅",J51&lt;L48,J56="是"),"——",J51-L48)</f>
        <v>0</v>
      </c>
      <c r="K57" s="3077" t="s">
        <v>2360</v>
      </c>
      <c r="L57" s="1893">
        <f ca="1">IF(L48&lt;J51,"——",IF(L55="比较法",L49,IF(L55="基准地价",L50,L51)))</f>
        <v>0</v>
      </c>
      <c r="O57" s="2362" t="s">
        <v>2376</v>
      </c>
      <c r="P57" s="2363" t="s">
        <v>2406</v>
      </c>
      <c r="Q57" s="2364" t="e">
        <f ca="1">C40+J29</f>
        <v>#DIV/0!</v>
      </c>
      <c r="R57" s="2363" t="s">
        <v>2377</v>
      </c>
    </row>
    <row r="58" spans="1:18" s="2044" customFormat="1" ht="28.5" customHeight="1" thickBot="1">
      <c r="A58" s="1634" t="s">
        <v>1823</v>
      </c>
      <c r="B58" s="784" t="s">
        <v>655</v>
      </c>
      <c r="C58" s="53">
        <f ca="1">ROUND(IF(项目基本情况!B11="自然人",C47*F58,C59+C60+C61),1)</f>
        <v>0</v>
      </c>
      <c r="D58" s="2602" t="s">
        <v>656</v>
      </c>
      <c r="E58" s="2603" t="s">
        <v>689</v>
      </c>
      <c r="F58" s="810" t="str">
        <f ca="1">IF(项目基本情况!B11="企业","",IF(INDIRECT("'数据-取费表'!c"&amp;$G$1)="住宅",5%,IF(F48*F49*F50/12/(1+'数据-取费表'!C42)&gt;20000,12%,7%)))</f>
        <v/>
      </c>
      <c r="I58" s="3115" t="s">
        <v>2356</v>
      </c>
      <c r="J58" s="3053" t="e">
        <f ca="1">IF(J55&lt;0.4,0.4,J55)</f>
        <v>#DIV/0!</v>
      </c>
      <c r="K58" s="3077" t="s">
        <v>2361</v>
      </c>
      <c r="L58" s="1893" t="e">
        <f ca="1">ROUND(POWER(1+L52,L47-L48)*(POWER(1+L52,L48)-1)/(POWER(1+L52,L47)-1),4)</f>
        <v>#DIV/0!</v>
      </c>
      <c r="O58" s="2362" t="s">
        <v>2378</v>
      </c>
      <c r="P58" s="2363" t="s">
        <v>2409</v>
      </c>
      <c r="Q58" s="2364" t="e">
        <f ca="1">L60</f>
        <v>#DIV/0!</v>
      </c>
      <c r="R58" s="2367" t="s">
        <v>2411</v>
      </c>
    </row>
    <row r="59" spans="1:18" s="2044" customFormat="1" ht="28.5" customHeight="1" thickBot="1">
      <c r="A59" s="1633" t="s">
        <v>1830</v>
      </c>
      <c r="B59" s="784" t="s">
        <v>659</v>
      </c>
      <c r="C59" s="53">
        <f ca="1">ROUND(C47*F59/1.05,1)</f>
        <v>0</v>
      </c>
      <c r="D59" s="2603" t="s">
        <v>1755</v>
      </c>
      <c r="E59" s="784" t="s">
        <v>1746</v>
      </c>
      <c r="F59" s="809">
        <f t="shared" ref="F59:F65" si="0">F32</f>
        <v>5.6000000000000001E-2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7" t="s">
        <v>2358</v>
      </c>
      <c r="J60" s="3118" t="e">
        <f ca="1">IF(OR(M47="住宅",J51&lt;L48,J56="是"),"0",ROUND(J59/(1+J52)^J53,0))</f>
        <v>#DIV/0!</v>
      </c>
      <c r="K60" s="3119" t="s">
        <v>2363</v>
      </c>
      <c r="L60" s="3118" t="e">
        <f ca="1">IF(OR(M47="住宅",L48&lt;J51),0,ROUND(L57*(L58/L59-1),0))</f>
        <v>#DIV/0!</v>
      </c>
      <c r="O60" s="2365" t="s">
        <v>2381</v>
      </c>
      <c r="P60" s="2363" t="s">
        <v>2390</v>
      </c>
      <c r="Q60" s="2366">
        <f>L52</f>
        <v>0</v>
      </c>
      <c r="R60" s="2367"/>
    </row>
    <row r="61" spans="1:18" s="2044" customFormat="1" ht="18" customHeight="1" thickBot="1">
      <c r="A61" s="1636" t="s">
        <v>1832</v>
      </c>
      <c r="B61" s="341" t="s">
        <v>667</v>
      </c>
      <c r="C61" s="54">
        <f ca="1">ROUND(F61*F62/10000,1)</f>
        <v>0</v>
      </c>
      <c r="D61" s="814" t="s">
        <v>668</v>
      </c>
      <c r="E61" s="784" t="s">
        <v>669</v>
      </c>
      <c r="F61" s="640">
        <f t="shared" si="0"/>
        <v>18</v>
      </c>
      <c r="K61" s="2071"/>
      <c r="O61" s="2365" t="s">
        <v>2383</v>
      </c>
      <c r="P61" s="2363" t="s">
        <v>2391</v>
      </c>
      <c r="Q61" s="2364" t="e">
        <f ca="1">L58</f>
        <v>#DIV/0!</v>
      </c>
      <c r="R61" s="2367" t="s">
        <v>2392</v>
      </c>
    </row>
    <row r="62" spans="1:18" s="2044" customFormat="1" ht="15.75" thickBot="1">
      <c r="A62" s="815"/>
      <c r="B62" s="793"/>
      <c r="C62" s="69"/>
      <c r="D62" s="816"/>
      <c r="E62" s="784" t="s">
        <v>673</v>
      </c>
      <c r="F62" s="785">
        <f t="shared" ca="1" si="0"/>
        <v>0</v>
      </c>
      <c r="I62" s="3120" t="s">
        <v>2364</v>
      </c>
      <c r="J62" s="3121" t="s">
        <v>2365</v>
      </c>
      <c r="K62" s="3121" t="s">
        <v>2366</v>
      </c>
      <c r="L62" s="3121" t="s">
        <v>2347</v>
      </c>
      <c r="M62" s="3122" t="s">
        <v>2927</v>
      </c>
      <c r="O62" s="2365" t="s">
        <v>2385</v>
      </c>
      <c r="P62" s="2363" t="str">
        <f>K59</f>
        <v>建筑物剩余耐用年限下的土地年期修正系数Kn</v>
      </c>
      <c r="Q62" s="2364" t="e">
        <f ca="1">L59</f>
        <v>#DIV/0!</v>
      </c>
      <c r="R62" s="2367" t="s">
        <v>2394</v>
      </c>
    </row>
    <row r="63" spans="1:18" s="2044" customFormat="1" ht="15.75" thickBot="1">
      <c r="A63" s="1634" t="s">
        <v>1888</v>
      </c>
      <c r="B63" s="784" t="s">
        <v>675</v>
      </c>
      <c r="C63" s="53">
        <f ca="1">ROUND(C56*F63,1)</f>
        <v>0</v>
      </c>
      <c r="D63" s="2603" t="s">
        <v>1802</v>
      </c>
      <c r="E63" s="784" t="s">
        <v>1746</v>
      </c>
      <c r="F63" s="817">
        <f t="shared" ca="1" si="0"/>
        <v>0</v>
      </c>
      <c r="I63" s="3120" t="s">
        <v>2367</v>
      </c>
      <c r="J63" s="3121">
        <v>70</v>
      </c>
      <c r="K63" s="3121">
        <v>50</v>
      </c>
      <c r="L63" s="3121">
        <v>80</v>
      </c>
      <c r="M63" s="3123">
        <v>0.02</v>
      </c>
      <c r="O63" s="2362" t="s">
        <v>2388</v>
      </c>
      <c r="P63" s="2363" t="s">
        <v>2405</v>
      </c>
      <c r="Q63" s="2364" t="e">
        <f ca="1">Q57+Q58</f>
        <v>#DIV/0!</v>
      </c>
      <c r="R63" s="2367" t="s">
        <v>2389</v>
      </c>
    </row>
    <row r="64" spans="1:18" s="2044" customFormat="1" ht="16.5" thickBot="1">
      <c r="A64" s="1634" t="s">
        <v>1889</v>
      </c>
      <c r="B64" s="784" t="s">
        <v>678</v>
      </c>
      <c r="C64" s="53">
        <f ca="1">ROUND(C55*F64,1)</f>
        <v>0</v>
      </c>
      <c r="D64" s="2603" t="s">
        <v>679</v>
      </c>
      <c r="E64" s="784" t="s">
        <v>1746</v>
      </c>
      <c r="F64" s="818">
        <f t="shared" ca="1" si="0"/>
        <v>0</v>
      </c>
      <c r="I64" s="3120" t="s">
        <v>2368</v>
      </c>
      <c r="J64" s="3121">
        <v>50</v>
      </c>
      <c r="K64" s="3121">
        <v>35</v>
      </c>
      <c r="L64" s="3121">
        <v>60</v>
      </c>
      <c r="M64" s="846">
        <v>0</v>
      </c>
      <c r="O64" s="2368" t="s">
        <v>2412</v>
      </c>
      <c r="P64" s="1578"/>
      <c r="Q64" s="1589"/>
      <c r="R64" s="1578"/>
    </row>
    <row r="65" spans="1:18" s="2044" customFormat="1" ht="15.75" thickBot="1">
      <c r="A65" s="1634" t="s">
        <v>1890</v>
      </c>
      <c r="B65" s="784" t="s">
        <v>665</v>
      </c>
      <c r="C65" s="53">
        <f ca="1">ROUND(C47*F65,1)</f>
        <v>0</v>
      </c>
      <c r="D65" s="2603" t="s">
        <v>682</v>
      </c>
      <c r="E65" s="784" t="s">
        <v>1746</v>
      </c>
      <c r="F65" s="794">
        <f t="shared" ca="1" si="0"/>
        <v>0</v>
      </c>
      <c r="I65" s="3120" t="s">
        <v>2369</v>
      </c>
      <c r="J65" s="3121">
        <v>40</v>
      </c>
      <c r="K65" s="3121">
        <v>30</v>
      </c>
      <c r="L65" s="3121">
        <v>50</v>
      </c>
      <c r="M65" s="3123">
        <v>0.02</v>
      </c>
      <c r="O65" s="2359" t="s">
        <v>2372</v>
      </c>
      <c r="P65" s="2360" t="s">
        <v>2373</v>
      </c>
      <c r="Q65" s="2361" t="s">
        <v>2374</v>
      </c>
      <c r="R65" s="2360" t="s">
        <v>2375</v>
      </c>
    </row>
    <row r="66" spans="1:18" s="2044" customFormat="1" ht="24.75" thickBot="1">
      <c r="A66" s="797" t="s">
        <v>1775</v>
      </c>
      <c r="B66" s="2963" t="s">
        <v>2816</v>
      </c>
      <c r="C66" s="799">
        <f ca="1">C47-C57</f>
        <v>0</v>
      </c>
      <c r="D66" s="2602" t="s">
        <v>699</v>
      </c>
      <c r="E66" s="2601"/>
      <c r="F66" s="820"/>
      <c r="K66" s="2071"/>
      <c r="O66" s="2362" t="s">
        <v>2376</v>
      </c>
      <c r="P66" s="2363" t="s">
        <v>2406</v>
      </c>
      <c r="Q66" s="2364" t="e">
        <f ca="1">C40+J29</f>
        <v>#DIV/0!</v>
      </c>
      <c r="R66" s="2363" t="s">
        <v>2377</v>
      </c>
    </row>
    <row r="67" spans="1:18" s="2044" customFormat="1" ht="20.25" thickBot="1">
      <c r="A67" s="781" t="s">
        <v>1779</v>
      </c>
      <c r="B67" s="2217" t="s">
        <v>2298</v>
      </c>
      <c r="C67" s="783" t="e">
        <f ca="1">ROUND(C66*(1-((1+F69)/(1+F67))^F68)/(F67-F69),0)</f>
        <v>#DIV/0!</v>
      </c>
      <c r="D67" s="814" t="s">
        <v>703</v>
      </c>
      <c r="E67" s="784" t="s">
        <v>704</v>
      </c>
      <c r="F67" s="794">
        <f ca="1">F40</f>
        <v>0</v>
      </c>
      <c r="K67" s="2071"/>
      <c r="O67" s="2362" t="s">
        <v>2378</v>
      </c>
      <c r="P67" s="2363" t="s">
        <v>2409</v>
      </c>
      <c r="Q67" s="2364" t="e">
        <f ca="1">L60</f>
        <v>#DIV/0!</v>
      </c>
      <c r="R67" s="2367" t="s">
        <v>2411</v>
      </c>
    </row>
    <row r="68" spans="1:18" ht="21.75" thickBot="1">
      <c r="A68" s="786"/>
      <c r="B68" s="787"/>
      <c r="C68" s="788"/>
      <c r="D68" s="821" t="s">
        <v>1807</v>
      </c>
      <c r="E68" s="784" t="s">
        <v>1783</v>
      </c>
      <c r="F68" s="822">
        <f ca="1">F41</f>
        <v>0</v>
      </c>
      <c r="O68" s="2365" t="s">
        <v>2380</v>
      </c>
      <c r="P68" s="2363" t="s">
        <v>2410</v>
      </c>
      <c r="Q68" s="2369">
        <f ca="1">L51</f>
        <v>0</v>
      </c>
      <c r="R68" s="2370" t="s">
        <v>2413</v>
      </c>
    </row>
    <row r="69" spans="1:18" ht="20.25" thickBot="1">
      <c r="A69" s="790"/>
      <c r="B69" s="791"/>
      <c r="C69" s="792"/>
      <c r="D69" s="816"/>
      <c r="E69" s="784" t="s">
        <v>709</v>
      </c>
      <c r="F69" s="2335"/>
      <c r="O69" s="2365" t="s">
        <v>2381</v>
      </c>
      <c r="P69" s="2371" t="s">
        <v>2395</v>
      </c>
      <c r="Q69" s="2364">
        <f ca="1">ROUND(Q70-Q71*Q72,0)</f>
        <v>0</v>
      </c>
      <c r="R69" s="2367"/>
    </row>
    <row r="70" spans="1:18" ht="15.75" thickBot="1">
      <c r="A70" s="823" t="s">
        <v>1786</v>
      </c>
      <c r="B70" s="824" t="s">
        <v>1809</v>
      </c>
      <c r="C70" s="825" t="e">
        <f ca="1">ROUND(C67*10000/F70,0)</f>
        <v>#DIV/0!</v>
      </c>
      <c r="D70" s="826" t="s">
        <v>1810</v>
      </c>
      <c r="E70" s="827" t="s">
        <v>1811</v>
      </c>
      <c r="F70" s="828">
        <f ca="1">F43</f>
        <v>0</v>
      </c>
      <c r="O70" s="2365" t="s">
        <v>2396</v>
      </c>
      <c r="P70" s="2371" t="s">
        <v>2397</v>
      </c>
      <c r="Q70" s="2364">
        <f ca="1">C39</f>
        <v>0</v>
      </c>
      <c r="R70" s="2363" t="s">
        <v>2377</v>
      </c>
    </row>
    <row r="71" spans="1:18" ht="15.75" thickBot="1">
      <c r="O71" s="2365" t="s">
        <v>2398</v>
      </c>
      <c r="P71" s="2371" t="s">
        <v>2399</v>
      </c>
      <c r="Q71" s="2364">
        <f ca="1">C13</f>
        <v>0</v>
      </c>
      <c r="R71" s="2363" t="s">
        <v>2377</v>
      </c>
    </row>
    <row r="72" spans="1:18" ht="15.75" thickBot="1">
      <c r="O72" s="2365" t="s">
        <v>2400</v>
      </c>
      <c r="P72" s="2371" t="s">
        <v>2401</v>
      </c>
      <c r="Q72" s="2366">
        <f ca="1">J36</f>
        <v>0</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建筑物剩余耐用年限下的土地年期修正系数Kn</v>
      </c>
      <c r="Q75" s="2364" t="e">
        <f ca="1">L59</f>
        <v>#DIV/0!</v>
      </c>
      <c r="R75" s="2367" t="s">
        <v>2394</v>
      </c>
    </row>
    <row r="76" spans="1:18" ht="15.75" thickBot="1">
      <c r="O76" s="2362" t="s">
        <v>2388</v>
      </c>
      <c r="P76" s="2363" t="s">
        <v>2405</v>
      </c>
      <c r="Q76" s="2364" t="e">
        <f ca="1">Q66+Q67</f>
        <v>#DIV/0!</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75" style="1332" customWidth="1"/>
    <col min="17" max="17" width="19.5" style="1332" customWidth="1"/>
    <col min="18" max="22" width="6.125" style="1332" customWidth="1"/>
    <col min="23" max="23" width="5.75" style="1332" customWidth="1"/>
    <col min="24" max="24" width="4.1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4"/>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520</v>
      </c>
      <c r="B4" s="513"/>
      <c r="C4" s="3399" t="s">
        <v>521</v>
      </c>
      <c r="D4" s="3400"/>
      <c r="E4" s="3424" t="s">
        <v>522</v>
      </c>
      <c r="F4" s="3425"/>
      <c r="G4" s="3399" t="s">
        <v>523</v>
      </c>
      <c r="H4" s="3400"/>
      <c r="I4" s="3399" t="s">
        <v>524</v>
      </c>
      <c r="J4" s="3400"/>
      <c r="K4" s="514" t="s">
        <v>525</v>
      </c>
      <c r="L4" s="2118"/>
      <c r="M4" s="2119"/>
      <c r="N4" s="2119"/>
      <c r="O4" s="2119"/>
      <c r="P4" s="3401" t="s">
        <v>526</v>
      </c>
      <c r="Q4" s="3402"/>
      <c r="R4" s="3387" t="s">
        <v>522</v>
      </c>
      <c r="S4" s="3388"/>
      <c r="T4" s="3387" t="s">
        <v>523</v>
      </c>
      <c r="U4" s="3388"/>
      <c r="V4" s="3407" t="s">
        <v>524</v>
      </c>
      <c r="W4" s="3407"/>
      <c r="X4" s="1553"/>
      <c r="Y4" s="3387" t="s">
        <v>526</v>
      </c>
      <c r="Z4" s="3388"/>
      <c r="AA4" s="3382" t="s">
        <v>522</v>
      </c>
      <c r="AB4" s="3407" t="s">
        <v>523</v>
      </c>
      <c r="AC4" s="3382" t="s">
        <v>524</v>
      </c>
    </row>
    <row r="5" spans="1:29" ht="15">
      <c r="A5" s="515"/>
      <c r="B5" s="516"/>
      <c r="C5" s="3412" t="s">
        <v>2914</v>
      </c>
      <c r="D5" s="3411"/>
      <c r="E5" s="3426" t="s">
        <v>2915</v>
      </c>
      <c r="F5" s="3427"/>
      <c r="G5" s="3412" t="s">
        <v>2916</v>
      </c>
      <c r="H5" s="3411"/>
      <c r="I5" s="3412" t="s">
        <v>2917</v>
      </c>
      <c r="J5" s="3411"/>
      <c r="K5" s="514"/>
      <c r="L5" s="2118"/>
      <c r="M5" s="2119"/>
      <c r="N5" s="2119"/>
      <c r="O5" s="2119"/>
      <c r="P5" s="3403"/>
      <c r="Q5" s="3404"/>
      <c r="R5" s="3389"/>
      <c r="S5" s="3390"/>
      <c r="T5" s="3389"/>
      <c r="U5" s="3390"/>
      <c r="V5" s="3407"/>
      <c r="W5" s="3407"/>
      <c r="X5" s="1553"/>
      <c r="Y5" s="3389"/>
      <c r="Z5" s="3390"/>
      <c r="AA5" s="3383"/>
      <c r="AB5" s="3407"/>
      <c r="AC5" s="3383"/>
    </row>
    <row r="6" spans="1:29" ht="15.75" thickBot="1">
      <c r="A6" s="517"/>
      <c r="B6" s="518"/>
      <c r="C6" s="3408" t="s">
        <v>2918</v>
      </c>
      <c r="D6" s="3409"/>
      <c r="E6" s="3428" t="s">
        <v>2918</v>
      </c>
      <c r="F6" s="3429"/>
      <c r="G6" s="3408" t="s">
        <v>2918</v>
      </c>
      <c r="H6" s="3409"/>
      <c r="I6" s="3408" t="s">
        <v>2918</v>
      </c>
      <c r="J6" s="3409"/>
      <c r="K6" s="514" t="s">
        <v>527</v>
      </c>
      <c r="L6" s="2118"/>
      <c r="M6" s="2119"/>
      <c r="N6" s="2119"/>
      <c r="O6" s="2119"/>
      <c r="P6" s="3405"/>
      <c r="Q6" s="3406"/>
      <c r="R6" s="3389"/>
      <c r="S6" s="3390"/>
      <c r="T6" s="3391"/>
      <c r="U6" s="3392"/>
      <c r="V6" s="3407"/>
      <c r="W6" s="3407"/>
      <c r="X6" s="1553"/>
      <c r="Y6" s="3391"/>
      <c r="Z6" s="3392"/>
      <c r="AA6" s="3384"/>
      <c r="AB6" s="3407"/>
      <c r="AC6" s="3384"/>
    </row>
    <row r="7" spans="1:29" s="1215" customFormat="1" ht="15.75" thickBot="1">
      <c r="A7" s="2867"/>
      <c r="B7" s="2874" t="s">
        <v>528</v>
      </c>
      <c r="C7" s="519">
        <f>'数据-取费表'!B2</f>
        <v>43961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85" t="s">
        <v>529</v>
      </c>
      <c r="Q7" s="3394"/>
      <c r="R7" s="1554" t="s">
        <v>8</v>
      </c>
      <c r="S7" s="1555">
        <f t="shared" ref="S7:S15" si="0">F7</f>
        <v>0</v>
      </c>
      <c r="T7" s="1554" t="s">
        <v>8</v>
      </c>
      <c r="U7" s="1555">
        <f t="shared" ref="U7:U15" si="1">H7</f>
        <v>0</v>
      </c>
      <c r="V7" s="1554" t="s">
        <v>8</v>
      </c>
      <c r="W7" s="1555">
        <f t="shared" ref="W7:W15" si="2">J7</f>
        <v>0</v>
      </c>
      <c r="X7" s="1556"/>
      <c r="Y7" s="3385" t="s">
        <v>529</v>
      </c>
      <c r="Z7" s="3386"/>
      <c r="AA7" s="1557" t="e">
        <f>D7/F7</f>
        <v>#DIV/0!</v>
      </c>
      <c r="AB7" s="1557" t="e">
        <f>D7/H7</f>
        <v>#DIV/0!</v>
      </c>
      <c r="AC7" s="1557" t="e">
        <f>D7/J7</f>
        <v>#DIV/0!</v>
      </c>
    </row>
    <row r="8" spans="1:29" s="1215" customFormat="1" ht="15.7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85" t="s">
        <v>532</v>
      </c>
      <c r="Q8" s="3386"/>
      <c r="R8" s="1554" t="s">
        <v>8</v>
      </c>
      <c r="S8" s="1555">
        <f t="shared" si="0"/>
        <v>0</v>
      </c>
      <c r="T8" s="1554" t="s">
        <v>8</v>
      </c>
      <c r="U8" s="1555">
        <f t="shared" si="1"/>
        <v>0</v>
      </c>
      <c r="V8" s="1554" t="s">
        <v>8</v>
      </c>
      <c r="W8" s="1555">
        <f t="shared" si="2"/>
        <v>0</v>
      </c>
      <c r="X8" s="1556"/>
      <c r="Y8" s="3385" t="s">
        <v>532</v>
      </c>
      <c r="Z8" s="3386"/>
      <c r="AA8" s="1557" t="e">
        <f t="shared" ref="AA8:AA46" si="3">D8/F8</f>
        <v>#DIV/0!</v>
      </c>
      <c r="AB8" s="1557" t="e">
        <f t="shared" ref="AB8:AB46" si="4">D8/H8</f>
        <v>#DIV/0!</v>
      </c>
      <c r="AC8" s="1557" t="e">
        <f t="shared" ref="AC8:AC46" si="5">D8/J8</f>
        <v>#DIV/0!</v>
      </c>
    </row>
    <row r="9" spans="1:29" s="1215" customFormat="1" ht="15">
      <c r="A9" s="2869"/>
      <c r="B9" s="2876"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93" t="s">
        <v>534</v>
      </c>
      <c r="Q9" s="1146" t="str">
        <f t="shared" ref="Q9:Q15" si="6">B9</f>
        <v>用途</v>
      </c>
      <c r="R9" s="1554" t="s">
        <v>8</v>
      </c>
      <c r="S9" s="1555">
        <f t="shared" si="0"/>
        <v>100</v>
      </c>
      <c r="T9" s="1554" t="s">
        <v>8</v>
      </c>
      <c r="U9" s="1555">
        <f t="shared" si="1"/>
        <v>100</v>
      </c>
      <c r="V9" s="1554" t="s">
        <v>8</v>
      </c>
      <c r="W9" s="1555">
        <f t="shared" si="2"/>
        <v>100</v>
      </c>
      <c r="X9" s="1556"/>
      <c r="Y9" s="3350" t="s">
        <v>535</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93"/>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93"/>
      <c r="Q11" s="1146" t="str">
        <f t="shared" si="6"/>
        <v>容积率</v>
      </c>
      <c r="R11" s="1554" t="s">
        <v>8</v>
      </c>
      <c r="S11" s="1555" t="e">
        <f t="shared" si="0"/>
        <v>#N/A</v>
      </c>
      <c r="T11" s="1554" t="s">
        <v>8</v>
      </c>
      <c r="U11" s="1555" t="e">
        <f t="shared" si="1"/>
        <v>#N/A</v>
      </c>
      <c r="V11" s="1554" t="s">
        <v>8</v>
      </c>
      <c r="W11" s="1555" t="e">
        <f t="shared" si="2"/>
        <v>#N/A</v>
      </c>
      <c r="X11" s="1556"/>
      <c r="Y11" s="3350"/>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93"/>
      <c r="Q12" s="1146">
        <f t="shared" si="6"/>
        <v>111</v>
      </c>
      <c r="R12" s="1554" t="s">
        <v>8</v>
      </c>
      <c r="S12" s="1555">
        <f t="shared" si="0"/>
        <v>100</v>
      </c>
      <c r="T12" s="1554" t="s">
        <v>8</v>
      </c>
      <c r="U12" s="1555">
        <f t="shared" si="1"/>
        <v>100</v>
      </c>
      <c r="V12" s="1554" t="s">
        <v>8</v>
      </c>
      <c r="W12" s="1555">
        <f t="shared" si="2"/>
        <v>100</v>
      </c>
      <c r="X12" s="1556"/>
      <c r="Y12" s="3350"/>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93"/>
      <c r="Q13" s="1146">
        <f t="shared" si="6"/>
        <v>111</v>
      </c>
      <c r="R13" s="1554" t="s">
        <v>8</v>
      </c>
      <c r="S13" s="1555">
        <f t="shared" si="0"/>
        <v>100</v>
      </c>
      <c r="T13" s="1554" t="s">
        <v>8</v>
      </c>
      <c r="U13" s="1555">
        <f t="shared" si="1"/>
        <v>100</v>
      </c>
      <c r="V13" s="1554" t="s">
        <v>8</v>
      </c>
      <c r="W13" s="1555">
        <f t="shared" si="2"/>
        <v>100</v>
      </c>
      <c r="X13" s="1556"/>
      <c r="Y13" s="3350"/>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93"/>
      <c r="Q14" s="1146">
        <f t="shared" si="6"/>
        <v>111</v>
      </c>
      <c r="R14" s="1554" t="s">
        <v>8</v>
      </c>
      <c r="S14" s="1555">
        <f t="shared" si="0"/>
        <v>100</v>
      </c>
      <c r="T14" s="1554" t="s">
        <v>8</v>
      </c>
      <c r="U14" s="1555">
        <f t="shared" si="1"/>
        <v>100</v>
      </c>
      <c r="V14" s="1554" t="s">
        <v>8</v>
      </c>
      <c r="W14" s="1555">
        <f t="shared" si="2"/>
        <v>100</v>
      </c>
      <c r="X14" s="1556"/>
      <c r="Y14" s="3350"/>
      <c r="Z14" s="1145">
        <f t="shared" si="7"/>
        <v>111</v>
      </c>
      <c r="AA14" s="1557">
        <f t="shared" si="3"/>
        <v>1</v>
      </c>
      <c r="AB14" s="1557">
        <f t="shared" si="4"/>
        <v>1</v>
      </c>
      <c r="AC14" s="1557">
        <f t="shared" si="5"/>
        <v>1</v>
      </c>
    </row>
    <row r="15" spans="1:29" ht="15">
      <c r="A15" s="2865" t="s">
        <v>2748</v>
      </c>
      <c r="B15" s="166" t="s">
        <v>540</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395" t="s">
        <v>539</v>
      </c>
      <c r="Q15" s="1558" t="str">
        <f t="shared" si="6"/>
        <v>商业繁华度</v>
      </c>
      <c r="R15" s="1559" t="s">
        <v>8</v>
      </c>
      <c r="S15" s="1560">
        <f t="shared" si="0"/>
        <v>100</v>
      </c>
      <c r="T15" s="1559" t="s">
        <v>8</v>
      </c>
      <c r="U15" s="1560">
        <f t="shared" si="1"/>
        <v>100</v>
      </c>
      <c r="V15" s="1559" t="s">
        <v>8</v>
      </c>
      <c r="W15" s="1560">
        <f t="shared" si="2"/>
        <v>100</v>
      </c>
      <c r="X15" s="1553"/>
      <c r="Y15" s="3395"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396"/>
      <c r="Q16" s="1558"/>
      <c r="R16" s="1559"/>
      <c r="S16" s="1560"/>
      <c r="T16" s="1559"/>
      <c r="U16" s="1560"/>
      <c r="V16" s="1559"/>
      <c r="W16" s="1560"/>
      <c r="X16" s="1553"/>
      <c r="Y16" s="3396"/>
      <c r="Z16" s="1561"/>
      <c r="AA16" s="1562">
        <v>1</v>
      </c>
      <c r="AB16" s="1562">
        <v>1</v>
      </c>
      <c r="AC16" s="1562">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396"/>
      <c r="Q17" s="1558" t="str">
        <f>B17</f>
        <v>交通便捷度</v>
      </c>
      <c r="R17" s="1559" t="s">
        <v>8</v>
      </c>
      <c r="S17" s="1560">
        <f>F17</f>
        <v>100</v>
      </c>
      <c r="T17" s="1559" t="s">
        <v>8</v>
      </c>
      <c r="U17" s="1560">
        <f>H17</f>
        <v>100</v>
      </c>
      <c r="V17" s="1559" t="s">
        <v>8</v>
      </c>
      <c r="W17" s="1560">
        <f>J17</f>
        <v>100</v>
      </c>
      <c r="X17" s="1553"/>
      <c r="Y17" s="339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396"/>
      <c r="Q18" s="1558"/>
      <c r="R18" s="1559"/>
      <c r="S18" s="1560"/>
      <c r="T18" s="1559"/>
      <c r="U18" s="1560"/>
      <c r="V18" s="1559"/>
      <c r="W18" s="1560"/>
      <c r="X18" s="1553"/>
      <c r="Y18" s="3396"/>
      <c r="Z18" s="1561"/>
      <c r="AA18" s="1562">
        <v>1</v>
      </c>
      <c r="AB18" s="1562">
        <v>1</v>
      </c>
      <c r="AC18" s="1562">
        <v>1</v>
      </c>
    </row>
    <row r="19" spans="1:29" ht="15">
      <c r="A19" s="532"/>
      <c r="B19" s="2564" t="s">
        <v>2541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396"/>
      <c r="Q19" s="1558" t="str">
        <f>B19</f>
        <v>公共配套设施</v>
      </c>
      <c r="R19" s="1559" t="s">
        <v>8</v>
      </c>
      <c r="S19" s="1560">
        <f>F19</f>
        <v>100</v>
      </c>
      <c r="T19" s="1559" t="s">
        <v>8</v>
      </c>
      <c r="U19" s="1560">
        <f>H19</f>
        <v>100</v>
      </c>
      <c r="V19" s="1559" t="s">
        <v>8</v>
      </c>
      <c r="W19" s="1560">
        <f>J19</f>
        <v>100</v>
      </c>
      <c r="X19" s="1553"/>
      <c r="Y19" s="339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396"/>
      <c r="Q20" s="1558"/>
      <c r="R20" s="1559"/>
      <c r="S20" s="1560"/>
      <c r="T20" s="1559"/>
      <c r="U20" s="1560"/>
      <c r="V20" s="1559"/>
      <c r="W20" s="1560"/>
      <c r="X20" s="1553"/>
      <c r="Y20" s="3396"/>
      <c r="Z20" s="1561"/>
      <c r="AA20" s="1562">
        <v>1</v>
      </c>
      <c r="AB20" s="1562">
        <v>1</v>
      </c>
      <c r="AC20" s="1562">
        <v>1</v>
      </c>
    </row>
    <row r="21" spans="1:29" ht="15">
      <c r="A21" s="532"/>
      <c r="B21" s="2557"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396"/>
      <c r="Q21" s="2543" t="str">
        <f>B21</f>
        <v>基础设施水平</v>
      </c>
      <c r="R21" s="1559" t="s">
        <v>8</v>
      </c>
      <c r="S21" s="1560">
        <f>F21</f>
        <v>100</v>
      </c>
      <c r="T21" s="1559" t="s">
        <v>8</v>
      </c>
      <c r="U21" s="1560">
        <f>H21</f>
        <v>100</v>
      </c>
      <c r="V21" s="1559" t="s">
        <v>8</v>
      </c>
      <c r="W21" s="1560">
        <f>J21</f>
        <v>100</v>
      </c>
      <c r="X21" s="2545"/>
      <c r="Y21" s="3396"/>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396"/>
      <c r="Q22" s="2543"/>
      <c r="R22" s="1559"/>
      <c r="S22" s="1560"/>
      <c r="T22" s="1559"/>
      <c r="U22" s="1560"/>
      <c r="V22" s="1559"/>
      <c r="W22" s="1560"/>
      <c r="X22" s="2545"/>
      <c r="Y22" s="3396"/>
      <c r="Z22" s="2544"/>
      <c r="AA22" s="1562">
        <v>1</v>
      </c>
      <c r="AB22" s="1562">
        <v>1</v>
      </c>
      <c r="AC22" s="1562">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396"/>
      <c r="Q23" s="1558" t="str">
        <f>B23</f>
        <v>自然及人文环境</v>
      </c>
      <c r="R23" s="1559" t="s">
        <v>8</v>
      </c>
      <c r="S23" s="1560">
        <f>F23</f>
        <v>100</v>
      </c>
      <c r="T23" s="1559" t="s">
        <v>8</v>
      </c>
      <c r="U23" s="1560">
        <f>H23</f>
        <v>100</v>
      </c>
      <c r="V23" s="1559" t="s">
        <v>8</v>
      </c>
      <c r="W23" s="1560">
        <f>J23</f>
        <v>100</v>
      </c>
      <c r="X23" s="1553"/>
      <c r="Y23" s="339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396"/>
      <c r="Q24" s="1558"/>
      <c r="R24" s="1559"/>
      <c r="S24" s="1560"/>
      <c r="T24" s="1559"/>
      <c r="U24" s="1560"/>
      <c r="V24" s="1559"/>
      <c r="W24" s="1560"/>
      <c r="X24" s="1553"/>
      <c r="Y24" s="3396"/>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6"/>
      <c r="Q25" s="1558" t="str">
        <f t="shared" ref="Q25:Q46" si="11">B25</f>
        <v>临街状况</v>
      </c>
      <c r="R25" s="1559" t="s">
        <v>8</v>
      </c>
      <c r="S25" s="1560">
        <f>F25</f>
        <v>100</v>
      </c>
      <c r="T25" s="1559" t="s">
        <v>8</v>
      </c>
      <c r="U25" s="1560">
        <f>H25</f>
        <v>100</v>
      </c>
      <c r="V25" s="1559" t="s">
        <v>8</v>
      </c>
      <c r="W25" s="1560">
        <f>J25</f>
        <v>100</v>
      </c>
      <c r="X25" s="1553"/>
      <c r="Y25" s="3396"/>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6"/>
      <c r="Q26" s="1558" t="str">
        <f t="shared" si="11"/>
        <v>平面位置/可视性</v>
      </c>
      <c r="R26" s="1559" t="s">
        <v>8</v>
      </c>
      <c r="S26" s="1560">
        <f>F26</f>
        <v>100</v>
      </c>
      <c r="T26" s="1559" t="s">
        <v>8</v>
      </c>
      <c r="U26" s="1560">
        <f>H26</f>
        <v>100</v>
      </c>
      <c r="V26" s="1559" t="s">
        <v>8</v>
      </c>
      <c r="W26" s="1560">
        <f>J26</f>
        <v>100</v>
      </c>
      <c r="X26" s="1553"/>
      <c r="Y26" s="3396"/>
      <c r="Z26" s="1561" t="str">
        <f>Q26</f>
        <v>平面位置/可视性</v>
      </c>
      <c r="AA26" s="1562">
        <f t="shared" si="3"/>
        <v>1</v>
      </c>
      <c r="AB26" s="1562">
        <f t="shared" si="4"/>
        <v>1</v>
      </c>
      <c r="AC26" s="1562">
        <f t="shared" si="5"/>
        <v>1</v>
      </c>
    </row>
    <row r="27" spans="1:29" s="1215"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396"/>
      <c r="Q27" s="1146" t="str">
        <f t="shared" si="11"/>
        <v>人流量</v>
      </c>
      <c r="R27" s="1554" t="s">
        <v>8</v>
      </c>
      <c r="S27" s="1555">
        <f>F27</f>
        <v>100</v>
      </c>
      <c r="T27" s="1554" t="s">
        <v>8</v>
      </c>
      <c r="U27" s="1555">
        <f>H27</f>
        <v>100</v>
      </c>
      <c r="V27" s="1554" t="s">
        <v>8</v>
      </c>
      <c r="W27" s="1555">
        <f>J27</f>
        <v>100</v>
      </c>
      <c r="X27" s="1556"/>
      <c r="Y27" s="3396"/>
      <c r="Z27" s="1145"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6"/>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6"/>
      <c r="Q29" s="1558">
        <f t="shared" si="11"/>
        <v>111</v>
      </c>
      <c r="R29" s="1559" t="s">
        <v>8</v>
      </c>
      <c r="S29" s="1560">
        <f t="shared" si="12"/>
        <v>100</v>
      </c>
      <c r="T29" s="1559" t="s">
        <v>8</v>
      </c>
      <c r="U29" s="1560">
        <f t="shared" si="13"/>
        <v>100</v>
      </c>
      <c r="V29" s="1559" t="s">
        <v>8</v>
      </c>
      <c r="W29" s="1560">
        <f t="shared" si="14"/>
        <v>100</v>
      </c>
      <c r="X29" s="1553"/>
      <c r="Y29" s="339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6"/>
      <c r="Q30" s="1558">
        <f t="shared" si="11"/>
        <v>111</v>
      </c>
      <c r="R30" s="1559" t="s">
        <v>8</v>
      </c>
      <c r="S30" s="1560">
        <f t="shared" si="12"/>
        <v>100</v>
      </c>
      <c r="T30" s="1559" t="s">
        <v>8</v>
      </c>
      <c r="U30" s="1560">
        <f t="shared" si="13"/>
        <v>100</v>
      </c>
      <c r="V30" s="1559" t="s">
        <v>8</v>
      </c>
      <c r="W30" s="1560">
        <f t="shared" si="14"/>
        <v>100</v>
      </c>
      <c r="X30" s="1553"/>
      <c r="Y30" s="3396"/>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6"/>
      <c r="Q31" s="1558">
        <f t="shared" si="11"/>
        <v>111</v>
      </c>
      <c r="R31" s="1559" t="s">
        <v>8</v>
      </c>
      <c r="S31" s="1560">
        <f t="shared" si="12"/>
        <v>100</v>
      </c>
      <c r="T31" s="1559" t="s">
        <v>8</v>
      </c>
      <c r="U31" s="1560">
        <f t="shared" si="13"/>
        <v>100</v>
      </c>
      <c r="V31" s="1559" t="s">
        <v>8</v>
      </c>
      <c r="W31" s="1560">
        <f t="shared" si="14"/>
        <v>100</v>
      </c>
      <c r="X31" s="1553"/>
      <c r="Y31" s="3396"/>
      <c r="Z31" s="1561">
        <f t="shared" si="15"/>
        <v>111</v>
      </c>
      <c r="AA31" s="1562">
        <f t="shared" si="3"/>
        <v>1</v>
      </c>
      <c r="AB31" s="1562">
        <f t="shared" si="4"/>
        <v>1</v>
      </c>
      <c r="AC31" s="1562">
        <f t="shared" si="5"/>
        <v>1</v>
      </c>
    </row>
    <row r="32" spans="1:29" ht="15">
      <c r="A32" s="2862" t="s">
        <v>2749</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97" t="s">
        <v>549</v>
      </c>
      <c r="Q32" s="1558" t="str">
        <f t="shared" si="11"/>
        <v>商业类型</v>
      </c>
      <c r="R32" s="1559" t="s">
        <v>8</v>
      </c>
      <c r="S32" s="1560">
        <f t="shared" si="12"/>
        <v>100</v>
      </c>
      <c r="T32" s="1559" t="s">
        <v>8</v>
      </c>
      <c r="U32" s="1560">
        <f t="shared" si="13"/>
        <v>100</v>
      </c>
      <c r="V32" s="1559" t="s">
        <v>8</v>
      </c>
      <c r="W32" s="1560">
        <f t="shared" si="14"/>
        <v>100</v>
      </c>
      <c r="X32" s="1553"/>
      <c r="Y32" s="3398" t="s">
        <v>549</v>
      </c>
      <c r="Z32" s="1561" t="str">
        <f t="shared" si="15"/>
        <v>商业类型</v>
      </c>
      <c r="AA32" s="1562">
        <f t="shared" si="3"/>
        <v>1</v>
      </c>
      <c r="AB32" s="1562">
        <f t="shared" si="4"/>
        <v>1</v>
      </c>
      <c r="AC32" s="1562">
        <f t="shared" si="5"/>
        <v>1</v>
      </c>
    </row>
    <row r="33" spans="1:29" s="1334"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98"/>
      <c r="Q33" s="1590" t="str">
        <f t="shared" si="11"/>
        <v>项目建筑规模</v>
      </c>
      <c r="R33" s="1563" t="s">
        <v>8</v>
      </c>
      <c r="S33" s="1564" t="e">
        <f t="shared" si="12"/>
        <v>#N/A</v>
      </c>
      <c r="T33" s="1563" t="s">
        <v>8</v>
      </c>
      <c r="U33" s="1564" t="e">
        <f t="shared" si="13"/>
        <v>#N/A</v>
      </c>
      <c r="V33" s="1563" t="s">
        <v>8</v>
      </c>
      <c r="W33" s="1564" t="e">
        <f t="shared" si="14"/>
        <v>#N/A</v>
      </c>
      <c r="X33" s="1565"/>
      <c r="Y33" s="3398"/>
      <c r="Z33" s="1566" t="str">
        <f t="shared" si="15"/>
        <v>项目建筑规模</v>
      </c>
      <c r="AA33" s="1562" t="e">
        <f t="shared" si="3"/>
        <v>#N/A</v>
      </c>
      <c r="AB33" s="1562" t="e">
        <f t="shared" si="4"/>
        <v>#N/A</v>
      </c>
      <c r="AC33" s="1562"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398"/>
      <c r="Q34" s="1558" t="str">
        <f t="shared" si="11"/>
        <v>建筑结构</v>
      </c>
      <c r="R34" s="1559" t="s">
        <v>8</v>
      </c>
      <c r="S34" s="1560">
        <f t="shared" si="12"/>
        <v>100</v>
      </c>
      <c r="T34" s="1559" t="s">
        <v>8</v>
      </c>
      <c r="U34" s="1560">
        <f t="shared" si="13"/>
        <v>100</v>
      </c>
      <c r="V34" s="1559" t="s">
        <v>8</v>
      </c>
      <c r="W34" s="1560">
        <f t="shared" si="14"/>
        <v>100</v>
      </c>
      <c r="X34" s="1553"/>
      <c r="Y34" s="3398"/>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98"/>
      <c r="Q35" s="1558" t="str">
        <f t="shared" si="11"/>
        <v>公共部分装修</v>
      </c>
      <c r="R35" s="1559" t="s">
        <v>8</v>
      </c>
      <c r="S35" s="1560">
        <f t="shared" si="12"/>
        <v>100</v>
      </c>
      <c r="T35" s="1559" t="s">
        <v>8</v>
      </c>
      <c r="U35" s="1560">
        <f t="shared" si="13"/>
        <v>100</v>
      </c>
      <c r="V35" s="1559" t="s">
        <v>8</v>
      </c>
      <c r="W35" s="1560">
        <f t="shared" si="14"/>
        <v>100</v>
      </c>
      <c r="X35" s="1553"/>
      <c r="Y35" s="3398"/>
      <c r="Z35" s="1561" t="str">
        <f t="shared" si="15"/>
        <v>公共部分装修</v>
      </c>
      <c r="AA35" s="1562">
        <f t="shared" si="3"/>
        <v>1</v>
      </c>
      <c r="AB35" s="1562">
        <f t="shared" si="4"/>
        <v>1</v>
      </c>
      <c r="AC35" s="1562">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398"/>
      <c r="Q36" s="1558" t="str">
        <f t="shared" si="11"/>
        <v>成新度</v>
      </c>
      <c r="R36" s="1559" t="s">
        <v>8</v>
      </c>
      <c r="S36" s="1560" t="e">
        <f t="shared" si="12"/>
        <v>#N/A</v>
      </c>
      <c r="T36" s="1559" t="s">
        <v>8</v>
      </c>
      <c r="U36" s="1560" t="e">
        <f t="shared" si="13"/>
        <v>#N/A</v>
      </c>
      <c r="V36" s="1559" t="s">
        <v>8</v>
      </c>
      <c r="W36" s="1560" t="e">
        <f t="shared" si="14"/>
        <v>#N/A</v>
      </c>
      <c r="X36" s="1553"/>
      <c r="Y36" s="3398"/>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98"/>
      <c r="Q37" s="1146" t="str">
        <f t="shared" si="11"/>
        <v>市政基础设施</v>
      </c>
      <c r="R37" s="1554" t="s">
        <v>8</v>
      </c>
      <c r="S37" s="1555">
        <f t="shared" si="12"/>
        <v>100</v>
      </c>
      <c r="T37" s="1554" t="s">
        <v>8</v>
      </c>
      <c r="U37" s="1555">
        <f t="shared" si="13"/>
        <v>100</v>
      </c>
      <c r="V37" s="1554" t="s">
        <v>8</v>
      </c>
      <c r="W37" s="1555">
        <f t="shared" si="14"/>
        <v>100</v>
      </c>
      <c r="X37" s="1556"/>
      <c r="Y37" s="3398"/>
      <c r="Z37" s="1145"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98" t="s">
        <v>765</v>
      </c>
      <c r="Q38" s="1558" t="str">
        <f t="shared" si="11"/>
        <v>业态</v>
      </c>
      <c r="R38" s="1559" t="s">
        <v>8</v>
      </c>
      <c r="S38" s="1560">
        <f t="shared" si="12"/>
        <v>100</v>
      </c>
      <c r="T38" s="1559" t="s">
        <v>8</v>
      </c>
      <c r="U38" s="1560">
        <f t="shared" si="13"/>
        <v>100</v>
      </c>
      <c r="V38" s="1559" t="s">
        <v>8</v>
      </c>
      <c r="W38" s="1560">
        <f t="shared" si="14"/>
        <v>100</v>
      </c>
      <c r="X38" s="1553"/>
      <c r="Y38" s="3398"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8"/>
      <c r="Q39" s="1558" t="str">
        <f t="shared" si="11"/>
        <v>层高</v>
      </c>
      <c r="R39" s="1559" t="s">
        <v>8</v>
      </c>
      <c r="S39" s="1560">
        <f t="shared" si="12"/>
        <v>100</v>
      </c>
      <c r="T39" s="1559" t="s">
        <v>8</v>
      </c>
      <c r="U39" s="1560">
        <f t="shared" si="13"/>
        <v>100</v>
      </c>
      <c r="V39" s="1559" t="s">
        <v>8</v>
      </c>
      <c r="W39" s="1560">
        <f t="shared" si="14"/>
        <v>100</v>
      </c>
      <c r="X39" s="1553"/>
      <c r="Y39" s="3398"/>
      <c r="Z39" s="1561" t="str">
        <f t="shared" si="15"/>
        <v>层高</v>
      </c>
      <c r="AA39" s="1562">
        <f t="shared" si="3"/>
        <v>1</v>
      </c>
      <c r="AB39" s="1562">
        <f t="shared" si="4"/>
        <v>1</v>
      </c>
      <c r="AC39" s="1562">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398"/>
      <c r="Q40" s="1558" t="str">
        <f t="shared" si="11"/>
        <v>单套建筑面积</v>
      </c>
      <c r="R40" s="1559" t="s">
        <v>8</v>
      </c>
      <c r="S40" s="1560">
        <f t="shared" si="12"/>
        <v>100</v>
      </c>
      <c r="T40" s="1559" t="s">
        <v>8</v>
      </c>
      <c r="U40" s="1560">
        <f t="shared" si="13"/>
        <v>100</v>
      </c>
      <c r="V40" s="1559" t="s">
        <v>8</v>
      </c>
      <c r="W40" s="1560">
        <f t="shared" si="14"/>
        <v>100</v>
      </c>
      <c r="X40" s="1553"/>
      <c r="Y40" s="3398"/>
      <c r="Z40" s="1561" t="str">
        <f t="shared" si="15"/>
        <v>单套建筑面积</v>
      </c>
      <c r="AA40" s="1562">
        <f t="shared" si="3"/>
        <v>1</v>
      </c>
      <c r="AB40" s="1562">
        <f t="shared" si="4"/>
        <v>1</v>
      </c>
      <c r="AC40" s="1562">
        <f t="shared" si="5"/>
        <v>1</v>
      </c>
    </row>
    <row r="41" spans="1:29" s="1334"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98"/>
      <c r="Q41" s="1590" t="str">
        <f t="shared" si="11"/>
        <v>进深比</v>
      </c>
      <c r="R41" s="1563" t="s">
        <v>8</v>
      </c>
      <c r="S41" s="1564">
        <f t="shared" si="12"/>
        <v>100</v>
      </c>
      <c r="T41" s="1563" t="s">
        <v>8</v>
      </c>
      <c r="U41" s="1564">
        <f t="shared" si="13"/>
        <v>100</v>
      </c>
      <c r="V41" s="1563" t="s">
        <v>8</v>
      </c>
      <c r="W41" s="1564">
        <f t="shared" si="14"/>
        <v>100</v>
      </c>
      <c r="X41" s="1565"/>
      <c r="Y41" s="3398"/>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98"/>
      <c r="Q42" s="1558" t="str">
        <f t="shared" si="11"/>
        <v>内部装修</v>
      </c>
      <c r="R42" s="1559" t="s">
        <v>8</v>
      </c>
      <c r="S42" s="1560">
        <f t="shared" si="12"/>
        <v>100</v>
      </c>
      <c r="T42" s="1559" t="s">
        <v>8</v>
      </c>
      <c r="U42" s="1560">
        <f t="shared" si="13"/>
        <v>100</v>
      </c>
      <c r="V42" s="1559" t="s">
        <v>8</v>
      </c>
      <c r="W42" s="1560">
        <f t="shared" si="14"/>
        <v>100</v>
      </c>
      <c r="X42" s="1553"/>
      <c r="Y42" s="3398"/>
      <c r="Z42" s="1561" t="str">
        <f t="shared" si="15"/>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98"/>
      <c r="Q43" s="1558" t="str">
        <f t="shared" si="11"/>
        <v>内部装修维护情况</v>
      </c>
      <c r="R43" s="1559" t="s">
        <v>8</v>
      </c>
      <c r="S43" s="1560">
        <f t="shared" si="12"/>
        <v>100</v>
      </c>
      <c r="T43" s="1559" t="s">
        <v>8</v>
      </c>
      <c r="U43" s="1560">
        <f t="shared" si="13"/>
        <v>100</v>
      </c>
      <c r="V43" s="1559" t="s">
        <v>8</v>
      </c>
      <c r="W43" s="1560">
        <f t="shared" si="14"/>
        <v>100</v>
      </c>
      <c r="X43" s="1553"/>
      <c r="Y43" s="3398"/>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98"/>
      <c r="Q44" s="1146">
        <f t="shared" si="11"/>
        <v>111</v>
      </c>
      <c r="R44" s="1554" t="s">
        <v>8</v>
      </c>
      <c r="S44" s="1555">
        <f t="shared" si="12"/>
        <v>100</v>
      </c>
      <c r="T44" s="1554" t="s">
        <v>8</v>
      </c>
      <c r="U44" s="1555">
        <f t="shared" si="13"/>
        <v>100</v>
      </c>
      <c r="V44" s="1554" t="s">
        <v>8</v>
      </c>
      <c r="W44" s="1555">
        <f t="shared" si="14"/>
        <v>100</v>
      </c>
      <c r="X44" s="1556"/>
      <c r="Y44" s="3398"/>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98"/>
      <c r="Q45" s="1558">
        <f t="shared" si="11"/>
        <v>111</v>
      </c>
      <c r="R45" s="1559" t="s">
        <v>8</v>
      </c>
      <c r="S45" s="1560">
        <f t="shared" si="12"/>
        <v>100</v>
      </c>
      <c r="T45" s="1559" t="s">
        <v>8</v>
      </c>
      <c r="U45" s="1560">
        <f t="shared" si="13"/>
        <v>100</v>
      </c>
      <c r="V45" s="1559" t="s">
        <v>8</v>
      </c>
      <c r="W45" s="1560">
        <f t="shared" si="14"/>
        <v>100</v>
      </c>
      <c r="X45" s="1553"/>
      <c r="Y45" s="3398"/>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8"/>
      <c r="Q46" s="1558">
        <f t="shared" si="11"/>
        <v>111</v>
      </c>
      <c r="R46" s="1559" t="s">
        <v>8</v>
      </c>
      <c r="S46" s="1560">
        <f t="shared" si="12"/>
        <v>100</v>
      </c>
      <c r="T46" s="1559" t="s">
        <v>8</v>
      </c>
      <c r="U46" s="1560">
        <f t="shared" si="13"/>
        <v>100</v>
      </c>
      <c r="V46" s="1559" t="s">
        <v>8</v>
      </c>
      <c r="W46" s="1560">
        <f t="shared" si="14"/>
        <v>100</v>
      </c>
      <c r="X46" s="1553"/>
      <c r="Y46" s="3498"/>
      <c r="Z46" s="1561">
        <f t="shared" si="15"/>
        <v>111</v>
      </c>
      <c r="AA46" s="1562">
        <f t="shared" si="3"/>
        <v>1</v>
      </c>
      <c r="AB46" s="1562">
        <f t="shared" si="4"/>
        <v>1</v>
      </c>
      <c r="AC46" s="1562">
        <f t="shared" si="5"/>
        <v>1</v>
      </c>
    </row>
    <row r="47" spans="1:29" ht="15">
      <c r="A47" s="607" t="s">
        <v>735</v>
      </c>
      <c r="B47" s="886"/>
      <c r="C47" s="2591" t="s">
        <v>1</v>
      </c>
      <c r="D47" s="2592"/>
      <c r="E47" s="2593"/>
      <c r="F47" s="2594"/>
      <c r="G47" s="2595"/>
      <c r="H47" s="2596"/>
      <c r="I47" s="2593"/>
      <c r="J47" s="2596"/>
      <c r="K47" s="1596"/>
      <c r="L47" s="2129"/>
      <c r="M47" s="2130"/>
      <c r="N47" s="2119"/>
      <c r="O47" s="2130"/>
      <c r="P47" s="3393" t="str">
        <f>A47</f>
        <v>成交单价（元/平方米）</v>
      </c>
      <c r="Q47" s="3393"/>
      <c r="R47" s="3497">
        <f>E47</f>
        <v>0</v>
      </c>
      <c r="S47" s="3497"/>
      <c r="T47" s="3497">
        <f>G47</f>
        <v>0</v>
      </c>
      <c r="U47" s="3497"/>
      <c r="V47" s="3497">
        <f>I47</f>
        <v>0</v>
      </c>
      <c r="W47" s="3497"/>
      <c r="X47" s="1545"/>
      <c r="Y47" s="1567"/>
      <c r="Z47" s="1545"/>
      <c r="AA47" s="1545"/>
      <c r="AB47" s="1545"/>
      <c r="AC47" s="1545"/>
    </row>
    <row r="48" spans="1:29" ht="15.75" thickBot="1">
      <c r="A48" s="615" t="s">
        <v>2754</v>
      </c>
      <c r="B48" s="887"/>
      <c r="C48" s="2597" t="e">
        <f>R49</f>
        <v>#DIV/0!</v>
      </c>
      <c r="D48" s="2598"/>
      <c r="E48" s="2599" t="e">
        <f>R48</f>
        <v>#DIV/0!</v>
      </c>
      <c r="F48" s="2599"/>
      <c r="G48" s="2597" t="e">
        <f>T48</f>
        <v>#DIV/0!</v>
      </c>
      <c r="H48" s="2598"/>
      <c r="I48" s="2599" t="e">
        <f>V48</f>
        <v>#DIV/0!</v>
      </c>
      <c r="J48" s="2598"/>
      <c r="K48" s="1597"/>
      <c r="L48" s="2129"/>
      <c r="M48" s="2130"/>
      <c r="N48" s="2119"/>
      <c r="O48" s="2130"/>
      <c r="P48" s="3393" t="str">
        <f>A48</f>
        <v>比较价格（元/平方米）</v>
      </c>
      <c r="Q48" s="3393"/>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5"/>
      <c r="Y48" s="1545"/>
      <c r="Z48" s="1545"/>
      <c r="AA48" s="1545"/>
      <c r="AB48" s="1545"/>
      <c r="AC48" s="1545"/>
    </row>
    <row r="49" spans="1:29" ht="15.75" thickBot="1">
      <c r="A49" s="621" t="s">
        <v>2920</v>
      </c>
      <c r="B49" s="622"/>
      <c r="C49" s="2600" t="e">
        <f>R49</f>
        <v>#DIV/0!</v>
      </c>
      <c r="D49" s="2600"/>
      <c r="E49" s="2600"/>
      <c r="F49" s="2600"/>
      <c r="G49" s="2600"/>
      <c r="H49" s="2600"/>
      <c r="I49" s="2600"/>
      <c r="J49" s="2600"/>
      <c r="K49" s="1598"/>
      <c r="L49" s="2129"/>
      <c r="M49" s="2130"/>
      <c r="N49" s="2119"/>
      <c r="O49" s="2130"/>
      <c r="P49" s="3415" t="str">
        <f>A49</f>
        <v>估价对象XX用房的比较价格（楼面单价，元/平方米）</v>
      </c>
      <c r="Q49" s="3416"/>
      <c r="R49" s="3496" t="e">
        <f>IF(F1="售价",ROUND(AVERAGE(R48:V48),0),ROUND(AVERAGE(R48:V48),1))</f>
        <v>#DIV/0!</v>
      </c>
      <c r="S49" s="3496"/>
      <c r="T49" s="3496"/>
      <c r="U49" s="3496"/>
      <c r="V49" s="3496"/>
      <c r="W49" s="349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528</v>
      </c>
      <c r="B58" s="646"/>
      <c r="C58" s="2757"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770</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受贵公司委托，我公司对河南省郑州市管城区出让国有建设用地使用权抵押价格进行了预评估。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7" spans="1:4" ht="93.75">
      <c r="A7" s="2828" t="s">
        <v>2742</v>
      </c>
    </row>
    <row r="8" spans="1:4" ht="18.75">
      <c r="A8" s="1779" t="s">
        <v>1905</v>
      </c>
    </row>
    <row r="9" spans="1:4" ht="75">
      <c r="A9" s="1781" t="str">
        <f>IF(项目基本情况!B8="抵押",IF(项目基本情况!B5=项目基本情况!B6,定义!C51,定义!B51),定义!D51)</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2020年5月10日（评估专业人员勘察现场之日）</v>
      </c>
    </row>
    <row r="12" spans="1:4" ht="18.75">
      <c r="A12" s="1782" t="s">
        <v>2022</v>
      </c>
    </row>
    <row r="13" spans="1:4" ht="18.75">
      <c r="A13" s="1776" t="s">
        <v>2068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根据《国有土地使用证》[]，估价对象（分摊）出让国有建设用地使用权面积为817.26平方米。根据《建设工程规划许可证》[]、《出让合同》[]，估价对象规划建筑面积为4086平方米。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2071</v>
      </c>
    </row>
    <row r="23" spans="1:1" ht="18.75">
      <c r="A23" s="2830" t="s">
        <v>2743</v>
      </c>
    </row>
    <row r="24" spans="1:1" ht="18.75">
      <c r="A24" s="1776" t="s">
        <v>2072</v>
      </c>
    </row>
    <row r="25" spans="1:1" ht="75">
      <c r="A25" s="1776" t="str">
        <f>定义!C53</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75" style="2206" customWidth="1"/>
    <col min="17" max="17" width="19.5" style="1332" customWidth="1"/>
    <col min="18" max="22" width="6.125" style="1332" customWidth="1"/>
    <col min="23" max="23" width="5.75" style="1332" customWidth="1"/>
    <col min="24" max="24" width="4.1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9"/>
      <c r="E1" s="506"/>
      <c r="F1" s="2762"/>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520</v>
      </c>
      <c r="B4" s="513"/>
      <c r="C4" s="3399" t="s">
        <v>521</v>
      </c>
      <c r="D4" s="3400"/>
      <c r="E4" s="3424" t="s">
        <v>522</v>
      </c>
      <c r="F4" s="3425"/>
      <c r="G4" s="3399" t="s">
        <v>523</v>
      </c>
      <c r="H4" s="3400"/>
      <c r="I4" s="3399" t="s">
        <v>524</v>
      </c>
      <c r="J4" s="3400"/>
      <c r="K4" s="514" t="s">
        <v>525</v>
      </c>
      <c r="L4" s="2118"/>
      <c r="M4" s="2119"/>
      <c r="N4" s="2119"/>
      <c r="O4" s="2119"/>
      <c r="P4" s="3501" t="s">
        <v>526</v>
      </c>
      <c r="Q4" s="3402"/>
      <c r="R4" s="3387" t="s">
        <v>522</v>
      </c>
      <c r="S4" s="3388"/>
      <c r="T4" s="3387" t="s">
        <v>523</v>
      </c>
      <c r="U4" s="3388"/>
      <c r="V4" s="3407" t="s">
        <v>524</v>
      </c>
      <c r="W4" s="3407"/>
      <c r="X4" s="1553"/>
      <c r="Y4" s="3387" t="s">
        <v>526</v>
      </c>
      <c r="Z4" s="3388"/>
      <c r="AA4" s="3382" t="s">
        <v>522</v>
      </c>
      <c r="AB4" s="3382" t="s">
        <v>523</v>
      </c>
      <c r="AC4" s="3382" t="s">
        <v>524</v>
      </c>
    </row>
    <row r="5" spans="1:29" ht="15">
      <c r="A5" s="515"/>
      <c r="B5" s="516"/>
      <c r="C5" s="3412" t="s">
        <v>2914</v>
      </c>
      <c r="D5" s="3411"/>
      <c r="E5" s="3426" t="s">
        <v>2915</v>
      </c>
      <c r="F5" s="3427"/>
      <c r="G5" s="3412" t="s">
        <v>2916</v>
      </c>
      <c r="H5" s="3411"/>
      <c r="I5" s="3412" t="s">
        <v>2917</v>
      </c>
      <c r="J5" s="3411"/>
      <c r="K5" s="514"/>
      <c r="L5" s="2118"/>
      <c r="M5" s="2119"/>
      <c r="N5" s="2119"/>
      <c r="O5" s="2119"/>
      <c r="P5" s="3502"/>
      <c r="Q5" s="3404"/>
      <c r="R5" s="3389"/>
      <c r="S5" s="3390"/>
      <c r="T5" s="3389"/>
      <c r="U5" s="3390"/>
      <c r="V5" s="3407"/>
      <c r="W5" s="3407"/>
      <c r="X5" s="1553"/>
      <c r="Y5" s="3389"/>
      <c r="Z5" s="3390"/>
      <c r="AA5" s="3383"/>
      <c r="AB5" s="3383"/>
      <c r="AC5" s="3383"/>
    </row>
    <row r="6" spans="1:29" ht="15.75" thickBot="1">
      <c r="A6" s="517"/>
      <c r="B6" s="518"/>
      <c r="C6" s="3408" t="s">
        <v>2918</v>
      </c>
      <c r="D6" s="3409"/>
      <c r="E6" s="3428" t="s">
        <v>2918</v>
      </c>
      <c r="F6" s="3429"/>
      <c r="G6" s="3408" t="s">
        <v>2918</v>
      </c>
      <c r="H6" s="3409"/>
      <c r="I6" s="3408" t="s">
        <v>2918</v>
      </c>
      <c r="J6" s="3409"/>
      <c r="K6" s="514" t="s">
        <v>527</v>
      </c>
      <c r="L6" s="2118"/>
      <c r="M6" s="2119"/>
      <c r="N6" s="2119"/>
      <c r="O6" s="2119"/>
      <c r="P6" s="3503"/>
      <c r="Q6" s="3406"/>
      <c r="R6" s="3389"/>
      <c r="S6" s="3390"/>
      <c r="T6" s="3391"/>
      <c r="U6" s="3392"/>
      <c r="V6" s="3407"/>
      <c r="W6" s="3407"/>
      <c r="X6" s="1553"/>
      <c r="Y6" s="3391"/>
      <c r="Z6" s="3392"/>
      <c r="AA6" s="3384"/>
      <c r="AB6" s="3384"/>
      <c r="AC6" s="3384"/>
    </row>
    <row r="7" spans="1:29" s="1215" customFormat="1" ht="15.75" thickBot="1">
      <c r="A7" s="2867"/>
      <c r="B7" s="2874" t="s">
        <v>528</v>
      </c>
      <c r="C7" s="519">
        <f>'数据-取费表'!B2</f>
        <v>43961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94" t="s">
        <v>529</v>
      </c>
      <c r="Q7" s="3394"/>
      <c r="R7" s="1554" t="s">
        <v>8</v>
      </c>
      <c r="S7" s="1555">
        <f t="shared" ref="S7:S15" si="0">F7</f>
        <v>0</v>
      </c>
      <c r="T7" s="1554" t="s">
        <v>8</v>
      </c>
      <c r="U7" s="1555">
        <f t="shared" ref="U7:U15" si="1">H7</f>
        <v>0</v>
      </c>
      <c r="V7" s="1554" t="s">
        <v>8</v>
      </c>
      <c r="W7" s="1555">
        <f t="shared" ref="W7:W15" si="2">J7</f>
        <v>0</v>
      </c>
      <c r="X7" s="1556"/>
      <c r="Y7" s="3385" t="s">
        <v>529</v>
      </c>
      <c r="Z7" s="3386"/>
      <c r="AA7" s="1557" t="e">
        <f>D7/F7</f>
        <v>#DIV/0!</v>
      </c>
      <c r="AB7" s="1557" t="e">
        <f>D7/H7</f>
        <v>#DIV/0!</v>
      </c>
      <c r="AC7" s="1557" t="e">
        <f>D7/J7</f>
        <v>#DIV/0!</v>
      </c>
    </row>
    <row r="8" spans="1:29" s="1215" customFormat="1" ht="15.7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94" t="s">
        <v>532</v>
      </c>
      <c r="Q8" s="3386"/>
      <c r="R8" s="1554" t="s">
        <v>8</v>
      </c>
      <c r="S8" s="1555">
        <f t="shared" si="0"/>
        <v>0</v>
      </c>
      <c r="T8" s="1554" t="s">
        <v>8</v>
      </c>
      <c r="U8" s="1555">
        <f t="shared" si="1"/>
        <v>0</v>
      </c>
      <c r="V8" s="1554" t="s">
        <v>8</v>
      </c>
      <c r="W8" s="1555">
        <f t="shared" si="2"/>
        <v>0</v>
      </c>
      <c r="X8" s="1556"/>
      <c r="Y8" s="3385" t="s">
        <v>532</v>
      </c>
      <c r="Z8" s="3386"/>
      <c r="AA8" s="1557" t="e">
        <f t="shared" ref="AA8:AA47" si="3">D8/F8</f>
        <v>#DIV/0!</v>
      </c>
      <c r="AB8" s="1557" t="e">
        <f t="shared" ref="AB8:AB47" si="4">D8/H8</f>
        <v>#DIV/0!</v>
      </c>
      <c r="AC8" s="1557" t="e">
        <f t="shared" ref="AC8:AC47" si="5">D8/J8</f>
        <v>#DIV/0!</v>
      </c>
    </row>
    <row r="9" spans="1:29" s="1215" customFormat="1" ht="15">
      <c r="A9" s="2869"/>
      <c r="B9" s="2876"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93" t="s">
        <v>534</v>
      </c>
      <c r="Q9" s="1146" t="str">
        <f t="shared" ref="Q9:Q15" si="6">B9</f>
        <v>用途</v>
      </c>
      <c r="R9" s="1554" t="s">
        <v>8</v>
      </c>
      <c r="S9" s="1555">
        <f t="shared" si="0"/>
        <v>100</v>
      </c>
      <c r="T9" s="1554" t="s">
        <v>8</v>
      </c>
      <c r="U9" s="1555">
        <f t="shared" si="1"/>
        <v>100</v>
      </c>
      <c r="V9" s="1554" t="s">
        <v>8</v>
      </c>
      <c r="W9" s="1555">
        <f t="shared" si="2"/>
        <v>100</v>
      </c>
      <c r="X9" s="1556"/>
      <c r="Y9" s="3350" t="s">
        <v>535</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93"/>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93"/>
      <c r="Q11" s="1146" t="str">
        <f t="shared" si="6"/>
        <v>容积率</v>
      </c>
      <c r="R11" s="1554" t="s">
        <v>8</v>
      </c>
      <c r="S11" s="1555" t="e">
        <f t="shared" si="0"/>
        <v>#N/A</v>
      </c>
      <c r="T11" s="1554" t="s">
        <v>8</v>
      </c>
      <c r="U11" s="1555" t="e">
        <f t="shared" si="1"/>
        <v>#N/A</v>
      </c>
      <c r="V11" s="1554" t="s">
        <v>8</v>
      </c>
      <c r="W11" s="1555" t="e">
        <f t="shared" si="2"/>
        <v>#N/A</v>
      </c>
      <c r="X11" s="1556"/>
      <c r="Y11" s="3350"/>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93"/>
      <c r="Q12" s="1146">
        <f t="shared" si="6"/>
        <v>111</v>
      </c>
      <c r="R12" s="1554" t="s">
        <v>8</v>
      </c>
      <c r="S12" s="1555">
        <f t="shared" si="0"/>
        <v>100</v>
      </c>
      <c r="T12" s="1554" t="s">
        <v>8</v>
      </c>
      <c r="U12" s="1555">
        <f t="shared" si="1"/>
        <v>100</v>
      </c>
      <c r="V12" s="1554" t="s">
        <v>8</v>
      </c>
      <c r="W12" s="1555">
        <f t="shared" si="2"/>
        <v>100</v>
      </c>
      <c r="X12" s="1556"/>
      <c r="Y12" s="3350"/>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93"/>
      <c r="Q13" s="1146">
        <f t="shared" si="6"/>
        <v>111</v>
      </c>
      <c r="R13" s="1554" t="s">
        <v>8</v>
      </c>
      <c r="S13" s="1555">
        <f t="shared" si="0"/>
        <v>100</v>
      </c>
      <c r="T13" s="1554" t="s">
        <v>8</v>
      </c>
      <c r="U13" s="1555">
        <f t="shared" si="1"/>
        <v>100</v>
      </c>
      <c r="V13" s="1554" t="s">
        <v>8</v>
      </c>
      <c r="W13" s="1555">
        <f t="shared" si="2"/>
        <v>100</v>
      </c>
      <c r="X13" s="1556"/>
      <c r="Y13" s="3350"/>
      <c r="Z13" s="1145">
        <f t="shared" si="7"/>
        <v>111</v>
      </c>
      <c r="AA13" s="1557">
        <f t="shared" si="3"/>
        <v>1</v>
      </c>
      <c r="AB13" s="1557">
        <f t="shared" si="4"/>
        <v>1</v>
      </c>
      <c r="AC13" s="1557">
        <f t="shared" si="5"/>
        <v>1</v>
      </c>
    </row>
    <row r="14" spans="1:29" ht="15.75"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93"/>
      <c r="Q14" s="1146">
        <f t="shared" si="6"/>
        <v>111</v>
      </c>
      <c r="R14" s="1554" t="s">
        <v>8</v>
      </c>
      <c r="S14" s="1555">
        <f t="shared" si="0"/>
        <v>100</v>
      </c>
      <c r="T14" s="1554" t="s">
        <v>8</v>
      </c>
      <c r="U14" s="1555">
        <f t="shared" si="1"/>
        <v>100</v>
      </c>
      <c r="V14" s="1554" t="s">
        <v>8</v>
      </c>
      <c r="W14" s="1555">
        <f t="shared" si="2"/>
        <v>100</v>
      </c>
      <c r="X14" s="1556"/>
      <c r="Y14" s="3350"/>
      <c r="Z14" s="1145">
        <f t="shared" si="7"/>
        <v>111</v>
      </c>
      <c r="AA14" s="1557">
        <f t="shared" si="3"/>
        <v>1</v>
      </c>
      <c r="AB14" s="1557">
        <f t="shared" si="4"/>
        <v>1</v>
      </c>
      <c r="AC14" s="1557">
        <f t="shared" si="5"/>
        <v>1</v>
      </c>
    </row>
    <row r="15" spans="1:29" ht="15">
      <c r="A15" s="2865" t="s">
        <v>2748</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395" t="s">
        <v>539</v>
      </c>
      <c r="Q15" s="1558" t="str">
        <f t="shared" si="6"/>
        <v>办公集聚程度</v>
      </c>
      <c r="R15" s="1559" t="s">
        <v>8</v>
      </c>
      <c r="S15" s="1560">
        <f t="shared" si="0"/>
        <v>100</v>
      </c>
      <c r="T15" s="1559" t="s">
        <v>8</v>
      </c>
      <c r="U15" s="1560">
        <f t="shared" si="1"/>
        <v>100</v>
      </c>
      <c r="V15" s="1559" t="s">
        <v>8</v>
      </c>
      <c r="W15" s="1560">
        <f t="shared" si="2"/>
        <v>100</v>
      </c>
      <c r="X15" s="1553"/>
      <c r="Y15" s="3395"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396"/>
      <c r="Q16" s="1558"/>
      <c r="R16" s="1559"/>
      <c r="S16" s="1560"/>
      <c r="T16" s="1559"/>
      <c r="U16" s="1560"/>
      <c r="V16" s="1559"/>
      <c r="W16" s="1560"/>
      <c r="X16" s="1553"/>
      <c r="Y16" s="3396"/>
      <c r="Z16" s="1561"/>
      <c r="AA16" s="1562">
        <v>1</v>
      </c>
      <c r="AB16" s="1562">
        <v>1</v>
      </c>
      <c r="AC16" s="1562">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396"/>
      <c r="Q17" s="1558" t="str">
        <f>B17</f>
        <v>交通便捷度</v>
      </c>
      <c r="R17" s="1559" t="s">
        <v>8</v>
      </c>
      <c r="S17" s="1560">
        <f>F17</f>
        <v>100</v>
      </c>
      <c r="T17" s="1559" t="s">
        <v>8</v>
      </c>
      <c r="U17" s="1560">
        <f>H17</f>
        <v>100</v>
      </c>
      <c r="V17" s="1559" t="s">
        <v>8</v>
      </c>
      <c r="W17" s="1560">
        <f>J17</f>
        <v>100</v>
      </c>
      <c r="X17" s="1553"/>
      <c r="Y17" s="3396"/>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396"/>
      <c r="Q18" s="1558"/>
      <c r="R18" s="1559"/>
      <c r="S18" s="1560"/>
      <c r="T18" s="1559"/>
      <c r="U18" s="1560"/>
      <c r="V18" s="1559"/>
      <c r="W18" s="1560"/>
      <c r="X18" s="1553"/>
      <c r="Y18" s="3396"/>
      <c r="Z18" s="1561"/>
      <c r="AA18" s="1562">
        <v>1</v>
      </c>
      <c r="AB18" s="1562">
        <v>1</v>
      </c>
      <c r="AC18" s="1562">
        <v>1</v>
      </c>
    </row>
    <row r="19" spans="1:29" ht="15">
      <c r="A19" s="532"/>
      <c r="B19" s="2567" t="s">
        <v>2541</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396"/>
      <c r="Q19" s="1558" t="str">
        <f>B19</f>
        <v>公共配套设施</v>
      </c>
      <c r="R19" s="1559" t="s">
        <v>8</v>
      </c>
      <c r="S19" s="1560">
        <f>F19</f>
        <v>100</v>
      </c>
      <c r="T19" s="1559" t="s">
        <v>8</v>
      </c>
      <c r="U19" s="1560">
        <f>H19</f>
        <v>100</v>
      </c>
      <c r="V19" s="1559" t="s">
        <v>8</v>
      </c>
      <c r="W19" s="1560">
        <f>J19</f>
        <v>100</v>
      </c>
      <c r="X19" s="1553"/>
      <c r="Y19" s="3396"/>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396"/>
      <c r="Q20" s="1558"/>
      <c r="R20" s="1559"/>
      <c r="S20" s="1560"/>
      <c r="T20" s="1559"/>
      <c r="U20" s="1560"/>
      <c r="V20" s="1559"/>
      <c r="W20" s="1560"/>
      <c r="X20" s="1553"/>
      <c r="Y20" s="3396"/>
      <c r="Z20" s="1561"/>
      <c r="AA20" s="1562">
        <v>1</v>
      </c>
      <c r="AB20" s="1562">
        <v>1</v>
      </c>
      <c r="AC20" s="1562">
        <v>1</v>
      </c>
    </row>
    <row r="21" spans="1:29" ht="15">
      <c r="A21" s="532"/>
      <c r="B21" s="2555" t="s">
        <v>2553</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396"/>
      <c r="Q21" s="2543" t="str">
        <f>B21</f>
        <v>基础设施水平</v>
      </c>
      <c r="R21" s="1559" t="s">
        <v>8</v>
      </c>
      <c r="S21" s="1560">
        <f>F21</f>
        <v>100</v>
      </c>
      <c r="T21" s="1559" t="s">
        <v>8</v>
      </c>
      <c r="U21" s="1560">
        <f>H21</f>
        <v>100</v>
      </c>
      <c r="V21" s="1559" t="s">
        <v>8</v>
      </c>
      <c r="W21" s="1560">
        <f>J21</f>
        <v>100</v>
      </c>
      <c r="X21" s="2545"/>
      <c r="Y21" s="3396"/>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96"/>
      <c r="Q22" s="2543"/>
      <c r="R22" s="1559"/>
      <c r="S22" s="1560"/>
      <c r="T22" s="1559"/>
      <c r="U22" s="1560"/>
      <c r="V22" s="1559"/>
      <c r="W22" s="1560"/>
      <c r="X22" s="2545"/>
      <c r="Y22" s="3396"/>
      <c r="Z22" s="2544"/>
      <c r="AA22" s="1562">
        <v>1</v>
      </c>
      <c r="AB22" s="1562">
        <v>1</v>
      </c>
      <c r="AC22" s="1562">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396"/>
      <c r="Q23" s="1558" t="str">
        <f>B23</f>
        <v>环境质量</v>
      </c>
      <c r="R23" s="1559" t="s">
        <v>8</v>
      </c>
      <c r="S23" s="1560">
        <f>F23</f>
        <v>100</v>
      </c>
      <c r="T23" s="1559" t="s">
        <v>8</v>
      </c>
      <c r="U23" s="1560">
        <f>H23</f>
        <v>100</v>
      </c>
      <c r="V23" s="1559" t="s">
        <v>8</v>
      </c>
      <c r="W23" s="1560">
        <f>J23</f>
        <v>100</v>
      </c>
      <c r="X23" s="1553"/>
      <c r="Y23" s="3396"/>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396"/>
      <c r="Q24" s="1558"/>
      <c r="R24" s="1559"/>
      <c r="S24" s="1560"/>
      <c r="T24" s="1559"/>
      <c r="U24" s="1560"/>
      <c r="V24" s="1559"/>
      <c r="W24" s="1560"/>
      <c r="X24" s="1553"/>
      <c r="Y24" s="3396"/>
      <c r="Z24" s="1561"/>
      <c r="AA24" s="1562">
        <v>1</v>
      </c>
      <c r="AB24" s="1562">
        <v>1</v>
      </c>
      <c r="AC24" s="1562">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396"/>
      <c r="Q25" s="1558" t="str">
        <f>B25</f>
        <v>毗邻道路的类型与等级</v>
      </c>
      <c r="R25" s="1559" t="s">
        <v>8</v>
      </c>
      <c r="S25" s="1560">
        <f>F25</f>
        <v>100</v>
      </c>
      <c r="T25" s="1559" t="s">
        <v>8</v>
      </c>
      <c r="U25" s="1560">
        <f>H25</f>
        <v>100</v>
      </c>
      <c r="V25" s="1559" t="s">
        <v>8</v>
      </c>
      <c r="W25" s="1560">
        <f>J25</f>
        <v>100</v>
      </c>
      <c r="X25" s="1553"/>
      <c r="Y25" s="3396"/>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396"/>
      <c r="Q26" s="1558"/>
      <c r="R26" s="1559"/>
      <c r="S26" s="1560"/>
      <c r="T26" s="1559"/>
      <c r="U26" s="1560"/>
      <c r="V26" s="1559"/>
      <c r="W26" s="1560"/>
      <c r="X26" s="1553"/>
      <c r="Y26" s="3396"/>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6"/>
      <c r="Q27" s="1558" t="str">
        <f t="shared" ref="Q27:Q47" si="11">B27</f>
        <v>楼层</v>
      </c>
      <c r="R27" s="1559" t="s">
        <v>8</v>
      </c>
      <c r="S27" s="1560">
        <f>F27</f>
        <v>100</v>
      </c>
      <c r="T27" s="1559" t="s">
        <v>8</v>
      </c>
      <c r="U27" s="1560">
        <f>H27</f>
        <v>100</v>
      </c>
      <c r="V27" s="1559" t="s">
        <v>8</v>
      </c>
      <c r="W27" s="1560">
        <f>J27</f>
        <v>100</v>
      </c>
      <c r="X27" s="1553"/>
      <c r="Y27" s="3396"/>
      <c r="Z27" s="1561" t="str">
        <f>Q27</f>
        <v>楼层</v>
      </c>
      <c r="AA27" s="1562">
        <f t="shared" si="3"/>
        <v>1</v>
      </c>
      <c r="AB27" s="1562">
        <f t="shared" si="4"/>
        <v>1</v>
      </c>
      <c r="AC27" s="1562">
        <f t="shared" si="5"/>
        <v>1</v>
      </c>
    </row>
    <row r="28" spans="1:29" s="1215"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396"/>
      <c r="Q28" s="1146" t="str">
        <f t="shared" si="11"/>
        <v>朝向</v>
      </c>
      <c r="R28" s="1554" t="s">
        <v>8</v>
      </c>
      <c r="S28" s="1555">
        <f>F28</f>
        <v>100</v>
      </c>
      <c r="T28" s="1554" t="s">
        <v>8</v>
      </c>
      <c r="U28" s="1555">
        <f>H28</f>
        <v>100</v>
      </c>
      <c r="V28" s="1554" t="s">
        <v>8</v>
      </c>
      <c r="W28" s="1555">
        <f>J28</f>
        <v>100</v>
      </c>
      <c r="X28" s="1556"/>
      <c r="Y28" s="3396"/>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396"/>
      <c r="Q29" s="1558">
        <f t="shared" si="11"/>
        <v>111</v>
      </c>
      <c r="R29" s="1559" t="s">
        <v>8</v>
      </c>
      <c r="S29" s="1560">
        <f t="shared" ref="S29:S47" si="12">F29</f>
        <v>100</v>
      </c>
      <c r="T29" s="1559" t="s">
        <v>8</v>
      </c>
      <c r="U29" s="1560">
        <f t="shared" ref="U29:U47" si="13">H29</f>
        <v>100</v>
      </c>
      <c r="V29" s="1559" t="s">
        <v>8</v>
      </c>
      <c r="W29" s="1560">
        <f t="shared" ref="W29:W47" si="14">J29</f>
        <v>100</v>
      </c>
      <c r="X29" s="1553"/>
      <c r="Y29" s="3396"/>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396"/>
      <c r="Q30" s="1558">
        <f t="shared" si="11"/>
        <v>111</v>
      </c>
      <c r="R30" s="1559" t="s">
        <v>8</v>
      </c>
      <c r="S30" s="1560">
        <f t="shared" si="12"/>
        <v>100</v>
      </c>
      <c r="T30" s="1559" t="s">
        <v>8</v>
      </c>
      <c r="U30" s="1560">
        <f t="shared" si="13"/>
        <v>100</v>
      </c>
      <c r="V30" s="1559" t="s">
        <v>8</v>
      </c>
      <c r="W30" s="1560">
        <f t="shared" si="14"/>
        <v>100</v>
      </c>
      <c r="X30" s="1553"/>
      <c r="Y30" s="3396"/>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396"/>
      <c r="Q31" s="1558">
        <f t="shared" si="11"/>
        <v>111</v>
      </c>
      <c r="R31" s="1559" t="s">
        <v>8</v>
      </c>
      <c r="S31" s="1560">
        <f t="shared" si="12"/>
        <v>100</v>
      </c>
      <c r="T31" s="1559" t="s">
        <v>8</v>
      </c>
      <c r="U31" s="1560">
        <f t="shared" si="13"/>
        <v>100</v>
      </c>
      <c r="V31" s="1559" t="s">
        <v>8</v>
      </c>
      <c r="W31" s="1560">
        <f t="shared" si="14"/>
        <v>100</v>
      </c>
      <c r="X31" s="1553"/>
      <c r="Y31" s="3396"/>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396"/>
      <c r="Q32" s="1558">
        <f t="shared" si="11"/>
        <v>111</v>
      </c>
      <c r="R32" s="1559" t="s">
        <v>8</v>
      </c>
      <c r="S32" s="1560">
        <f t="shared" si="12"/>
        <v>100</v>
      </c>
      <c r="T32" s="1559" t="s">
        <v>8</v>
      </c>
      <c r="U32" s="1560">
        <f t="shared" si="13"/>
        <v>100</v>
      </c>
      <c r="V32" s="1559" t="s">
        <v>8</v>
      </c>
      <c r="W32" s="1560">
        <f t="shared" si="14"/>
        <v>100</v>
      </c>
      <c r="X32" s="1553"/>
      <c r="Y32" s="3396"/>
      <c r="Z32" s="1561">
        <f t="shared" si="15"/>
        <v>111</v>
      </c>
      <c r="AA32" s="1562">
        <f t="shared" si="3"/>
        <v>1</v>
      </c>
      <c r="AB32" s="1562">
        <f t="shared" si="4"/>
        <v>1</v>
      </c>
      <c r="AC32" s="1562">
        <f t="shared" si="5"/>
        <v>1</v>
      </c>
    </row>
    <row r="33" spans="1:29" ht="15">
      <c r="A33" s="2862" t="s">
        <v>2749</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397" t="s">
        <v>549</v>
      </c>
      <c r="Q33" s="1558" t="str">
        <f t="shared" si="11"/>
        <v>建筑类型</v>
      </c>
      <c r="R33" s="1559" t="s">
        <v>8</v>
      </c>
      <c r="S33" s="1560">
        <f t="shared" si="12"/>
        <v>100</v>
      </c>
      <c r="T33" s="1559" t="s">
        <v>8</v>
      </c>
      <c r="U33" s="1560">
        <f t="shared" si="13"/>
        <v>100</v>
      </c>
      <c r="V33" s="1559" t="s">
        <v>8</v>
      </c>
      <c r="W33" s="1560">
        <f t="shared" si="14"/>
        <v>100</v>
      </c>
      <c r="X33" s="1553"/>
      <c r="Y33" s="3398" t="s">
        <v>549</v>
      </c>
      <c r="Z33" s="1561" t="str">
        <f t="shared" si="15"/>
        <v>建筑类型</v>
      </c>
      <c r="AA33" s="1562">
        <f t="shared" si="3"/>
        <v>1</v>
      </c>
      <c r="AB33" s="1562">
        <f t="shared" si="4"/>
        <v>1</v>
      </c>
      <c r="AC33" s="1562">
        <f t="shared" si="5"/>
        <v>1</v>
      </c>
    </row>
    <row r="34" spans="1:29" s="1334"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98"/>
      <c r="Q34" s="1590" t="str">
        <f t="shared" si="11"/>
        <v>项目建筑规模</v>
      </c>
      <c r="R34" s="1563" t="s">
        <v>8</v>
      </c>
      <c r="S34" s="1564" t="e">
        <f t="shared" si="12"/>
        <v>#N/A</v>
      </c>
      <c r="T34" s="1563" t="s">
        <v>8</v>
      </c>
      <c r="U34" s="1564" t="e">
        <f t="shared" si="13"/>
        <v>#N/A</v>
      </c>
      <c r="V34" s="1563" t="s">
        <v>8</v>
      </c>
      <c r="W34" s="1564" t="e">
        <f t="shared" si="14"/>
        <v>#N/A</v>
      </c>
      <c r="X34" s="1565"/>
      <c r="Y34" s="3398"/>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98"/>
      <c r="Q35" s="1558" t="str">
        <f t="shared" si="11"/>
        <v>建筑结构</v>
      </c>
      <c r="R35" s="1559" t="s">
        <v>8</v>
      </c>
      <c r="S35" s="1560">
        <f t="shared" si="12"/>
        <v>100</v>
      </c>
      <c r="T35" s="1559" t="s">
        <v>8</v>
      </c>
      <c r="U35" s="1560">
        <f t="shared" si="13"/>
        <v>100</v>
      </c>
      <c r="V35" s="1559" t="s">
        <v>8</v>
      </c>
      <c r="W35" s="1560">
        <f t="shared" si="14"/>
        <v>100</v>
      </c>
      <c r="X35" s="1553"/>
      <c r="Y35" s="3398"/>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98"/>
      <c r="Q36" s="1558" t="str">
        <f t="shared" si="11"/>
        <v>公共部分装修</v>
      </c>
      <c r="R36" s="1559" t="s">
        <v>8</v>
      </c>
      <c r="S36" s="1560">
        <f t="shared" si="12"/>
        <v>100</v>
      </c>
      <c r="T36" s="1559" t="s">
        <v>8</v>
      </c>
      <c r="U36" s="1560">
        <f t="shared" si="13"/>
        <v>100</v>
      </c>
      <c r="V36" s="1559" t="s">
        <v>8</v>
      </c>
      <c r="W36" s="1560">
        <f t="shared" si="14"/>
        <v>100</v>
      </c>
      <c r="X36" s="1553"/>
      <c r="Y36" s="3398"/>
      <c r="Z36" s="1561" t="str">
        <f t="shared" si="15"/>
        <v>公共部分装修</v>
      </c>
      <c r="AA36" s="1562">
        <f t="shared" si="3"/>
        <v>1</v>
      </c>
      <c r="AB36" s="1562">
        <f t="shared" si="4"/>
        <v>1</v>
      </c>
      <c r="AC36" s="1562">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398"/>
      <c r="Q37" s="1558" t="str">
        <f t="shared" si="11"/>
        <v>成新度</v>
      </c>
      <c r="R37" s="1559" t="s">
        <v>8</v>
      </c>
      <c r="S37" s="1560" t="e">
        <f t="shared" si="12"/>
        <v>#N/A</v>
      </c>
      <c r="T37" s="1559" t="s">
        <v>8</v>
      </c>
      <c r="U37" s="1560" t="e">
        <f t="shared" si="13"/>
        <v>#N/A</v>
      </c>
      <c r="V37" s="1559" t="s">
        <v>8</v>
      </c>
      <c r="W37" s="1560" t="e">
        <f t="shared" si="14"/>
        <v>#N/A</v>
      </c>
      <c r="X37" s="1553"/>
      <c r="Y37" s="3398"/>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98"/>
      <c r="Q38" s="1146" t="str">
        <f t="shared" si="11"/>
        <v>写字楼等级</v>
      </c>
      <c r="R38" s="1554" t="s">
        <v>8</v>
      </c>
      <c r="S38" s="1555">
        <f t="shared" si="12"/>
        <v>100</v>
      </c>
      <c r="T38" s="1554" t="s">
        <v>8</v>
      </c>
      <c r="U38" s="1555">
        <f t="shared" si="13"/>
        <v>100</v>
      </c>
      <c r="V38" s="1554" t="s">
        <v>8</v>
      </c>
      <c r="W38" s="1555">
        <f t="shared" si="14"/>
        <v>100</v>
      </c>
      <c r="X38" s="1556"/>
      <c r="Y38" s="3398"/>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98" t="s">
        <v>549</v>
      </c>
      <c r="Q39" s="1558" t="str">
        <f t="shared" si="11"/>
        <v>物业管理</v>
      </c>
      <c r="R39" s="1559" t="s">
        <v>8</v>
      </c>
      <c r="S39" s="1560">
        <f t="shared" si="12"/>
        <v>100</v>
      </c>
      <c r="T39" s="1559" t="s">
        <v>8</v>
      </c>
      <c r="U39" s="1560">
        <f t="shared" si="13"/>
        <v>100</v>
      </c>
      <c r="V39" s="1559" t="s">
        <v>8</v>
      </c>
      <c r="W39" s="1560">
        <f t="shared" si="14"/>
        <v>100</v>
      </c>
      <c r="X39" s="1553"/>
      <c r="Y39" s="3398" t="s">
        <v>549</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98"/>
      <c r="Q40" s="1558" t="str">
        <f t="shared" si="11"/>
        <v>市政基础设施</v>
      </c>
      <c r="R40" s="1559" t="s">
        <v>8</v>
      </c>
      <c r="S40" s="1560">
        <f t="shared" si="12"/>
        <v>100</v>
      </c>
      <c r="T40" s="1559" t="s">
        <v>8</v>
      </c>
      <c r="U40" s="1560">
        <f t="shared" si="13"/>
        <v>100</v>
      </c>
      <c r="V40" s="1559" t="s">
        <v>8</v>
      </c>
      <c r="W40" s="1560">
        <f t="shared" si="14"/>
        <v>100</v>
      </c>
      <c r="X40" s="1553"/>
      <c r="Y40" s="3398"/>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98"/>
      <c r="Q41" s="1558" t="str">
        <f t="shared" si="11"/>
        <v>层高</v>
      </c>
      <c r="R41" s="1559" t="s">
        <v>8</v>
      </c>
      <c r="S41" s="1560">
        <f t="shared" si="12"/>
        <v>100</v>
      </c>
      <c r="T41" s="1559" t="s">
        <v>8</v>
      </c>
      <c r="U41" s="1560">
        <f t="shared" si="13"/>
        <v>100</v>
      </c>
      <c r="V41" s="1559" t="s">
        <v>8</v>
      </c>
      <c r="W41" s="1560">
        <f t="shared" si="14"/>
        <v>100</v>
      </c>
      <c r="X41" s="1553"/>
      <c r="Y41" s="3398"/>
      <c r="Z41" s="1561" t="str">
        <f t="shared" si="15"/>
        <v>层高</v>
      </c>
      <c r="AA41" s="1562">
        <f t="shared" si="3"/>
        <v>1</v>
      </c>
      <c r="AB41" s="1562">
        <f t="shared" si="4"/>
        <v>1</v>
      </c>
      <c r="AC41" s="1562">
        <f t="shared" si="5"/>
        <v>1</v>
      </c>
    </row>
    <row r="42" spans="1:29" s="1334"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98"/>
      <c r="Q42" s="1590" t="str">
        <f t="shared" si="11"/>
        <v>单套建筑面积</v>
      </c>
      <c r="R42" s="1563" t="s">
        <v>8</v>
      </c>
      <c r="S42" s="1564">
        <f t="shared" si="12"/>
        <v>100</v>
      </c>
      <c r="T42" s="1563" t="s">
        <v>8</v>
      </c>
      <c r="U42" s="1564">
        <f t="shared" si="13"/>
        <v>100</v>
      </c>
      <c r="V42" s="1563" t="s">
        <v>8</v>
      </c>
      <c r="W42" s="1564">
        <f t="shared" si="14"/>
        <v>100</v>
      </c>
      <c r="X42" s="1565"/>
      <c r="Y42" s="3398"/>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98"/>
      <c r="Q43" s="1558" t="str">
        <f t="shared" si="11"/>
        <v>内部装修</v>
      </c>
      <c r="R43" s="1559" t="s">
        <v>8</v>
      </c>
      <c r="S43" s="1560">
        <f t="shared" si="12"/>
        <v>100</v>
      </c>
      <c r="T43" s="1559" t="s">
        <v>8</v>
      </c>
      <c r="U43" s="1560">
        <f t="shared" si="13"/>
        <v>100</v>
      </c>
      <c r="V43" s="1559" t="s">
        <v>8</v>
      </c>
      <c r="W43" s="1560">
        <f t="shared" si="14"/>
        <v>100</v>
      </c>
      <c r="X43" s="1553"/>
      <c r="Y43" s="3398"/>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98"/>
      <c r="Q44" s="1558" t="str">
        <f t="shared" si="11"/>
        <v>内部装修维护情况</v>
      </c>
      <c r="R44" s="1559" t="s">
        <v>8</v>
      </c>
      <c r="S44" s="1560">
        <f t="shared" si="12"/>
        <v>100</v>
      </c>
      <c r="T44" s="1559" t="s">
        <v>8</v>
      </c>
      <c r="U44" s="1560">
        <f t="shared" si="13"/>
        <v>100</v>
      </c>
      <c r="V44" s="1559" t="s">
        <v>8</v>
      </c>
      <c r="W44" s="1560">
        <f t="shared" si="14"/>
        <v>100</v>
      </c>
      <c r="X44" s="1553"/>
      <c r="Y44" s="3398"/>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98"/>
      <c r="Q45" s="1146">
        <f t="shared" si="11"/>
        <v>111</v>
      </c>
      <c r="R45" s="1554" t="s">
        <v>8</v>
      </c>
      <c r="S45" s="1555">
        <f t="shared" si="12"/>
        <v>100</v>
      </c>
      <c r="T45" s="1554" t="s">
        <v>8</v>
      </c>
      <c r="U45" s="1555">
        <f t="shared" si="13"/>
        <v>100</v>
      </c>
      <c r="V45" s="1554" t="s">
        <v>8</v>
      </c>
      <c r="W45" s="1555">
        <f t="shared" si="14"/>
        <v>100</v>
      </c>
      <c r="X45" s="1556"/>
      <c r="Y45" s="3398"/>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98"/>
      <c r="Q46" s="1558">
        <f t="shared" si="11"/>
        <v>111</v>
      </c>
      <c r="R46" s="1559" t="s">
        <v>8</v>
      </c>
      <c r="S46" s="1560">
        <f t="shared" si="12"/>
        <v>100</v>
      </c>
      <c r="T46" s="1559" t="s">
        <v>8</v>
      </c>
      <c r="U46" s="1560">
        <f t="shared" si="13"/>
        <v>100</v>
      </c>
      <c r="V46" s="1559" t="s">
        <v>8</v>
      </c>
      <c r="W46" s="1560">
        <f t="shared" si="14"/>
        <v>100</v>
      </c>
      <c r="X46" s="1553"/>
      <c r="Y46" s="3398"/>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8"/>
      <c r="Q47" s="1558">
        <f t="shared" si="11"/>
        <v>111</v>
      </c>
      <c r="R47" s="1559" t="s">
        <v>8</v>
      </c>
      <c r="S47" s="1560">
        <f t="shared" si="12"/>
        <v>100</v>
      </c>
      <c r="T47" s="1559" t="s">
        <v>8</v>
      </c>
      <c r="U47" s="1560">
        <f t="shared" si="13"/>
        <v>100</v>
      </c>
      <c r="V47" s="1559" t="s">
        <v>8</v>
      </c>
      <c r="W47" s="1560">
        <f t="shared" si="14"/>
        <v>100</v>
      </c>
      <c r="X47" s="1553"/>
      <c r="Y47" s="3498"/>
      <c r="Z47" s="1561">
        <f t="shared" si="15"/>
        <v>111</v>
      </c>
      <c r="AA47" s="1562">
        <f t="shared" si="3"/>
        <v>1</v>
      </c>
      <c r="AB47" s="1562">
        <f t="shared" si="4"/>
        <v>1</v>
      </c>
      <c r="AC47" s="1562">
        <f t="shared" si="5"/>
        <v>1</v>
      </c>
    </row>
    <row r="48" spans="1:29" ht="15">
      <c r="A48" s="607" t="s">
        <v>735</v>
      </c>
      <c r="B48" s="886"/>
      <c r="C48" s="2591" t="s">
        <v>1</v>
      </c>
      <c r="D48" s="2592"/>
      <c r="E48" s="2593"/>
      <c r="F48" s="2594"/>
      <c r="G48" s="2595"/>
      <c r="H48" s="2596"/>
      <c r="I48" s="2593"/>
      <c r="J48" s="2596"/>
      <c r="K48" s="1596"/>
      <c r="L48" s="2129"/>
      <c r="M48" s="2119"/>
      <c r="N48" s="2119"/>
      <c r="O48" s="2119"/>
      <c r="P48" s="3416" t="str">
        <f>A48</f>
        <v>成交单价（元/平方米）</v>
      </c>
      <c r="Q48" s="3393"/>
      <c r="R48" s="3497">
        <f>E48</f>
        <v>0</v>
      </c>
      <c r="S48" s="3497"/>
      <c r="T48" s="3497">
        <f>G48</f>
        <v>0</v>
      </c>
      <c r="U48" s="3497"/>
      <c r="V48" s="3497">
        <f>I48</f>
        <v>0</v>
      </c>
      <c r="W48" s="3497"/>
      <c r="X48" s="1545"/>
      <c r="Y48" s="1567"/>
      <c r="Z48" s="1545"/>
      <c r="AA48" s="1545"/>
      <c r="AB48" s="1545"/>
      <c r="AC48" s="1545"/>
    </row>
    <row r="49" spans="1:29" ht="15.75" thickBot="1">
      <c r="A49" s="615" t="s">
        <v>2754</v>
      </c>
      <c r="B49" s="887"/>
      <c r="C49" s="2597" t="e">
        <f>R50</f>
        <v>#DIV/0!</v>
      </c>
      <c r="D49" s="2598"/>
      <c r="E49" s="2599" t="e">
        <f>R49</f>
        <v>#DIV/0!</v>
      </c>
      <c r="F49" s="2599"/>
      <c r="G49" s="2597" t="e">
        <f>T49</f>
        <v>#DIV/0!</v>
      </c>
      <c r="H49" s="2598"/>
      <c r="I49" s="2599" t="e">
        <f>V49</f>
        <v>#DIV/0!</v>
      </c>
      <c r="J49" s="2598"/>
      <c r="K49" s="1597"/>
      <c r="L49" s="2129"/>
      <c r="M49" s="2119"/>
      <c r="N49" s="2119"/>
      <c r="O49" s="2119"/>
      <c r="P49" s="3416" t="str">
        <f>A49</f>
        <v>比较价格（元/平方米）</v>
      </c>
      <c r="Q49" s="3393"/>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45"/>
      <c r="Y49" s="1545"/>
      <c r="Z49" s="1545"/>
      <c r="AA49" s="1545"/>
      <c r="AB49" s="1545"/>
      <c r="AC49" s="1545"/>
    </row>
    <row r="50" spans="1:29" ht="15.75" thickBot="1">
      <c r="A50" s="621" t="s">
        <v>2920</v>
      </c>
      <c r="B50" s="622"/>
      <c r="C50" s="2600" t="e">
        <f>R50</f>
        <v>#DIV/0!</v>
      </c>
      <c r="D50" s="2600"/>
      <c r="E50" s="2600"/>
      <c r="F50" s="2600"/>
      <c r="G50" s="2600"/>
      <c r="H50" s="2600"/>
      <c r="I50" s="2600"/>
      <c r="J50" s="2600"/>
      <c r="K50" s="1598"/>
      <c r="L50" s="2129"/>
      <c r="M50" s="2119"/>
      <c r="N50" s="2119"/>
      <c r="O50" s="2119"/>
      <c r="P50" s="3504" t="str">
        <f>A50</f>
        <v>估价对象XX用房的比较价格（楼面单价，元/平方米）</v>
      </c>
      <c r="Q50" s="3416"/>
      <c r="R50" s="3496" t="e">
        <f>IF(F1="售价",ROUND(AVERAGE(R49:V49),0),ROUND(AVERAGE(R49:V49),1))</f>
        <v>#DIV/0!</v>
      </c>
      <c r="S50" s="3496"/>
      <c r="T50" s="3496"/>
      <c r="U50" s="3496"/>
      <c r="V50" s="3496"/>
      <c r="W50" s="349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528</v>
      </c>
      <c r="B59" s="646"/>
      <c r="C59" s="2757" t="str">
        <f>YEAR(C7)&amp;"-"&amp;MONTH(C7)</f>
        <v>2020-5</v>
      </c>
      <c r="D59" s="2759">
        <f>EDATE(C59,-1)</f>
        <v>43922</v>
      </c>
      <c r="E59" s="2759">
        <f t="shared" ref="E59:O59" si="16">EDATE(D59,-1)</f>
        <v>43891</v>
      </c>
      <c r="F59" s="2759">
        <f t="shared" si="16"/>
        <v>43862</v>
      </c>
      <c r="G59" s="2759">
        <f t="shared" si="16"/>
        <v>43831</v>
      </c>
      <c r="H59" s="2759">
        <f t="shared" si="16"/>
        <v>43800</v>
      </c>
      <c r="I59" s="2759">
        <f t="shared" si="16"/>
        <v>43770</v>
      </c>
      <c r="J59" s="2759">
        <f t="shared" si="16"/>
        <v>43739</v>
      </c>
      <c r="K59" s="2759">
        <f t="shared" si="16"/>
        <v>43709</v>
      </c>
      <c r="L59" s="2759">
        <f t="shared" si="16"/>
        <v>43678</v>
      </c>
      <c r="M59" s="2759">
        <f t="shared" si="16"/>
        <v>43647</v>
      </c>
      <c r="N59" s="2759">
        <f t="shared" si="16"/>
        <v>43617</v>
      </c>
      <c r="O59" s="2759">
        <f t="shared" si="16"/>
        <v>43586</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2552</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784</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786</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75" style="1332" customWidth="1"/>
    <col min="17" max="17" width="19.5" style="1332" customWidth="1"/>
    <col min="18" max="22" width="6.125" style="1332" customWidth="1"/>
    <col min="23" max="23" width="5.75" style="1332" customWidth="1"/>
    <col min="24" max="24" width="4.1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9"/>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520</v>
      </c>
      <c r="B4" s="513"/>
      <c r="C4" s="3399" t="s">
        <v>521</v>
      </c>
      <c r="D4" s="3400"/>
      <c r="E4" s="3424" t="s">
        <v>522</v>
      </c>
      <c r="F4" s="3425"/>
      <c r="G4" s="3399" t="s">
        <v>523</v>
      </c>
      <c r="H4" s="3400"/>
      <c r="I4" s="3399" t="s">
        <v>524</v>
      </c>
      <c r="J4" s="3400"/>
      <c r="K4" s="514" t="s">
        <v>525</v>
      </c>
      <c r="L4" s="2118"/>
      <c r="M4" s="2119"/>
      <c r="N4" s="2119"/>
      <c r="O4" s="2119"/>
      <c r="P4" s="3401" t="s">
        <v>526</v>
      </c>
      <c r="Q4" s="3402"/>
      <c r="R4" s="3387" t="s">
        <v>522</v>
      </c>
      <c r="S4" s="3388"/>
      <c r="T4" s="3387" t="s">
        <v>523</v>
      </c>
      <c r="U4" s="3388"/>
      <c r="V4" s="3407" t="s">
        <v>524</v>
      </c>
      <c r="W4" s="3407"/>
      <c r="X4" s="1553"/>
      <c r="Y4" s="3387" t="s">
        <v>526</v>
      </c>
      <c r="Z4" s="3388"/>
      <c r="AA4" s="3382" t="s">
        <v>522</v>
      </c>
      <c r="AB4" s="3383" t="s">
        <v>523</v>
      </c>
      <c r="AC4" s="3382" t="s">
        <v>524</v>
      </c>
    </row>
    <row r="5" spans="1:29" ht="15">
      <c r="A5" s="515"/>
      <c r="B5" s="516"/>
      <c r="C5" s="3412" t="s">
        <v>2914</v>
      </c>
      <c r="D5" s="3411"/>
      <c r="E5" s="3426" t="s">
        <v>2915</v>
      </c>
      <c r="F5" s="3427"/>
      <c r="G5" s="3412" t="s">
        <v>2916</v>
      </c>
      <c r="H5" s="3411"/>
      <c r="I5" s="3412" t="s">
        <v>2917</v>
      </c>
      <c r="J5" s="3411"/>
      <c r="K5" s="514"/>
      <c r="L5" s="2118"/>
      <c r="M5" s="2119"/>
      <c r="N5" s="2119"/>
      <c r="O5" s="2119"/>
      <c r="P5" s="3403"/>
      <c r="Q5" s="3404"/>
      <c r="R5" s="3389"/>
      <c r="S5" s="3390"/>
      <c r="T5" s="3389"/>
      <c r="U5" s="3390"/>
      <c r="V5" s="3407"/>
      <c r="W5" s="3407"/>
      <c r="X5" s="1553"/>
      <c r="Y5" s="3389"/>
      <c r="Z5" s="3390"/>
      <c r="AA5" s="3383"/>
      <c r="AB5" s="3383"/>
      <c r="AC5" s="3383"/>
    </row>
    <row r="6" spans="1:29" ht="15.75" thickBot="1">
      <c r="A6" s="517"/>
      <c r="B6" s="518"/>
      <c r="C6" s="3408" t="s">
        <v>2918</v>
      </c>
      <c r="D6" s="3409"/>
      <c r="E6" s="3428" t="s">
        <v>2918</v>
      </c>
      <c r="F6" s="3429"/>
      <c r="G6" s="3408" t="s">
        <v>2918</v>
      </c>
      <c r="H6" s="3409"/>
      <c r="I6" s="3408" t="s">
        <v>2918</v>
      </c>
      <c r="J6" s="3409"/>
      <c r="K6" s="514" t="s">
        <v>527</v>
      </c>
      <c r="L6" s="2118"/>
      <c r="M6" s="2119"/>
      <c r="N6" s="2119"/>
      <c r="O6" s="2119"/>
      <c r="P6" s="3405"/>
      <c r="Q6" s="3406"/>
      <c r="R6" s="3389"/>
      <c r="S6" s="3390"/>
      <c r="T6" s="3391"/>
      <c r="U6" s="3392"/>
      <c r="V6" s="3407"/>
      <c r="W6" s="3407"/>
      <c r="X6" s="1553"/>
      <c r="Y6" s="3391"/>
      <c r="Z6" s="3392"/>
      <c r="AA6" s="3384"/>
      <c r="AB6" s="3384"/>
      <c r="AC6" s="3384"/>
    </row>
    <row r="7" spans="1:29" s="1215" customFormat="1" ht="15.75" thickBot="1">
      <c r="A7" s="2867"/>
      <c r="B7" s="2874" t="s">
        <v>528</v>
      </c>
      <c r="C7" s="519">
        <f>'数据-取费表'!B2</f>
        <v>43961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85" t="s">
        <v>529</v>
      </c>
      <c r="Q7" s="3394"/>
      <c r="R7" s="1554" t="s">
        <v>8</v>
      </c>
      <c r="S7" s="1555">
        <f t="shared" ref="S7:S15" si="0">F7</f>
        <v>0</v>
      </c>
      <c r="T7" s="1554" t="s">
        <v>8</v>
      </c>
      <c r="U7" s="1555">
        <f t="shared" ref="U7:U15" si="1">H7</f>
        <v>0</v>
      </c>
      <c r="V7" s="1554" t="s">
        <v>8</v>
      </c>
      <c r="W7" s="1555">
        <f t="shared" ref="W7:W15" si="2">J7</f>
        <v>0</v>
      </c>
      <c r="X7" s="1556"/>
      <c r="Y7" s="3385" t="s">
        <v>529</v>
      </c>
      <c r="Z7" s="3386"/>
      <c r="AA7" s="1557" t="e">
        <f>D7/F7</f>
        <v>#DIV/0!</v>
      </c>
      <c r="AB7" s="1557" t="e">
        <f>D7/H7</f>
        <v>#DIV/0!</v>
      </c>
      <c r="AC7" s="1557" t="e">
        <f>D7/J7</f>
        <v>#DIV/0!</v>
      </c>
    </row>
    <row r="8" spans="1:29" s="1215" customFormat="1" ht="15.7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85" t="s">
        <v>532</v>
      </c>
      <c r="Q8" s="3386"/>
      <c r="R8" s="1554" t="s">
        <v>8</v>
      </c>
      <c r="S8" s="1555">
        <f t="shared" si="0"/>
        <v>0</v>
      </c>
      <c r="T8" s="1554" t="s">
        <v>8</v>
      </c>
      <c r="U8" s="1555">
        <f t="shared" si="1"/>
        <v>0</v>
      </c>
      <c r="V8" s="1554" t="s">
        <v>8</v>
      </c>
      <c r="W8" s="1555">
        <f t="shared" si="2"/>
        <v>0</v>
      </c>
      <c r="X8" s="1556"/>
      <c r="Y8" s="3385" t="s">
        <v>532</v>
      </c>
      <c r="Z8" s="3386"/>
      <c r="AA8" s="1557" t="e">
        <f t="shared" ref="AA8:AA40" si="3">D8/F8</f>
        <v>#DIV/0!</v>
      </c>
      <c r="AB8" s="1557" t="e">
        <f t="shared" ref="AB8:AB40" si="4">D8/H8</f>
        <v>#DIV/0!</v>
      </c>
      <c r="AC8" s="1557" t="e">
        <f t="shared" ref="AC8:AC40" si="5">D8/J8</f>
        <v>#DIV/0!</v>
      </c>
    </row>
    <row r="9" spans="1:29" s="1215" customFormat="1" ht="15">
      <c r="A9" s="2869"/>
      <c r="B9" s="2876"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93" t="s">
        <v>534</v>
      </c>
      <c r="Q9" s="1146" t="str">
        <f t="shared" ref="Q9:Q15" si="6">B9</f>
        <v>用途</v>
      </c>
      <c r="R9" s="1554" t="s">
        <v>8</v>
      </c>
      <c r="S9" s="1555">
        <f t="shared" si="0"/>
        <v>100</v>
      </c>
      <c r="T9" s="1554" t="s">
        <v>8</v>
      </c>
      <c r="U9" s="1555">
        <f t="shared" si="1"/>
        <v>100</v>
      </c>
      <c r="V9" s="1554" t="s">
        <v>8</v>
      </c>
      <c r="W9" s="1555">
        <f t="shared" si="2"/>
        <v>100</v>
      </c>
      <c r="X9" s="1556"/>
      <c r="Y9" s="3350" t="s">
        <v>535</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93"/>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93"/>
      <c r="Q11" s="1146" t="str">
        <f t="shared" si="6"/>
        <v>容积率</v>
      </c>
      <c r="R11" s="1554" t="s">
        <v>8</v>
      </c>
      <c r="S11" s="1555" t="e">
        <f t="shared" si="0"/>
        <v>#N/A</v>
      </c>
      <c r="T11" s="1554" t="s">
        <v>8</v>
      </c>
      <c r="U11" s="1555" t="e">
        <f t="shared" si="1"/>
        <v>#N/A</v>
      </c>
      <c r="V11" s="1554" t="s">
        <v>8</v>
      </c>
      <c r="W11" s="1555" t="e">
        <f t="shared" si="2"/>
        <v>#N/A</v>
      </c>
      <c r="X11" s="1556"/>
      <c r="Y11" s="3350"/>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93"/>
      <c r="Q12" s="1146">
        <f t="shared" si="6"/>
        <v>111</v>
      </c>
      <c r="R12" s="1554" t="s">
        <v>8</v>
      </c>
      <c r="S12" s="1555">
        <f t="shared" si="0"/>
        <v>100</v>
      </c>
      <c r="T12" s="1554" t="s">
        <v>8</v>
      </c>
      <c r="U12" s="1555">
        <f t="shared" si="1"/>
        <v>100</v>
      </c>
      <c r="V12" s="1554" t="s">
        <v>8</v>
      </c>
      <c r="W12" s="1555">
        <f t="shared" si="2"/>
        <v>100</v>
      </c>
      <c r="X12" s="1556"/>
      <c r="Y12" s="3350"/>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93"/>
      <c r="Q13" s="1146">
        <f t="shared" si="6"/>
        <v>111</v>
      </c>
      <c r="R13" s="1554" t="s">
        <v>8</v>
      </c>
      <c r="S13" s="1555">
        <f t="shared" si="0"/>
        <v>100</v>
      </c>
      <c r="T13" s="1554" t="s">
        <v>8</v>
      </c>
      <c r="U13" s="1555">
        <f t="shared" si="1"/>
        <v>100</v>
      </c>
      <c r="V13" s="1554" t="s">
        <v>8</v>
      </c>
      <c r="W13" s="1555">
        <f t="shared" si="2"/>
        <v>100</v>
      </c>
      <c r="X13" s="1556"/>
      <c r="Y13" s="3350"/>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93"/>
      <c r="Q14" s="1146">
        <f t="shared" si="6"/>
        <v>111</v>
      </c>
      <c r="R14" s="1554" t="s">
        <v>8</v>
      </c>
      <c r="S14" s="1555">
        <f t="shared" si="0"/>
        <v>100</v>
      </c>
      <c r="T14" s="1554" t="s">
        <v>8</v>
      </c>
      <c r="U14" s="1555">
        <f t="shared" si="1"/>
        <v>100</v>
      </c>
      <c r="V14" s="1554" t="s">
        <v>8</v>
      </c>
      <c r="W14" s="1555">
        <f t="shared" si="2"/>
        <v>100</v>
      </c>
      <c r="X14" s="1556"/>
      <c r="Y14" s="3350"/>
      <c r="Z14" s="1145">
        <f t="shared" si="7"/>
        <v>111</v>
      </c>
      <c r="AA14" s="1557">
        <f t="shared" si="3"/>
        <v>1</v>
      </c>
      <c r="AB14" s="1557">
        <f t="shared" si="4"/>
        <v>1</v>
      </c>
      <c r="AC14" s="1557">
        <f t="shared" si="5"/>
        <v>1</v>
      </c>
    </row>
    <row r="15" spans="1:29" ht="15">
      <c r="A15" s="2865" t="s">
        <v>2748</v>
      </c>
      <c r="B15" s="166" t="s">
        <v>788</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395" t="s">
        <v>539</v>
      </c>
      <c r="Q15" s="1558" t="str">
        <f t="shared" si="6"/>
        <v>产业集聚程度</v>
      </c>
      <c r="R15" s="1559" t="s">
        <v>8</v>
      </c>
      <c r="S15" s="1560">
        <f t="shared" si="0"/>
        <v>100</v>
      </c>
      <c r="T15" s="1559" t="s">
        <v>8</v>
      </c>
      <c r="U15" s="1560">
        <f t="shared" si="1"/>
        <v>100</v>
      </c>
      <c r="V15" s="1559" t="s">
        <v>8</v>
      </c>
      <c r="W15" s="1560">
        <f t="shared" si="2"/>
        <v>100</v>
      </c>
      <c r="X15" s="1553"/>
      <c r="Y15" s="3395"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396"/>
      <c r="Q16" s="1558"/>
      <c r="R16" s="1559"/>
      <c r="S16" s="1560"/>
      <c r="T16" s="1559"/>
      <c r="U16" s="1560"/>
      <c r="V16" s="1559"/>
      <c r="W16" s="1560"/>
      <c r="X16" s="1553"/>
      <c r="Y16" s="3396"/>
      <c r="Z16" s="1561"/>
      <c r="AA16" s="1562">
        <v>1</v>
      </c>
      <c r="AB16" s="1562">
        <v>1</v>
      </c>
      <c r="AC16" s="1562">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396"/>
      <c r="Q17" s="1558" t="str">
        <f>B17</f>
        <v>交通便捷度</v>
      </c>
      <c r="R17" s="1559" t="s">
        <v>8</v>
      </c>
      <c r="S17" s="1560">
        <f>F17</f>
        <v>100</v>
      </c>
      <c r="T17" s="1559" t="s">
        <v>8</v>
      </c>
      <c r="U17" s="1560">
        <f>H17</f>
        <v>100</v>
      </c>
      <c r="V17" s="1559" t="s">
        <v>8</v>
      </c>
      <c r="W17" s="1560">
        <f>J17</f>
        <v>100</v>
      </c>
      <c r="X17" s="1553"/>
      <c r="Y17" s="339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396"/>
      <c r="Q18" s="1558"/>
      <c r="R18" s="1559"/>
      <c r="S18" s="1560"/>
      <c r="T18" s="1559"/>
      <c r="U18" s="1560"/>
      <c r="V18" s="1559"/>
      <c r="W18" s="1560"/>
      <c r="X18" s="1553"/>
      <c r="Y18" s="3396"/>
      <c r="Z18" s="1561"/>
      <c r="AA18" s="1562">
        <v>1</v>
      </c>
      <c r="AB18" s="1562">
        <v>1</v>
      </c>
      <c r="AC18" s="1562">
        <v>1</v>
      </c>
    </row>
    <row r="19" spans="1:29" ht="15">
      <c r="A19" s="532"/>
      <c r="B19" s="2567" t="s">
        <v>2541</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396"/>
      <c r="Q19" s="1558" t="str">
        <f>B19</f>
        <v>公共配套设施</v>
      </c>
      <c r="R19" s="1559" t="s">
        <v>8</v>
      </c>
      <c r="S19" s="1560">
        <f>F19</f>
        <v>100</v>
      </c>
      <c r="T19" s="1559" t="s">
        <v>8</v>
      </c>
      <c r="U19" s="1560">
        <f>H19</f>
        <v>100</v>
      </c>
      <c r="V19" s="1559" t="s">
        <v>8</v>
      </c>
      <c r="W19" s="1560">
        <f>J19</f>
        <v>100</v>
      </c>
      <c r="X19" s="1553"/>
      <c r="Y19" s="3396"/>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396"/>
      <c r="Q20" s="1558"/>
      <c r="R20" s="1559"/>
      <c r="S20" s="1560"/>
      <c r="T20" s="1559"/>
      <c r="U20" s="1560"/>
      <c r="V20" s="1559"/>
      <c r="W20" s="1560"/>
      <c r="X20" s="1553"/>
      <c r="Y20" s="3396"/>
      <c r="Z20" s="1561"/>
      <c r="AA20" s="1562">
        <v>1</v>
      </c>
      <c r="AB20" s="1562">
        <v>1</v>
      </c>
      <c r="AC20" s="1562">
        <v>1</v>
      </c>
    </row>
    <row r="21" spans="1:29" ht="15">
      <c r="A21" s="532"/>
      <c r="B21" s="2555" t="s">
        <v>2553</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396"/>
      <c r="Q21" s="2543" t="str">
        <f>B21</f>
        <v>基础设施水平</v>
      </c>
      <c r="R21" s="1559" t="s">
        <v>8</v>
      </c>
      <c r="S21" s="1560">
        <f>F21</f>
        <v>100</v>
      </c>
      <c r="T21" s="1559" t="s">
        <v>8</v>
      </c>
      <c r="U21" s="1560">
        <f>H21</f>
        <v>100</v>
      </c>
      <c r="V21" s="1559" t="s">
        <v>8</v>
      </c>
      <c r="W21" s="1560">
        <f>J21</f>
        <v>100</v>
      </c>
      <c r="X21" s="2545"/>
      <c r="Y21" s="3396"/>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96"/>
      <c r="Q22" s="2543"/>
      <c r="R22" s="1559"/>
      <c r="S22" s="1560"/>
      <c r="T22" s="1559"/>
      <c r="U22" s="1560"/>
      <c r="V22" s="1559"/>
      <c r="W22" s="1560"/>
      <c r="X22" s="2545"/>
      <c r="Y22" s="3396"/>
      <c r="Z22" s="2544"/>
      <c r="AA22" s="1562">
        <v>1</v>
      </c>
      <c r="AB22" s="1562">
        <v>1</v>
      </c>
      <c r="AC22" s="1562">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396"/>
      <c r="Q23" s="1558" t="str">
        <f>B23</f>
        <v>环境质量</v>
      </c>
      <c r="R23" s="1559" t="s">
        <v>8</v>
      </c>
      <c r="S23" s="1560">
        <f>F23</f>
        <v>100</v>
      </c>
      <c r="T23" s="1559" t="s">
        <v>8</v>
      </c>
      <c r="U23" s="1560">
        <f>H23</f>
        <v>100</v>
      </c>
      <c r="V23" s="1559" t="s">
        <v>8</v>
      </c>
      <c r="W23" s="1560">
        <f>J23</f>
        <v>100</v>
      </c>
      <c r="X23" s="1553"/>
      <c r="Y23" s="3396"/>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396"/>
      <c r="Q24" s="1558"/>
      <c r="R24" s="1559"/>
      <c r="S24" s="1560"/>
      <c r="T24" s="1559"/>
      <c r="U24" s="1560"/>
      <c r="V24" s="1559"/>
      <c r="W24" s="1560"/>
      <c r="X24" s="1553"/>
      <c r="Y24" s="3396"/>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6"/>
      <c r="Q25" s="1558">
        <f>B25</f>
        <v>111</v>
      </c>
      <c r="R25" s="1559" t="s">
        <v>8</v>
      </c>
      <c r="S25" s="1560">
        <f>F25</f>
        <v>100</v>
      </c>
      <c r="T25" s="1559" t="s">
        <v>8</v>
      </c>
      <c r="U25" s="1560">
        <f>H25</f>
        <v>100</v>
      </c>
      <c r="V25" s="1559" t="s">
        <v>8</v>
      </c>
      <c r="W25" s="1560">
        <f>J25</f>
        <v>100</v>
      </c>
      <c r="X25" s="1553"/>
      <c r="Y25" s="3396"/>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6"/>
      <c r="Q26" s="1558">
        <f t="shared" ref="Q26:Q40" si="11">B26</f>
        <v>111</v>
      </c>
      <c r="R26" s="1559" t="s">
        <v>8</v>
      </c>
      <c r="S26" s="1560">
        <f>F26</f>
        <v>100</v>
      </c>
      <c r="T26" s="1559" t="s">
        <v>8</v>
      </c>
      <c r="U26" s="1560">
        <f>H26</f>
        <v>100</v>
      </c>
      <c r="V26" s="1559" t="s">
        <v>8</v>
      </c>
      <c r="W26" s="1560">
        <f>J26</f>
        <v>100</v>
      </c>
      <c r="X26" s="1553"/>
      <c r="Y26" s="3396"/>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6"/>
      <c r="Q27" s="1146">
        <f t="shared" si="11"/>
        <v>111</v>
      </c>
      <c r="R27" s="1554" t="s">
        <v>8</v>
      </c>
      <c r="S27" s="1555">
        <f>F27</f>
        <v>100</v>
      </c>
      <c r="T27" s="1554" t="s">
        <v>8</v>
      </c>
      <c r="U27" s="1555">
        <f>H27</f>
        <v>100</v>
      </c>
      <c r="V27" s="1554" t="s">
        <v>8</v>
      </c>
      <c r="W27" s="1555">
        <f>J27</f>
        <v>100</v>
      </c>
      <c r="X27" s="1556"/>
      <c r="Y27" s="3396"/>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396"/>
      <c r="Q28" s="1558">
        <f t="shared" si="11"/>
        <v>111</v>
      </c>
      <c r="R28" s="1559" t="s">
        <v>8</v>
      </c>
      <c r="S28" s="1560">
        <f t="shared" ref="S28:S40" si="12">F28</f>
        <v>100</v>
      </c>
      <c r="T28" s="1559" t="s">
        <v>8</v>
      </c>
      <c r="U28" s="1560">
        <f t="shared" ref="U28:U40" si="13">H28</f>
        <v>100</v>
      </c>
      <c r="V28" s="1559" t="s">
        <v>8</v>
      </c>
      <c r="W28" s="1560">
        <f t="shared" ref="W28:W40" si="14">J28</f>
        <v>100</v>
      </c>
      <c r="X28" s="1553"/>
      <c r="Y28" s="3396"/>
      <c r="Z28" s="1561">
        <f t="shared" ref="Z28:Z40" si="15">Q28</f>
        <v>111</v>
      </c>
      <c r="AA28" s="1562">
        <f t="shared" si="3"/>
        <v>1</v>
      </c>
      <c r="AB28" s="1562">
        <f t="shared" si="4"/>
        <v>1</v>
      </c>
      <c r="AC28" s="1562">
        <f t="shared" si="5"/>
        <v>1</v>
      </c>
    </row>
    <row r="29" spans="1:29" ht="15">
      <c r="A29" s="2862" t="s">
        <v>2749</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397" t="s">
        <v>549</v>
      </c>
      <c r="Q29" s="1558" t="str">
        <f t="shared" si="11"/>
        <v>建筑类型</v>
      </c>
      <c r="R29" s="1559" t="s">
        <v>8</v>
      </c>
      <c r="S29" s="1560">
        <f t="shared" si="12"/>
        <v>100</v>
      </c>
      <c r="T29" s="1559" t="s">
        <v>8</v>
      </c>
      <c r="U29" s="1560">
        <f t="shared" si="13"/>
        <v>100</v>
      </c>
      <c r="V29" s="1559" t="s">
        <v>8</v>
      </c>
      <c r="W29" s="1560">
        <f t="shared" si="14"/>
        <v>100</v>
      </c>
      <c r="X29" s="1553"/>
      <c r="Y29" s="3398" t="s">
        <v>549</v>
      </c>
      <c r="Z29" s="1561" t="str">
        <f t="shared" si="15"/>
        <v>建筑类型</v>
      </c>
      <c r="AA29" s="1562">
        <f t="shared" si="3"/>
        <v>1</v>
      </c>
      <c r="AB29" s="1562">
        <f t="shared" si="4"/>
        <v>1</v>
      </c>
      <c r="AC29" s="1562">
        <f t="shared" si="5"/>
        <v>1</v>
      </c>
    </row>
    <row r="30" spans="1:29" s="1334"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98"/>
      <c r="Q30" s="1590" t="str">
        <f t="shared" si="11"/>
        <v>项目建筑规模</v>
      </c>
      <c r="R30" s="1563" t="s">
        <v>8</v>
      </c>
      <c r="S30" s="1564" t="e">
        <f t="shared" si="12"/>
        <v>#N/A</v>
      </c>
      <c r="T30" s="1563" t="s">
        <v>8</v>
      </c>
      <c r="U30" s="1564" t="e">
        <f t="shared" si="13"/>
        <v>#N/A</v>
      </c>
      <c r="V30" s="1563" t="s">
        <v>8</v>
      </c>
      <c r="W30" s="1564" t="e">
        <f t="shared" si="14"/>
        <v>#N/A</v>
      </c>
      <c r="X30" s="1565"/>
      <c r="Y30" s="3398"/>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98"/>
      <c r="Q31" s="1558" t="str">
        <f t="shared" si="11"/>
        <v>建筑结构</v>
      </c>
      <c r="R31" s="1559" t="s">
        <v>8</v>
      </c>
      <c r="S31" s="1560">
        <f t="shared" si="12"/>
        <v>100</v>
      </c>
      <c r="T31" s="1559" t="s">
        <v>8</v>
      </c>
      <c r="U31" s="1560">
        <f t="shared" si="13"/>
        <v>100</v>
      </c>
      <c r="V31" s="1559" t="s">
        <v>8</v>
      </c>
      <c r="W31" s="1560">
        <f t="shared" si="14"/>
        <v>100</v>
      </c>
      <c r="X31" s="1553"/>
      <c r="Y31" s="3398"/>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98"/>
      <c r="Q32" s="1558" t="str">
        <f t="shared" si="11"/>
        <v>公共部分装修</v>
      </c>
      <c r="R32" s="1559" t="s">
        <v>8</v>
      </c>
      <c r="S32" s="1560">
        <f t="shared" si="12"/>
        <v>100</v>
      </c>
      <c r="T32" s="1559" t="s">
        <v>8</v>
      </c>
      <c r="U32" s="1560">
        <f t="shared" si="13"/>
        <v>100</v>
      </c>
      <c r="V32" s="1559" t="s">
        <v>8</v>
      </c>
      <c r="W32" s="1560">
        <f t="shared" si="14"/>
        <v>100</v>
      </c>
      <c r="X32" s="1553"/>
      <c r="Y32" s="3398"/>
      <c r="Z32" s="1561" t="str">
        <f t="shared" si="15"/>
        <v>公共部分装修</v>
      </c>
      <c r="AA32" s="1562">
        <f t="shared" si="3"/>
        <v>1</v>
      </c>
      <c r="AB32" s="1562">
        <f t="shared" si="4"/>
        <v>1</v>
      </c>
      <c r="AC32" s="1562">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398"/>
      <c r="Q33" s="1558" t="str">
        <f t="shared" si="11"/>
        <v>成新度</v>
      </c>
      <c r="R33" s="1559" t="s">
        <v>8</v>
      </c>
      <c r="S33" s="1560" t="e">
        <f t="shared" si="12"/>
        <v>#N/A</v>
      </c>
      <c r="T33" s="1559" t="s">
        <v>8</v>
      </c>
      <c r="U33" s="1560" t="e">
        <f t="shared" si="13"/>
        <v>#N/A</v>
      </c>
      <c r="V33" s="1559" t="s">
        <v>8</v>
      </c>
      <c r="W33" s="1560" t="e">
        <f t="shared" si="14"/>
        <v>#N/A</v>
      </c>
      <c r="X33" s="1553"/>
      <c r="Y33" s="3398"/>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98"/>
      <c r="Q34" s="1146" t="str">
        <f t="shared" si="11"/>
        <v>物业管理</v>
      </c>
      <c r="R34" s="1554" t="s">
        <v>8</v>
      </c>
      <c r="S34" s="1555">
        <f t="shared" si="12"/>
        <v>100</v>
      </c>
      <c r="T34" s="1554" t="s">
        <v>8</v>
      </c>
      <c r="U34" s="1555">
        <f t="shared" si="13"/>
        <v>100</v>
      </c>
      <c r="V34" s="1554" t="s">
        <v>8</v>
      </c>
      <c r="W34" s="1555">
        <f t="shared" si="14"/>
        <v>100</v>
      </c>
      <c r="X34" s="1556"/>
      <c r="Y34" s="3398"/>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98" t="s">
        <v>549</v>
      </c>
      <c r="Q35" s="1558" t="str">
        <f t="shared" si="11"/>
        <v>市政基础设施</v>
      </c>
      <c r="R35" s="1559" t="s">
        <v>8</v>
      </c>
      <c r="S35" s="1560">
        <f t="shared" si="12"/>
        <v>100</v>
      </c>
      <c r="T35" s="1559" t="s">
        <v>8</v>
      </c>
      <c r="U35" s="1560">
        <f t="shared" si="13"/>
        <v>100</v>
      </c>
      <c r="V35" s="1559" t="s">
        <v>8</v>
      </c>
      <c r="W35" s="1560">
        <f t="shared" si="14"/>
        <v>100</v>
      </c>
      <c r="X35" s="1553"/>
      <c r="Y35" s="3398"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98"/>
      <c r="Q36" s="1558" t="str">
        <f t="shared" si="11"/>
        <v>内部装修</v>
      </c>
      <c r="R36" s="1559" t="s">
        <v>8</v>
      </c>
      <c r="S36" s="1560">
        <f t="shared" si="12"/>
        <v>100</v>
      </c>
      <c r="T36" s="1559" t="s">
        <v>8</v>
      </c>
      <c r="U36" s="1560">
        <f t="shared" si="13"/>
        <v>100</v>
      </c>
      <c r="V36" s="1559" t="s">
        <v>8</v>
      </c>
      <c r="W36" s="1560">
        <f t="shared" si="14"/>
        <v>100</v>
      </c>
      <c r="X36" s="1553"/>
      <c r="Y36" s="3398"/>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98"/>
      <c r="Q37" s="1558" t="str">
        <f t="shared" si="11"/>
        <v>内部装修状况</v>
      </c>
      <c r="R37" s="1559" t="s">
        <v>8</v>
      </c>
      <c r="S37" s="1560">
        <f t="shared" si="12"/>
        <v>100</v>
      </c>
      <c r="T37" s="1559" t="s">
        <v>8</v>
      </c>
      <c r="U37" s="1560">
        <f t="shared" si="13"/>
        <v>100</v>
      </c>
      <c r="V37" s="1559" t="s">
        <v>8</v>
      </c>
      <c r="W37" s="1560">
        <f t="shared" si="14"/>
        <v>100</v>
      </c>
      <c r="X37" s="1553"/>
      <c r="Y37" s="3398"/>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398"/>
      <c r="Q38" s="1590">
        <f t="shared" si="11"/>
        <v>111</v>
      </c>
      <c r="R38" s="1563" t="s">
        <v>8</v>
      </c>
      <c r="S38" s="1564">
        <f t="shared" si="12"/>
        <v>100</v>
      </c>
      <c r="T38" s="1563" t="s">
        <v>8</v>
      </c>
      <c r="U38" s="1564">
        <f t="shared" si="13"/>
        <v>100</v>
      </c>
      <c r="V38" s="1563" t="s">
        <v>8</v>
      </c>
      <c r="W38" s="1564">
        <f t="shared" si="14"/>
        <v>100</v>
      </c>
      <c r="X38" s="1565"/>
      <c r="Y38" s="3398"/>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398"/>
      <c r="Q39" s="1558">
        <f t="shared" si="11"/>
        <v>111</v>
      </c>
      <c r="R39" s="1559" t="s">
        <v>8</v>
      </c>
      <c r="S39" s="1560">
        <f t="shared" si="12"/>
        <v>100</v>
      </c>
      <c r="T39" s="1559" t="s">
        <v>8</v>
      </c>
      <c r="U39" s="1560">
        <f t="shared" si="13"/>
        <v>100</v>
      </c>
      <c r="V39" s="1559" t="s">
        <v>8</v>
      </c>
      <c r="W39" s="1560">
        <f t="shared" si="14"/>
        <v>100</v>
      </c>
      <c r="X39" s="1553"/>
      <c r="Y39" s="3398"/>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498"/>
      <c r="Q40" s="1558">
        <f t="shared" si="11"/>
        <v>111</v>
      </c>
      <c r="R40" s="1559" t="s">
        <v>8</v>
      </c>
      <c r="S40" s="1560">
        <f t="shared" si="12"/>
        <v>100</v>
      </c>
      <c r="T40" s="1559" t="s">
        <v>8</v>
      </c>
      <c r="U40" s="1560">
        <f t="shared" si="13"/>
        <v>100</v>
      </c>
      <c r="V40" s="1559" t="s">
        <v>8</v>
      </c>
      <c r="W40" s="1560">
        <f t="shared" si="14"/>
        <v>100</v>
      </c>
      <c r="X40" s="1553"/>
      <c r="Y40" s="3498"/>
      <c r="Z40" s="1561">
        <f t="shared" si="15"/>
        <v>111</v>
      </c>
      <c r="AA40" s="1562">
        <f t="shared" si="3"/>
        <v>1</v>
      </c>
      <c r="AB40" s="1562">
        <f t="shared" si="4"/>
        <v>1</v>
      </c>
      <c r="AC40" s="1562">
        <f t="shared" si="5"/>
        <v>1</v>
      </c>
    </row>
    <row r="41" spans="1:29" ht="15">
      <c r="A41" s="607" t="s">
        <v>735</v>
      </c>
      <c r="B41" s="886"/>
      <c r="C41" s="2591" t="s">
        <v>1</v>
      </c>
      <c r="D41" s="2592"/>
      <c r="E41" s="2593"/>
      <c r="F41" s="2594"/>
      <c r="G41" s="2595"/>
      <c r="H41" s="2596"/>
      <c r="I41" s="2593"/>
      <c r="J41" s="2596"/>
      <c r="K41" s="1596"/>
      <c r="L41" s="2129"/>
      <c r="M41" s="2130"/>
      <c r="N41" s="2119"/>
      <c r="O41" s="2130"/>
      <c r="P41" s="3393" t="str">
        <f>A41</f>
        <v>成交单价（元/平方米）</v>
      </c>
      <c r="Q41" s="3393"/>
      <c r="R41" s="3497">
        <f>E41</f>
        <v>0</v>
      </c>
      <c r="S41" s="3497"/>
      <c r="T41" s="3497">
        <f>G41</f>
        <v>0</v>
      </c>
      <c r="U41" s="3497"/>
      <c r="V41" s="3497">
        <f>I41</f>
        <v>0</v>
      </c>
      <c r="W41" s="3497"/>
      <c r="X41" s="1545"/>
      <c r="Y41" s="1567"/>
      <c r="Z41" s="1545"/>
      <c r="AA41" s="1545"/>
      <c r="AB41" s="1545"/>
      <c r="AC41" s="1545"/>
    </row>
    <row r="42" spans="1:29" ht="15.75" thickBot="1">
      <c r="A42" s="615" t="s">
        <v>2754</v>
      </c>
      <c r="B42" s="887"/>
      <c r="C42" s="2597" t="e">
        <f>R43</f>
        <v>#DIV/0!</v>
      </c>
      <c r="D42" s="2598"/>
      <c r="E42" s="2599" t="e">
        <f>R42</f>
        <v>#DIV/0!</v>
      </c>
      <c r="F42" s="2599"/>
      <c r="G42" s="2597" t="e">
        <f>T42</f>
        <v>#DIV/0!</v>
      </c>
      <c r="H42" s="2598"/>
      <c r="I42" s="2599" t="e">
        <f>V42</f>
        <v>#DIV/0!</v>
      </c>
      <c r="J42" s="2598"/>
      <c r="K42" s="1597"/>
      <c r="L42" s="2129"/>
      <c r="M42" s="2130"/>
      <c r="N42" s="2119"/>
      <c r="O42" s="2130"/>
      <c r="P42" s="3393" t="str">
        <f>A42</f>
        <v>比较价格（元/平方米）</v>
      </c>
      <c r="Q42" s="3393"/>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45"/>
      <c r="Y42" s="1545"/>
      <c r="Z42" s="1545"/>
      <c r="AA42" s="1545"/>
      <c r="AB42" s="1545"/>
      <c r="AC42" s="1545"/>
    </row>
    <row r="43" spans="1:29" ht="15.75" thickBot="1">
      <c r="A43" s="621" t="s">
        <v>2920</v>
      </c>
      <c r="B43" s="622"/>
      <c r="C43" s="2600" t="e">
        <f>R43</f>
        <v>#DIV/0!</v>
      </c>
      <c r="D43" s="2600"/>
      <c r="E43" s="2600"/>
      <c r="F43" s="2600"/>
      <c r="G43" s="2600"/>
      <c r="H43" s="2600"/>
      <c r="I43" s="2600"/>
      <c r="J43" s="2600"/>
      <c r="K43" s="1598"/>
      <c r="L43" s="2129"/>
      <c r="M43" s="2130"/>
      <c r="N43" s="2130"/>
      <c r="O43" s="2130"/>
      <c r="P43" s="3415" t="str">
        <f>A43</f>
        <v>估价对象XX用房的比较价格（楼面单价，元/平方米）</v>
      </c>
      <c r="Q43" s="3416"/>
      <c r="R43" s="3496" t="e">
        <f>IF(F1="售价",ROUND(AVERAGE(R42:V42),0),ROUND(AVERAGE(R42:V42),1))</f>
        <v>#DIV/0!</v>
      </c>
      <c r="S43" s="3496"/>
      <c r="T43" s="3496"/>
      <c r="U43" s="3496"/>
      <c r="V43" s="3496"/>
      <c r="W43" s="349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528</v>
      </c>
      <c r="B52" s="646"/>
      <c r="C52" s="2757" t="str">
        <f>YEAR(C7)&amp;"-"&amp;MONTH(C7)</f>
        <v>2020-5</v>
      </c>
      <c r="D52" s="2759">
        <f>EDATE(C52,-1)</f>
        <v>43922</v>
      </c>
      <c r="E52" s="2759">
        <f t="shared" ref="E52:O52" si="16">EDATE(D52,-1)</f>
        <v>43891</v>
      </c>
      <c r="F52" s="2759">
        <f t="shared" si="16"/>
        <v>43862</v>
      </c>
      <c r="G52" s="2759">
        <f t="shared" si="16"/>
        <v>43831</v>
      </c>
      <c r="H52" s="2759">
        <f t="shared" si="16"/>
        <v>43800</v>
      </c>
      <c r="I52" s="2759">
        <f t="shared" si="16"/>
        <v>43770</v>
      </c>
      <c r="J52" s="2759">
        <f t="shared" si="16"/>
        <v>43739</v>
      </c>
      <c r="K52" s="2759">
        <f t="shared" si="16"/>
        <v>43709</v>
      </c>
      <c r="L52" s="2759">
        <f t="shared" si="16"/>
        <v>43678</v>
      </c>
      <c r="M52" s="2759">
        <f t="shared" si="16"/>
        <v>43647</v>
      </c>
      <c r="N52" s="2759">
        <f t="shared" si="16"/>
        <v>43617</v>
      </c>
      <c r="O52" s="2759">
        <f t="shared" si="16"/>
        <v>43586</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2552</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2553</v>
      </c>
      <c r="C76" s="2562" t="s">
        <v>2554</v>
      </c>
      <c r="D76" s="2562" t="s">
        <v>2555</v>
      </c>
      <c r="E76" s="2562" t="s">
        <v>2556</v>
      </c>
      <c r="F76" s="2562" t="s">
        <v>2557</v>
      </c>
      <c r="G76" s="2562" t="s">
        <v>2558</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75" style="1332" customWidth="1"/>
    <col min="17" max="17" width="19.5" style="1332" customWidth="1"/>
    <col min="18" max="22" width="6.125" style="1332" customWidth="1"/>
    <col min="23" max="23" width="5.75" style="1332" customWidth="1"/>
    <col min="24" max="24" width="4.1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399" t="s">
        <v>797</v>
      </c>
      <c r="D4" s="3400"/>
      <c r="E4" s="3399" t="s">
        <v>798</v>
      </c>
      <c r="F4" s="3400"/>
      <c r="G4" s="3399" t="s">
        <v>799</v>
      </c>
      <c r="H4" s="3400"/>
      <c r="I4" s="3399" t="s">
        <v>800</v>
      </c>
      <c r="J4" s="3400"/>
      <c r="K4" s="514" t="s">
        <v>801</v>
      </c>
      <c r="L4" s="2118"/>
      <c r="M4" s="2119"/>
      <c r="N4" s="2119"/>
      <c r="O4" s="2119"/>
      <c r="P4" s="3401" t="s">
        <v>802</v>
      </c>
      <c r="Q4" s="3402"/>
      <c r="R4" s="3387" t="s">
        <v>798</v>
      </c>
      <c r="S4" s="3388"/>
      <c r="T4" s="3387" t="s">
        <v>799</v>
      </c>
      <c r="U4" s="3388"/>
      <c r="V4" s="3407" t="s">
        <v>800</v>
      </c>
      <c r="W4" s="3407"/>
      <c r="X4" s="1553"/>
      <c r="Y4" s="3387" t="s">
        <v>802</v>
      </c>
      <c r="Z4" s="3388"/>
      <c r="AA4" s="3382" t="s">
        <v>798</v>
      </c>
      <c r="AB4" s="3383" t="s">
        <v>799</v>
      </c>
      <c r="AC4" s="3382" t="s">
        <v>800</v>
      </c>
    </row>
    <row r="5" spans="1:29" ht="15">
      <c r="A5" s="515"/>
      <c r="B5" s="516"/>
      <c r="C5" s="3412" t="s">
        <v>2914</v>
      </c>
      <c r="D5" s="3411"/>
      <c r="E5" s="3412" t="s">
        <v>2915</v>
      </c>
      <c r="F5" s="3411"/>
      <c r="G5" s="3412" t="s">
        <v>2916</v>
      </c>
      <c r="H5" s="3411"/>
      <c r="I5" s="3412" t="s">
        <v>2917</v>
      </c>
      <c r="J5" s="3411"/>
      <c r="K5" s="514"/>
      <c r="L5" s="2118"/>
      <c r="M5" s="2119"/>
      <c r="N5" s="2119"/>
      <c r="O5" s="2119"/>
      <c r="P5" s="3403"/>
      <c r="Q5" s="3404"/>
      <c r="R5" s="3389"/>
      <c r="S5" s="3390"/>
      <c r="T5" s="3389"/>
      <c r="U5" s="3390"/>
      <c r="V5" s="3407"/>
      <c r="W5" s="3407"/>
      <c r="X5" s="1553"/>
      <c r="Y5" s="3389"/>
      <c r="Z5" s="3390"/>
      <c r="AA5" s="3383"/>
      <c r="AB5" s="3383"/>
      <c r="AC5" s="3383"/>
    </row>
    <row r="6" spans="1:29" ht="15.75" thickBot="1">
      <c r="A6" s="517"/>
      <c r="B6" s="518"/>
      <c r="C6" s="3408" t="s">
        <v>2918</v>
      </c>
      <c r="D6" s="3409"/>
      <c r="E6" s="3413" t="s">
        <v>2918</v>
      </c>
      <c r="F6" s="3414"/>
      <c r="G6" s="3408" t="s">
        <v>2918</v>
      </c>
      <c r="H6" s="3409"/>
      <c r="I6" s="3408" t="s">
        <v>2918</v>
      </c>
      <c r="J6" s="3409"/>
      <c r="K6" s="514" t="s">
        <v>527</v>
      </c>
      <c r="L6" s="2118"/>
      <c r="M6" s="2119"/>
      <c r="N6" s="2119"/>
      <c r="O6" s="2119"/>
      <c r="P6" s="3405"/>
      <c r="Q6" s="3406"/>
      <c r="R6" s="3389"/>
      <c r="S6" s="3390"/>
      <c r="T6" s="3391"/>
      <c r="U6" s="3392"/>
      <c r="V6" s="3407"/>
      <c r="W6" s="3407"/>
      <c r="X6" s="1553"/>
      <c r="Y6" s="3391"/>
      <c r="Z6" s="3392"/>
      <c r="AA6" s="3384"/>
      <c r="AB6" s="3384"/>
      <c r="AC6" s="3384"/>
    </row>
    <row r="7" spans="1:29" s="1215" customFormat="1" ht="15.75" thickBot="1">
      <c r="A7" s="2867"/>
      <c r="B7" s="2874" t="s">
        <v>528</v>
      </c>
      <c r="C7" s="519">
        <f>'数据-取费表'!B2</f>
        <v>43961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85" t="s">
        <v>529</v>
      </c>
      <c r="Q7" s="3394"/>
      <c r="R7" s="1554" t="s">
        <v>8</v>
      </c>
      <c r="S7" s="1555">
        <f t="shared" ref="S7:S14" si="0">F7</f>
        <v>0</v>
      </c>
      <c r="T7" s="1554" t="s">
        <v>8</v>
      </c>
      <c r="U7" s="1555">
        <f t="shared" ref="U7:U14" si="1">H7</f>
        <v>0</v>
      </c>
      <c r="V7" s="1554" t="s">
        <v>8</v>
      </c>
      <c r="W7" s="1555">
        <f t="shared" ref="W7:W14" si="2">J7</f>
        <v>0</v>
      </c>
      <c r="X7" s="1556"/>
      <c r="Y7" s="3385" t="s">
        <v>529</v>
      </c>
      <c r="Z7" s="3386"/>
      <c r="AA7" s="1557" t="e">
        <f>D7/F7</f>
        <v>#DIV/0!</v>
      </c>
      <c r="AB7" s="1557" t="e">
        <f>D7/H7</f>
        <v>#DIV/0!</v>
      </c>
      <c r="AC7" s="1557" t="e">
        <f>D7/J7</f>
        <v>#DIV/0!</v>
      </c>
    </row>
    <row r="8" spans="1:29" s="1215" customFormat="1" ht="15.7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85" t="s">
        <v>532</v>
      </c>
      <c r="Q8" s="3386"/>
      <c r="R8" s="1554" t="s">
        <v>8</v>
      </c>
      <c r="S8" s="1555">
        <f t="shared" si="0"/>
        <v>0</v>
      </c>
      <c r="T8" s="1554" t="s">
        <v>8</v>
      </c>
      <c r="U8" s="1555">
        <f t="shared" si="1"/>
        <v>0</v>
      </c>
      <c r="V8" s="1554" t="s">
        <v>8</v>
      </c>
      <c r="W8" s="1555">
        <f t="shared" si="2"/>
        <v>0</v>
      </c>
      <c r="X8" s="1556"/>
      <c r="Y8" s="3385" t="s">
        <v>532</v>
      </c>
      <c r="Z8" s="3386"/>
      <c r="AA8" s="1557" t="e">
        <f t="shared" ref="AA8:AA36" si="3">D8/F8</f>
        <v>#DIV/0!</v>
      </c>
      <c r="AB8" s="1557" t="e">
        <f t="shared" ref="AB8:AB36" si="4">D8/H8</f>
        <v>#DIV/0!</v>
      </c>
      <c r="AC8" s="1557" t="e">
        <f t="shared" ref="AC8:AC36" si="5">D8/J8</f>
        <v>#DIV/0!</v>
      </c>
    </row>
    <row r="9" spans="1:29" s="1215" customFormat="1" ht="15">
      <c r="A9" s="2869"/>
      <c r="B9" s="2876"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93" t="s">
        <v>534</v>
      </c>
      <c r="Q9" s="1146" t="str">
        <f t="shared" ref="Q9:Q14" si="6">B9</f>
        <v>用途</v>
      </c>
      <c r="R9" s="1554" t="s">
        <v>8</v>
      </c>
      <c r="S9" s="1555">
        <f t="shared" si="0"/>
        <v>100</v>
      </c>
      <c r="T9" s="1554" t="s">
        <v>8</v>
      </c>
      <c r="U9" s="1555">
        <f t="shared" si="1"/>
        <v>100</v>
      </c>
      <c r="V9" s="1554" t="s">
        <v>8</v>
      </c>
      <c r="W9" s="1555">
        <f t="shared" si="2"/>
        <v>100</v>
      </c>
      <c r="X9" s="1556"/>
      <c r="Y9" s="3350" t="s">
        <v>535</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93"/>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93"/>
      <c r="Q11" s="1146">
        <f t="shared" si="6"/>
        <v>111</v>
      </c>
      <c r="R11" s="1554" t="s">
        <v>8</v>
      </c>
      <c r="S11" s="1555">
        <f t="shared" si="0"/>
        <v>100</v>
      </c>
      <c r="T11" s="1554" t="s">
        <v>8</v>
      </c>
      <c r="U11" s="1555">
        <f t="shared" si="1"/>
        <v>100</v>
      </c>
      <c r="V11" s="1554" t="s">
        <v>8</v>
      </c>
      <c r="W11" s="1555">
        <f t="shared" si="2"/>
        <v>100</v>
      </c>
      <c r="X11" s="1556"/>
      <c r="Y11" s="3350"/>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93"/>
      <c r="Q12" s="1146">
        <f t="shared" si="6"/>
        <v>111</v>
      </c>
      <c r="R12" s="1554" t="s">
        <v>8</v>
      </c>
      <c r="S12" s="1555">
        <f t="shared" si="0"/>
        <v>100</v>
      </c>
      <c r="T12" s="1554" t="s">
        <v>8</v>
      </c>
      <c r="U12" s="1555">
        <f t="shared" si="1"/>
        <v>100</v>
      </c>
      <c r="V12" s="1554" t="s">
        <v>8</v>
      </c>
      <c r="W12" s="1555">
        <f t="shared" si="2"/>
        <v>100</v>
      </c>
      <c r="X12" s="1556"/>
      <c r="Y12" s="3350"/>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93"/>
      <c r="Q13" s="1146">
        <f t="shared" si="6"/>
        <v>111</v>
      </c>
      <c r="R13" s="1554" t="s">
        <v>8</v>
      </c>
      <c r="S13" s="1555">
        <f t="shared" si="0"/>
        <v>100</v>
      </c>
      <c r="T13" s="1554" t="s">
        <v>8</v>
      </c>
      <c r="U13" s="1555">
        <f t="shared" si="1"/>
        <v>100</v>
      </c>
      <c r="V13" s="1554" t="s">
        <v>8</v>
      </c>
      <c r="W13" s="1555">
        <f t="shared" si="2"/>
        <v>100</v>
      </c>
      <c r="X13" s="1556"/>
      <c r="Y13" s="3350"/>
      <c r="Z13" s="1145">
        <f t="shared" si="7"/>
        <v>111</v>
      </c>
      <c r="AA13" s="1557">
        <f t="shared" si="3"/>
        <v>1</v>
      </c>
      <c r="AB13" s="1557">
        <f t="shared" si="4"/>
        <v>1</v>
      </c>
      <c r="AC13" s="1557">
        <f t="shared" si="5"/>
        <v>1</v>
      </c>
    </row>
    <row r="14" spans="1:29" ht="15">
      <c r="A14" s="2865" t="s">
        <v>2748</v>
      </c>
      <c r="B14" s="547" t="s">
        <v>542</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395" t="s">
        <v>539</v>
      </c>
      <c r="Q14" s="1558" t="str">
        <f t="shared" si="6"/>
        <v>交通便捷度</v>
      </c>
      <c r="R14" s="1559" t="s">
        <v>8</v>
      </c>
      <c r="S14" s="1560">
        <f t="shared" si="0"/>
        <v>100</v>
      </c>
      <c r="T14" s="1559" t="s">
        <v>8</v>
      </c>
      <c r="U14" s="1560">
        <f t="shared" si="1"/>
        <v>100</v>
      </c>
      <c r="V14" s="1559" t="s">
        <v>8</v>
      </c>
      <c r="W14" s="1560">
        <f t="shared" si="2"/>
        <v>100</v>
      </c>
      <c r="X14" s="1553"/>
      <c r="Y14" s="3395" t="s">
        <v>539</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396"/>
      <c r="Q15" s="1558"/>
      <c r="R15" s="1559"/>
      <c r="S15" s="1560"/>
      <c r="T15" s="1559"/>
      <c r="U15" s="1560"/>
      <c r="V15" s="1559"/>
      <c r="W15" s="1560"/>
      <c r="X15" s="1553"/>
      <c r="Y15" s="3396"/>
      <c r="Z15" s="1561"/>
      <c r="AA15" s="1562">
        <v>1</v>
      </c>
      <c r="AB15" s="1562">
        <v>1</v>
      </c>
      <c r="AC15" s="1562">
        <v>1</v>
      </c>
    </row>
    <row r="16" spans="1:29" ht="15">
      <c r="A16" s="515"/>
      <c r="B16" s="2567" t="s">
        <v>2541</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396"/>
      <c r="Q16" s="1558" t="str">
        <f>B16</f>
        <v>公共配套设施</v>
      </c>
      <c r="R16" s="1559" t="s">
        <v>8</v>
      </c>
      <c r="S16" s="1560">
        <f>F16</f>
        <v>100</v>
      </c>
      <c r="T16" s="1559" t="s">
        <v>8</v>
      </c>
      <c r="U16" s="1560">
        <f>H16</f>
        <v>100</v>
      </c>
      <c r="V16" s="1559" t="s">
        <v>8</v>
      </c>
      <c r="W16" s="1560">
        <f>J16</f>
        <v>100</v>
      </c>
      <c r="X16" s="1553"/>
      <c r="Y16" s="3396"/>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396"/>
      <c r="Q17" s="1558"/>
      <c r="R17" s="1559"/>
      <c r="S17" s="1560"/>
      <c r="T17" s="1559"/>
      <c r="U17" s="1560"/>
      <c r="V17" s="1559"/>
      <c r="W17" s="1560"/>
      <c r="X17" s="1553"/>
      <c r="Y17" s="3396"/>
      <c r="Z17" s="1561"/>
      <c r="AA17" s="1562">
        <v>1</v>
      </c>
      <c r="AB17" s="1562">
        <v>1</v>
      </c>
      <c r="AC17" s="1562">
        <v>1</v>
      </c>
    </row>
    <row r="18" spans="1:29" ht="15">
      <c r="A18" s="515"/>
      <c r="B18" s="2555" t="s">
        <v>2553</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396"/>
      <c r="Q18" s="2543" t="str">
        <f>B18</f>
        <v>基础设施水平</v>
      </c>
      <c r="R18" s="1559" t="s">
        <v>8</v>
      </c>
      <c r="S18" s="1560">
        <f>F18</f>
        <v>100</v>
      </c>
      <c r="T18" s="1559" t="s">
        <v>8</v>
      </c>
      <c r="U18" s="1560">
        <f>H18</f>
        <v>100</v>
      </c>
      <c r="V18" s="1559" t="s">
        <v>8</v>
      </c>
      <c r="W18" s="1560">
        <f>J18</f>
        <v>100</v>
      </c>
      <c r="X18" s="2545"/>
      <c r="Y18" s="3396"/>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96"/>
      <c r="Q19" s="2543"/>
      <c r="R19" s="1559"/>
      <c r="S19" s="1560"/>
      <c r="T19" s="1559"/>
      <c r="U19" s="1560"/>
      <c r="V19" s="1559"/>
      <c r="W19" s="1560"/>
      <c r="X19" s="2545"/>
      <c r="Y19" s="3396"/>
      <c r="Z19" s="2544"/>
      <c r="AA19" s="1562">
        <v>1</v>
      </c>
      <c r="AB19" s="1562">
        <v>1</v>
      </c>
      <c r="AC19" s="1562">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396"/>
      <c r="Q20" s="1558" t="str">
        <f>B20</f>
        <v>自然及人文环境</v>
      </c>
      <c r="R20" s="1559" t="s">
        <v>8</v>
      </c>
      <c r="S20" s="1560">
        <f>F20</f>
        <v>100</v>
      </c>
      <c r="T20" s="1559" t="s">
        <v>8</v>
      </c>
      <c r="U20" s="1560">
        <f>H20</f>
        <v>100</v>
      </c>
      <c r="V20" s="1559" t="s">
        <v>8</v>
      </c>
      <c r="W20" s="1560">
        <f>J20</f>
        <v>100</v>
      </c>
      <c r="X20" s="1553"/>
      <c r="Y20" s="3396"/>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396"/>
      <c r="Q21" s="1558"/>
      <c r="R21" s="1559"/>
      <c r="S21" s="1560"/>
      <c r="T21" s="1559"/>
      <c r="U21" s="1560"/>
      <c r="V21" s="1559"/>
      <c r="W21" s="1560"/>
      <c r="X21" s="1553"/>
      <c r="Y21" s="3396"/>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6"/>
      <c r="Q22" s="1558" t="str">
        <f>B22</f>
        <v>楼层</v>
      </c>
      <c r="R22" s="1559" t="s">
        <v>8</v>
      </c>
      <c r="S22" s="1560">
        <f>F22</f>
        <v>100</v>
      </c>
      <c r="T22" s="1559" t="s">
        <v>8</v>
      </c>
      <c r="U22" s="1560">
        <f>H22</f>
        <v>100</v>
      </c>
      <c r="V22" s="1559" t="s">
        <v>8</v>
      </c>
      <c r="W22" s="1560">
        <f>J22</f>
        <v>100</v>
      </c>
      <c r="X22" s="1553"/>
      <c r="Y22" s="3396"/>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6"/>
      <c r="Q23" s="1558">
        <f>B23</f>
        <v>111</v>
      </c>
      <c r="R23" s="1559" t="s">
        <v>8</v>
      </c>
      <c r="S23" s="1560">
        <f>F23</f>
        <v>100</v>
      </c>
      <c r="T23" s="1559" t="s">
        <v>8</v>
      </c>
      <c r="U23" s="1560">
        <f>H23</f>
        <v>100</v>
      </c>
      <c r="V23" s="1559" t="s">
        <v>8</v>
      </c>
      <c r="W23" s="1560">
        <f>J23</f>
        <v>100</v>
      </c>
      <c r="X23" s="1553"/>
      <c r="Y23" s="3396"/>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6"/>
      <c r="Q24" s="1558">
        <f t="shared" ref="Q24:Q36" si="11">B24</f>
        <v>111</v>
      </c>
      <c r="R24" s="1559" t="s">
        <v>8</v>
      </c>
      <c r="S24" s="1560">
        <f>F24</f>
        <v>100</v>
      </c>
      <c r="T24" s="1559" t="s">
        <v>8</v>
      </c>
      <c r="U24" s="1560">
        <f>H24</f>
        <v>100</v>
      </c>
      <c r="V24" s="1559" t="s">
        <v>8</v>
      </c>
      <c r="W24" s="1560">
        <f>J24</f>
        <v>100</v>
      </c>
      <c r="X24" s="1553"/>
      <c r="Y24" s="3396"/>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396"/>
      <c r="Q25" s="1146">
        <f t="shared" si="11"/>
        <v>111</v>
      </c>
      <c r="R25" s="1554" t="s">
        <v>8</v>
      </c>
      <c r="S25" s="1555">
        <f>F25</f>
        <v>100</v>
      </c>
      <c r="T25" s="1554" t="s">
        <v>8</v>
      </c>
      <c r="U25" s="1555">
        <f>H25</f>
        <v>100</v>
      </c>
      <c r="V25" s="1554" t="s">
        <v>8</v>
      </c>
      <c r="W25" s="1555">
        <f>J25</f>
        <v>100</v>
      </c>
      <c r="X25" s="1556"/>
      <c r="Y25" s="3396"/>
      <c r="Z25" s="1145">
        <f>Q25</f>
        <v>111</v>
      </c>
      <c r="AA25" s="1562">
        <f>D25/F25</f>
        <v>1</v>
      </c>
      <c r="AB25" s="1562">
        <f>D25/H25</f>
        <v>1</v>
      </c>
      <c r="AC25" s="1562">
        <f>D25/J25</f>
        <v>1</v>
      </c>
    </row>
    <row r="26" spans="1:29" ht="15">
      <c r="A26" s="2862" t="s">
        <v>2749</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97"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8" t="s">
        <v>549</v>
      </c>
      <c r="Z26" s="1561" t="str">
        <f t="shared" ref="Z26:Z36" si="15">Q26</f>
        <v>配套类型</v>
      </c>
      <c r="AA26" s="1562">
        <f t="shared" si="3"/>
        <v>1</v>
      </c>
      <c r="AB26" s="1562">
        <f t="shared" si="4"/>
        <v>1</v>
      </c>
      <c r="AC26" s="1562">
        <f t="shared" si="5"/>
        <v>1</v>
      </c>
    </row>
    <row r="27" spans="1:29" s="1334"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398"/>
      <c r="Q27" s="1590" t="str">
        <f t="shared" si="11"/>
        <v>项目停车位配比</v>
      </c>
      <c r="R27" s="1563" t="s">
        <v>8</v>
      </c>
      <c r="S27" s="1564">
        <f t="shared" si="12"/>
        <v>100</v>
      </c>
      <c r="T27" s="1563" t="s">
        <v>8</v>
      </c>
      <c r="U27" s="1564">
        <f t="shared" si="13"/>
        <v>100</v>
      </c>
      <c r="V27" s="1563" t="s">
        <v>8</v>
      </c>
      <c r="W27" s="1564">
        <f t="shared" si="14"/>
        <v>100</v>
      </c>
      <c r="X27" s="1565"/>
      <c r="Y27" s="3398"/>
      <c r="Z27" s="1566" t="str">
        <f t="shared" si="15"/>
        <v>项目停车位配比</v>
      </c>
      <c r="AA27" s="1562">
        <f t="shared" si="3"/>
        <v>1</v>
      </c>
      <c r="AB27" s="1562">
        <f t="shared" si="4"/>
        <v>1</v>
      </c>
      <c r="AC27" s="1562">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98"/>
      <c r="Q28" s="1558" t="str">
        <f t="shared" si="11"/>
        <v>公共部分装修</v>
      </c>
      <c r="R28" s="1559" t="s">
        <v>8</v>
      </c>
      <c r="S28" s="1560">
        <f t="shared" si="12"/>
        <v>100</v>
      </c>
      <c r="T28" s="1559" t="s">
        <v>8</v>
      </c>
      <c r="U28" s="1560">
        <f t="shared" si="13"/>
        <v>100</v>
      </c>
      <c r="V28" s="1559" t="s">
        <v>8</v>
      </c>
      <c r="W28" s="1560">
        <f t="shared" si="14"/>
        <v>100</v>
      </c>
      <c r="X28" s="1553"/>
      <c r="Y28" s="3398"/>
      <c r="Z28" s="1561" t="str">
        <f t="shared" si="15"/>
        <v>公共部分装修</v>
      </c>
      <c r="AA28" s="1562">
        <f t="shared" si="3"/>
        <v>1</v>
      </c>
      <c r="AB28" s="1562">
        <f t="shared" si="4"/>
        <v>1</v>
      </c>
      <c r="AC28" s="1562">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398"/>
      <c r="Q29" s="1558" t="str">
        <f t="shared" si="11"/>
        <v>成新率</v>
      </c>
      <c r="R29" s="1559" t="s">
        <v>8</v>
      </c>
      <c r="S29" s="1560" t="e">
        <f t="shared" si="12"/>
        <v>#N/A</v>
      </c>
      <c r="T29" s="1559" t="s">
        <v>8</v>
      </c>
      <c r="U29" s="1560" t="e">
        <f t="shared" si="13"/>
        <v>#N/A</v>
      </c>
      <c r="V29" s="1559" t="s">
        <v>8</v>
      </c>
      <c r="W29" s="1560" t="e">
        <f t="shared" si="14"/>
        <v>#N/A</v>
      </c>
      <c r="X29" s="1553"/>
      <c r="Y29" s="3398"/>
      <c r="Z29" s="1561" t="str">
        <f t="shared" si="15"/>
        <v>成新率</v>
      </c>
      <c r="AA29" s="1562" t="e">
        <f t="shared" si="3"/>
        <v>#N/A</v>
      </c>
      <c r="AB29" s="1562" t="e">
        <f t="shared" si="4"/>
        <v>#N/A</v>
      </c>
      <c r="AC29" s="1562"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398"/>
      <c r="Q30" s="1558" t="str">
        <f t="shared" si="11"/>
        <v>物业等级</v>
      </c>
      <c r="R30" s="1559" t="s">
        <v>8</v>
      </c>
      <c r="S30" s="1560">
        <f t="shared" si="12"/>
        <v>100</v>
      </c>
      <c r="T30" s="1559" t="s">
        <v>8</v>
      </c>
      <c r="U30" s="1560">
        <f t="shared" si="13"/>
        <v>100</v>
      </c>
      <c r="V30" s="1559" t="s">
        <v>8</v>
      </c>
      <c r="W30" s="1560">
        <f t="shared" si="14"/>
        <v>100</v>
      </c>
      <c r="X30" s="1553"/>
      <c r="Y30" s="3398"/>
      <c r="Z30" s="1561" t="str">
        <f t="shared" si="15"/>
        <v>物业等级</v>
      </c>
      <c r="AA30" s="1562">
        <f t="shared" si="3"/>
        <v>1</v>
      </c>
      <c r="AB30" s="1562">
        <f t="shared" si="4"/>
        <v>1</v>
      </c>
      <c r="AC30" s="1562">
        <f t="shared" si="5"/>
        <v>1</v>
      </c>
    </row>
    <row r="31" spans="1:29" s="1215"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398"/>
      <c r="Q31" s="1146" t="str">
        <f t="shared" si="11"/>
        <v>停车位面积</v>
      </c>
      <c r="R31" s="1554" t="s">
        <v>8</v>
      </c>
      <c r="S31" s="1555" t="e">
        <f t="shared" si="12"/>
        <v>#N/A</v>
      </c>
      <c r="T31" s="1554" t="s">
        <v>8</v>
      </c>
      <c r="U31" s="1555" t="e">
        <f t="shared" si="13"/>
        <v>#N/A</v>
      </c>
      <c r="V31" s="1554" t="s">
        <v>8</v>
      </c>
      <c r="W31" s="1555" t="e">
        <f t="shared" si="14"/>
        <v>#N/A</v>
      </c>
      <c r="X31" s="1556"/>
      <c r="Y31" s="3398"/>
      <c r="Z31" s="1145" t="str">
        <f t="shared" si="15"/>
        <v>停车位面积</v>
      </c>
      <c r="AA31" s="1557" t="e">
        <f t="shared" si="3"/>
        <v>#N/A</v>
      </c>
      <c r="AB31" s="1557" t="e">
        <f t="shared" si="4"/>
        <v>#N/A</v>
      </c>
      <c r="AC31" s="1557"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98" t="s">
        <v>549</v>
      </c>
      <c r="Q32" s="1558" t="str">
        <f t="shared" si="11"/>
        <v>车位类型</v>
      </c>
      <c r="R32" s="1559" t="s">
        <v>8</v>
      </c>
      <c r="S32" s="1560">
        <f t="shared" si="12"/>
        <v>100</v>
      </c>
      <c r="T32" s="1559" t="s">
        <v>8</v>
      </c>
      <c r="U32" s="1560">
        <f t="shared" si="13"/>
        <v>100</v>
      </c>
      <c r="V32" s="1559" t="s">
        <v>8</v>
      </c>
      <c r="W32" s="1560">
        <f t="shared" si="14"/>
        <v>100</v>
      </c>
      <c r="X32" s="1553"/>
      <c r="Y32" s="3398" t="s">
        <v>549</v>
      </c>
      <c r="Z32" s="1561" t="str">
        <f t="shared" si="15"/>
        <v>车位类型</v>
      </c>
      <c r="AA32" s="1562">
        <f t="shared" si="3"/>
        <v>1</v>
      </c>
      <c r="AB32" s="1562">
        <f t="shared" si="4"/>
        <v>1</v>
      </c>
      <c r="AC32" s="1562">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98"/>
      <c r="Q33" s="1558" t="str">
        <f t="shared" si="11"/>
        <v>是否直接入户</v>
      </c>
      <c r="R33" s="1559" t="s">
        <v>8</v>
      </c>
      <c r="S33" s="1560">
        <f t="shared" si="12"/>
        <v>100</v>
      </c>
      <c r="T33" s="1559" t="s">
        <v>8</v>
      </c>
      <c r="U33" s="1560">
        <f t="shared" si="13"/>
        <v>100</v>
      </c>
      <c r="V33" s="1559" t="s">
        <v>8</v>
      </c>
      <c r="W33" s="1560">
        <f t="shared" si="14"/>
        <v>100</v>
      </c>
      <c r="X33" s="1553"/>
      <c r="Y33" s="3398"/>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98"/>
      <c r="Q34" s="1558">
        <f t="shared" si="11"/>
        <v>111</v>
      </c>
      <c r="R34" s="1559" t="s">
        <v>8</v>
      </c>
      <c r="S34" s="1560">
        <f t="shared" si="12"/>
        <v>100</v>
      </c>
      <c r="T34" s="1559" t="s">
        <v>8</v>
      </c>
      <c r="U34" s="1560">
        <f t="shared" si="13"/>
        <v>100</v>
      </c>
      <c r="V34" s="1559" t="s">
        <v>8</v>
      </c>
      <c r="W34" s="1560">
        <f t="shared" si="14"/>
        <v>100</v>
      </c>
      <c r="X34" s="1553"/>
      <c r="Y34" s="3398"/>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98"/>
      <c r="Q35" s="1590">
        <f t="shared" si="11"/>
        <v>111</v>
      </c>
      <c r="R35" s="1563" t="s">
        <v>8</v>
      </c>
      <c r="S35" s="1564">
        <f t="shared" si="12"/>
        <v>100</v>
      </c>
      <c r="T35" s="1563" t="s">
        <v>8</v>
      </c>
      <c r="U35" s="1564">
        <f t="shared" si="13"/>
        <v>100</v>
      </c>
      <c r="V35" s="1563" t="s">
        <v>8</v>
      </c>
      <c r="W35" s="1564">
        <f t="shared" si="14"/>
        <v>100</v>
      </c>
      <c r="X35" s="1565"/>
      <c r="Y35" s="3398"/>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98"/>
      <c r="Q36" s="1558">
        <f t="shared" si="11"/>
        <v>111</v>
      </c>
      <c r="R36" s="1559" t="s">
        <v>8</v>
      </c>
      <c r="S36" s="1560">
        <f t="shared" si="12"/>
        <v>100</v>
      </c>
      <c r="T36" s="1559" t="s">
        <v>8</v>
      </c>
      <c r="U36" s="1560">
        <f t="shared" si="13"/>
        <v>100</v>
      </c>
      <c r="V36" s="1559" t="s">
        <v>8</v>
      </c>
      <c r="W36" s="1560">
        <f t="shared" si="14"/>
        <v>100</v>
      </c>
      <c r="X36" s="1553"/>
      <c r="Y36" s="3398"/>
      <c r="Z36" s="1561">
        <f t="shared" si="15"/>
        <v>111</v>
      </c>
      <c r="AA36" s="1562">
        <f t="shared" si="3"/>
        <v>1</v>
      </c>
      <c r="AB36" s="1562">
        <f t="shared" si="4"/>
        <v>1</v>
      </c>
      <c r="AC36" s="1562">
        <f t="shared" si="5"/>
        <v>1</v>
      </c>
    </row>
    <row r="37" spans="1:29" ht="15">
      <c r="A37" s="1831" t="s">
        <v>2074</v>
      </c>
      <c r="B37" s="1832" t="s">
        <v>2075</v>
      </c>
      <c r="C37" s="2591" t="s">
        <v>1</v>
      </c>
      <c r="D37" s="2592"/>
      <c r="E37" s="2593"/>
      <c r="F37" s="2594"/>
      <c r="G37" s="2595"/>
      <c r="H37" s="2596"/>
      <c r="I37" s="2593"/>
      <c r="J37" s="2596"/>
      <c r="K37" s="1596"/>
      <c r="L37" s="2129"/>
      <c r="M37" s="2130"/>
      <c r="N37" s="2119"/>
      <c r="O37" s="2130"/>
      <c r="P37" s="3393" t="str">
        <f>A37</f>
        <v>成交单价</v>
      </c>
      <c r="Q37" s="3393"/>
      <c r="R37" s="3497">
        <f>E37</f>
        <v>0</v>
      </c>
      <c r="S37" s="3497"/>
      <c r="T37" s="3497">
        <f>G37</f>
        <v>0</v>
      </c>
      <c r="U37" s="3497"/>
      <c r="V37" s="3497">
        <f>I37</f>
        <v>0</v>
      </c>
      <c r="W37" s="3497"/>
      <c r="X37" s="1545"/>
      <c r="Y37" s="1567"/>
      <c r="Z37" s="1545"/>
      <c r="AA37" s="1545"/>
      <c r="AB37" s="1545"/>
      <c r="AC37" s="1545"/>
    </row>
    <row r="38" spans="1:29" ht="15.75" thickBot="1">
      <c r="A38" s="615" t="s">
        <v>2754</v>
      </c>
      <c r="B38" s="887"/>
      <c r="C38" s="2597" t="e">
        <f>R39</f>
        <v>#DIV/0!</v>
      </c>
      <c r="D38" s="2598"/>
      <c r="E38" s="2599" t="e">
        <f>R38</f>
        <v>#DIV/0!</v>
      </c>
      <c r="F38" s="2599"/>
      <c r="G38" s="2597" t="e">
        <f>T38</f>
        <v>#DIV/0!</v>
      </c>
      <c r="H38" s="2598"/>
      <c r="I38" s="2599" t="e">
        <f>V38</f>
        <v>#DIV/0!</v>
      </c>
      <c r="J38" s="2598"/>
      <c r="K38" s="1597"/>
      <c r="L38" s="2129"/>
      <c r="M38" s="2130"/>
      <c r="N38" s="2130"/>
      <c r="O38" s="2130"/>
      <c r="P38" s="3393" t="str">
        <f>A38</f>
        <v>比较价格（元/平方米）</v>
      </c>
      <c r="Q38" s="3393"/>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45"/>
      <c r="Y38" s="1545"/>
      <c r="Z38" s="1545"/>
      <c r="AA38" s="1545"/>
      <c r="AB38" s="1545"/>
      <c r="AC38" s="1545"/>
    </row>
    <row r="39" spans="1:29" ht="15.75" thickBot="1">
      <c r="A39" s="621" t="s">
        <v>2920</v>
      </c>
      <c r="B39" s="622"/>
      <c r="C39" s="2600" t="e">
        <f>R39</f>
        <v>#DIV/0!</v>
      </c>
      <c r="D39" s="2600"/>
      <c r="E39" s="2600"/>
      <c r="F39" s="2600"/>
      <c r="G39" s="2600"/>
      <c r="H39" s="2600"/>
      <c r="I39" s="2600"/>
      <c r="J39" s="2600"/>
      <c r="K39" s="1598"/>
      <c r="L39" s="2129"/>
      <c r="M39" s="2130"/>
      <c r="N39" s="2130"/>
      <c r="O39" s="2130"/>
      <c r="P39" s="3415" t="str">
        <f>A39</f>
        <v>估价对象XX用房的比较价格（楼面单价，元/平方米）</v>
      </c>
      <c r="Q39" s="3416"/>
      <c r="R39" s="3496" t="e">
        <f>IF(F1="售价",ROUND(AVERAGE(R38:V38),0),ROUND(AVERAGE(R38:V38),1))</f>
        <v>#DIV/0!</v>
      </c>
      <c r="S39" s="3496"/>
      <c r="T39" s="3496"/>
      <c r="U39" s="3496"/>
      <c r="V39" s="3496"/>
      <c r="W39" s="349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528</v>
      </c>
      <c r="B48" s="646"/>
      <c r="C48" s="2757" t="str">
        <f>YEAR(C7)&amp;"-"&amp;MONTH(C7)</f>
        <v>2020-5</v>
      </c>
      <c r="D48" s="2759">
        <f>EDATE(C48,-1)</f>
        <v>43922</v>
      </c>
      <c r="E48" s="2759">
        <f t="shared" ref="E48:O48" si="16">EDATE(D48,-1)</f>
        <v>43891</v>
      </c>
      <c r="F48" s="2759">
        <f t="shared" si="16"/>
        <v>43862</v>
      </c>
      <c r="G48" s="2759">
        <f t="shared" si="16"/>
        <v>43831</v>
      </c>
      <c r="H48" s="2759">
        <f t="shared" si="16"/>
        <v>43800</v>
      </c>
      <c r="I48" s="2759">
        <f t="shared" si="16"/>
        <v>43770</v>
      </c>
      <c r="J48" s="2759">
        <f t="shared" si="16"/>
        <v>43739</v>
      </c>
      <c r="K48" s="2759">
        <f t="shared" si="16"/>
        <v>43709</v>
      </c>
      <c r="L48" s="2759">
        <f t="shared" si="16"/>
        <v>43678</v>
      </c>
      <c r="M48" s="2759">
        <f t="shared" si="16"/>
        <v>43647</v>
      </c>
      <c r="N48" s="2759">
        <f t="shared" si="16"/>
        <v>43617</v>
      </c>
      <c r="O48" s="2759">
        <f t="shared" si="16"/>
        <v>43586</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2552</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75" style="1332" customWidth="1"/>
    <col min="17" max="17" width="19.5" style="1332" customWidth="1"/>
    <col min="18" max="22" width="6.125" style="1332" customWidth="1"/>
    <col min="23" max="23" width="5.75" style="1332" customWidth="1"/>
    <col min="24" max="24" width="4.1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399" t="s">
        <v>797</v>
      </c>
      <c r="D4" s="3400"/>
      <c r="E4" s="3424" t="s">
        <v>798</v>
      </c>
      <c r="F4" s="3425"/>
      <c r="G4" s="3399" t="s">
        <v>799</v>
      </c>
      <c r="H4" s="3400"/>
      <c r="I4" s="3399" t="s">
        <v>800</v>
      </c>
      <c r="J4" s="3400"/>
      <c r="K4" s="514" t="s">
        <v>801</v>
      </c>
      <c r="L4" s="2118"/>
      <c r="M4" s="2119"/>
      <c r="N4" s="2119"/>
      <c r="O4" s="2119"/>
      <c r="P4" s="3401" t="s">
        <v>802</v>
      </c>
      <c r="Q4" s="3402"/>
      <c r="R4" s="3387" t="s">
        <v>798</v>
      </c>
      <c r="S4" s="3388"/>
      <c r="T4" s="3387" t="s">
        <v>799</v>
      </c>
      <c r="U4" s="3388"/>
      <c r="V4" s="3407" t="s">
        <v>800</v>
      </c>
      <c r="W4" s="3407"/>
      <c r="X4" s="1553"/>
      <c r="Y4" s="3387" t="s">
        <v>802</v>
      </c>
      <c r="Z4" s="3388"/>
      <c r="AA4" s="3382" t="s">
        <v>798</v>
      </c>
      <c r="AB4" s="3383" t="s">
        <v>799</v>
      </c>
      <c r="AC4" s="3382" t="s">
        <v>800</v>
      </c>
    </row>
    <row r="5" spans="1:29" ht="15">
      <c r="A5" s="515"/>
      <c r="B5" s="516"/>
      <c r="C5" s="3412" t="s">
        <v>2914</v>
      </c>
      <c r="D5" s="3411"/>
      <c r="E5" s="3426" t="s">
        <v>2915</v>
      </c>
      <c r="F5" s="3427"/>
      <c r="G5" s="3412" t="s">
        <v>2916</v>
      </c>
      <c r="H5" s="3411"/>
      <c r="I5" s="3412" t="s">
        <v>2917</v>
      </c>
      <c r="J5" s="3411"/>
      <c r="K5" s="514"/>
      <c r="L5" s="2118"/>
      <c r="M5" s="2119"/>
      <c r="N5" s="2119"/>
      <c r="O5" s="2119"/>
      <c r="P5" s="3403"/>
      <c r="Q5" s="3404"/>
      <c r="R5" s="3389"/>
      <c r="S5" s="3390"/>
      <c r="T5" s="3389"/>
      <c r="U5" s="3390"/>
      <c r="V5" s="3407"/>
      <c r="W5" s="3407"/>
      <c r="X5" s="1553"/>
      <c r="Y5" s="3389"/>
      <c r="Z5" s="3390"/>
      <c r="AA5" s="3383"/>
      <c r="AB5" s="3383"/>
      <c r="AC5" s="3383"/>
    </row>
    <row r="6" spans="1:29" ht="15.75" thickBot="1">
      <c r="A6" s="517"/>
      <c r="B6" s="518"/>
      <c r="C6" s="3408" t="s">
        <v>2918</v>
      </c>
      <c r="D6" s="3409"/>
      <c r="E6" s="3428" t="s">
        <v>2918</v>
      </c>
      <c r="F6" s="3429"/>
      <c r="G6" s="3408" t="s">
        <v>2918</v>
      </c>
      <c r="H6" s="3409"/>
      <c r="I6" s="3408" t="s">
        <v>2918</v>
      </c>
      <c r="J6" s="3409"/>
      <c r="K6" s="514" t="s">
        <v>527</v>
      </c>
      <c r="L6" s="2118"/>
      <c r="M6" s="2119"/>
      <c r="N6" s="2119"/>
      <c r="O6" s="2119"/>
      <c r="P6" s="3405"/>
      <c r="Q6" s="3406"/>
      <c r="R6" s="3389"/>
      <c r="S6" s="3390"/>
      <c r="T6" s="3391"/>
      <c r="U6" s="3392"/>
      <c r="V6" s="3407"/>
      <c r="W6" s="3407"/>
      <c r="X6" s="1553"/>
      <c r="Y6" s="3391"/>
      <c r="Z6" s="3392"/>
      <c r="AA6" s="3384"/>
      <c r="AB6" s="3384"/>
      <c r="AC6" s="3384"/>
    </row>
    <row r="7" spans="1:29" s="1215" customFormat="1" ht="15.75" thickBot="1">
      <c r="A7" s="2867"/>
      <c r="B7" s="2874" t="s">
        <v>528</v>
      </c>
      <c r="C7" s="519">
        <f>'数据-取费表'!B2</f>
        <v>43961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85" t="s">
        <v>529</v>
      </c>
      <c r="Q7" s="3394"/>
      <c r="R7" s="1554" t="s">
        <v>8</v>
      </c>
      <c r="S7" s="1555">
        <f t="shared" ref="S7:S14" si="0">F7</f>
        <v>0</v>
      </c>
      <c r="T7" s="1554" t="s">
        <v>8</v>
      </c>
      <c r="U7" s="1555">
        <f t="shared" ref="U7:U14" si="1">H7</f>
        <v>0</v>
      </c>
      <c r="V7" s="1554" t="s">
        <v>8</v>
      </c>
      <c r="W7" s="1555">
        <f t="shared" ref="W7:W14" si="2">J7</f>
        <v>0</v>
      </c>
      <c r="X7" s="1556"/>
      <c r="Y7" s="3385" t="s">
        <v>529</v>
      </c>
      <c r="Z7" s="3386"/>
      <c r="AA7" s="1557" t="e">
        <f>D7/F7</f>
        <v>#DIV/0!</v>
      </c>
      <c r="AB7" s="1557" t="e">
        <f>D7/H7</f>
        <v>#DIV/0!</v>
      </c>
      <c r="AC7" s="1557" t="e">
        <f>D7/J7</f>
        <v>#DIV/0!</v>
      </c>
    </row>
    <row r="8" spans="1:29" s="1215" customFormat="1" ht="15.7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85" t="s">
        <v>532</v>
      </c>
      <c r="Q8" s="3386"/>
      <c r="R8" s="1554" t="s">
        <v>8</v>
      </c>
      <c r="S8" s="1555">
        <f t="shared" si="0"/>
        <v>0</v>
      </c>
      <c r="T8" s="1554" t="s">
        <v>8</v>
      </c>
      <c r="U8" s="1555">
        <f t="shared" si="1"/>
        <v>0</v>
      </c>
      <c r="V8" s="1554" t="s">
        <v>8</v>
      </c>
      <c r="W8" s="1555">
        <f t="shared" si="2"/>
        <v>0</v>
      </c>
      <c r="X8" s="1556"/>
      <c r="Y8" s="3385" t="s">
        <v>532</v>
      </c>
      <c r="Z8" s="3386"/>
      <c r="AA8" s="1557" t="e">
        <f t="shared" ref="AA8:AA34" si="3">D8/F8</f>
        <v>#DIV/0!</v>
      </c>
      <c r="AB8" s="1557" t="e">
        <f t="shared" ref="AB8:AB34" si="4">D8/H8</f>
        <v>#DIV/0!</v>
      </c>
      <c r="AC8" s="1557" t="e">
        <f t="shared" ref="AC8:AC34" si="5">D8/J8</f>
        <v>#DIV/0!</v>
      </c>
    </row>
    <row r="9" spans="1:29" s="1215" customFormat="1" ht="15">
      <c r="A9" s="2869"/>
      <c r="B9" s="2876"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93" t="s">
        <v>534</v>
      </c>
      <c r="Q9" s="1146" t="str">
        <f t="shared" ref="Q9:Q14" si="6">B9</f>
        <v>用途</v>
      </c>
      <c r="R9" s="1554" t="s">
        <v>8</v>
      </c>
      <c r="S9" s="1555">
        <f t="shared" si="0"/>
        <v>100</v>
      </c>
      <c r="T9" s="1554" t="s">
        <v>8</v>
      </c>
      <c r="U9" s="1555">
        <f t="shared" si="1"/>
        <v>100</v>
      </c>
      <c r="V9" s="1554" t="s">
        <v>8</v>
      </c>
      <c r="W9" s="1555">
        <f t="shared" si="2"/>
        <v>100</v>
      </c>
      <c r="X9" s="1556"/>
      <c r="Y9" s="3350" t="s">
        <v>535</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93"/>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93"/>
      <c r="Q11" s="1146">
        <f t="shared" si="6"/>
        <v>111</v>
      </c>
      <c r="R11" s="1554" t="s">
        <v>8</v>
      </c>
      <c r="S11" s="1555">
        <f t="shared" si="0"/>
        <v>100</v>
      </c>
      <c r="T11" s="1554" t="s">
        <v>8</v>
      </c>
      <c r="U11" s="1555">
        <f t="shared" si="1"/>
        <v>100</v>
      </c>
      <c r="V11" s="1554" t="s">
        <v>8</v>
      </c>
      <c r="W11" s="1555">
        <f t="shared" si="2"/>
        <v>100</v>
      </c>
      <c r="X11" s="1556"/>
      <c r="Y11" s="3350"/>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93"/>
      <c r="Q12" s="1146">
        <f t="shared" si="6"/>
        <v>111</v>
      </c>
      <c r="R12" s="1554" t="s">
        <v>8</v>
      </c>
      <c r="S12" s="1555">
        <f t="shared" si="0"/>
        <v>100</v>
      </c>
      <c r="T12" s="1554" t="s">
        <v>8</v>
      </c>
      <c r="U12" s="1555">
        <f t="shared" si="1"/>
        <v>100</v>
      </c>
      <c r="V12" s="1554" t="s">
        <v>8</v>
      </c>
      <c r="W12" s="1555">
        <f t="shared" si="2"/>
        <v>100</v>
      </c>
      <c r="X12" s="1556"/>
      <c r="Y12" s="3350"/>
      <c r="Z12" s="1145">
        <f t="shared" si="7"/>
        <v>111</v>
      </c>
      <c r="AA12" s="1557">
        <f>D12/F12</f>
        <v>1</v>
      </c>
      <c r="AB12" s="1557">
        <f>D12/H12</f>
        <v>1</v>
      </c>
      <c r="AC12" s="1557">
        <f>D12/J12</f>
        <v>1</v>
      </c>
    </row>
    <row r="13" spans="1:29" ht="15.75"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93"/>
      <c r="Q13" s="1146">
        <f t="shared" si="6"/>
        <v>111</v>
      </c>
      <c r="R13" s="1554" t="s">
        <v>8</v>
      </c>
      <c r="S13" s="1555">
        <f t="shared" si="0"/>
        <v>100</v>
      </c>
      <c r="T13" s="1554" t="s">
        <v>8</v>
      </c>
      <c r="U13" s="1555">
        <f t="shared" si="1"/>
        <v>100</v>
      </c>
      <c r="V13" s="1554" t="s">
        <v>8</v>
      </c>
      <c r="W13" s="1555">
        <f t="shared" si="2"/>
        <v>100</v>
      </c>
      <c r="X13" s="1556"/>
      <c r="Y13" s="3350"/>
      <c r="Z13" s="1145">
        <f t="shared" si="7"/>
        <v>111</v>
      </c>
      <c r="AA13" s="1557">
        <f t="shared" si="3"/>
        <v>1</v>
      </c>
      <c r="AB13" s="1557">
        <f t="shared" si="4"/>
        <v>1</v>
      </c>
      <c r="AC13" s="1557">
        <f t="shared" si="5"/>
        <v>1</v>
      </c>
    </row>
    <row r="14" spans="1:29" ht="15">
      <c r="A14" s="2865" t="s">
        <v>2748</v>
      </c>
      <c r="B14" s="166" t="s">
        <v>542</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395" t="s">
        <v>539</v>
      </c>
      <c r="Q14" s="1558" t="str">
        <f t="shared" si="6"/>
        <v>交通便捷度</v>
      </c>
      <c r="R14" s="1559" t="s">
        <v>8</v>
      </c>
      <c r="S14" s="1560">
        <f t="shared" si="0"/>
        <v>100</v>
      </c>
      <c r="T14" s="1559" t="s">
        <v>8</v>
      </c>
      <c r="U14" s="1560">
        <f t="shared" si="1"/>
        <v>100</v>
      </c>
      <c r="V14" s="1559" t="s">
        <v>8</v>
      </c>
      <c r="W14" s="1560">
        <f t="shared" si="2"/>
        <v>100</v>
      </c>
      <c r="X14" s="1553"/>
      <c r="Y14" s="3395"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396"/>
      <c r="Q15" s="1558"/>
      <c r="R15" s="1559"/>
      <c r="S15" s="1560"/>
      <c r="T15" s="1559"/>
      <c r="U15" s="1560"/>
      <c r="V15" s="1559"/>
      <c r="W15" s="1560"/>
      <c r="X15" s="1553"/>
      <c r="Y15" s="3396"/>
      <c r="Z15" s="1561"/>
      <c r="AA15" s="1562">
        <v>1</v>
      </c>
      <c r="AB15" s="1562">
        <v>1</v>
      </c>
      <c r="AC15" s="1562">
        <v>1</v>
      </c>
    </row>
    <row r="16" spans="1:29" ht="15">
      <c r="A16" s="532"/>
      <c r="B16" s="2567" t="s">
        <v>2541</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396"/>
      <c r="Q16" s="1558" t="str">
        <f>B16</f>
        <v>公共配套设施</v>
      </c>
      <c r="R16" s="1559" t="s">
        <v>8</v>
      </c>
      <c r="S16" s="1560">
        <f>F16</f>
        <v>100</v>
      </c>
      <c r="T16" s="1559" t="s">
        <v>8</v>
      </c>
      <c r="U16" s="1560">
        <f>H16</f>
        <v>100</v>
      </c>
      <c r="V16" s="1559" t="s">
        <v>8</v>
      </c>
      <c r="W16" s="1560">
        <f>J16</f>
        <v>100</v>
      </c>
      <c r="X16" s="1553"/>
      <c r="Y16" s="3396"/>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396"/>
      <c r="Q17" s="1558"/>
      <c r="R17" s="1559"/>
      <c r="S17" s="1560"/>
      <c r="T17" s="1559"/>
      <c r="U17" s="1560"/>
      <c r="V17" s="1559"/>
      <c r="W17" s="1560"/>
      <c r="X17" s="1553"/>
      <c r="Y17" s="3396"/>
      <c r="Z17" s="1561"/>
      <c r="AA17" s="1562">
        <v>1</v>
      </c>
      <c r="AB17" s="1562">
        <v>1</v>
      </c>
      <c r="AC17" s="1562">
        <v>1</v>
      </c>
    </row>
    <row r="18" spans="1:29" ht="15">
      <c r="A18" s="532"/>
      <c r="B18" s="2555" t="s">
        <v>2553</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396"/>
      <c r="Q18" s="2543" t="str">
        <f>B18</f>
        <v>基础设施水平</v>
      </c>
      <c r="R18" s="1559" t="s">
        <v>8</v>
      </c>
      <c r="S18" s="1560">
        <f>F18</f>
        <v>100</v>
      </c>
      <c r="T18" s="1559" t="s">
        <v>8</v>
      </c>
      <c r="U18" s="1560">
        <f>H18</f>
        <v>100</v>
      </c>
      <c r="V18" s="1559" t="s">
        <v>8</v>
      </c>
      <c r="W18" s="1560">
        <f>J18</f>
        <v>100</v>
      </c>
      <c r="X18" s="2545"/>
      <c r="Y18" s="3396"/>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96"/>
      <c r="Q19" s="2543"/>
      <c r="R19" s="1559"/>
      <c r="S19" s="1560"/>
      <c r="T19" s="1559"/>
      <c r="U19" s="1560"/>
      <c r="V19" s="1559"/>
      <c r="W19" s="1560"/>
      <c r="X19" s="2545"/>
      <c r="Y19" s="3396"/>
      <c r="Z19" s="2544"/>
      <c r="AA19" s="1562">
        <v>1</v>
      </c>
      <c r="AB19" s="1562">
        <v>1</v>
      </c>
      <c r="AC19" s="1562">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396"/>
      <c r="Q20" s="1558" t="str">
        <f>B20</f>
        <v>自然及人文环境</v>
      </c>
      <c r="R20" s="1559" t="s">
        <v>8</v>
      </c>
      <c r="S20" s="1560">
        <f>F20</f>
        <v>100</v>
      </c>
      <c r="T20" s="1559" t="s">
        <v>8</v>
      </c>
      <c r="U20" s="1560">
        <f>H20</f>
        <v>100</v>
      </c>
      <c r="V20" s="1559" t="s">
        <v>8</v>
      </c>
      <c r="W20" s="1560">
        <f>J20</f>
        <v>100</v>
      </c>
      <c r="X20" s="1553"/>
      <c r="Y20" s="3396"/>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396"/>
      <c r="Q21" s="1558"/>
      <c r="R21" s="1559"/>
      <c r="S21" s="1560"/>
      <c r="T21" s="1559"/>
      <c r="U21" s="1560"/>
      <c r="V21" s="1559"/>
      <c r="W21" s="1560"/>
      <c r="X21" s="1553"/>
      <c r="Y21" s="3396"/>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6"/>
      <c r="Q22" s="1558" t="str">
        <f>B22</f>
        <v>楼层</v>
      </c>
      <c r="R22" s="1559" t="s">
        <v>8</v>
      </c>
      <c r="S22" s="1560">
        <f>F22</f>
        <v>100</v>
      </c>
      <c r="T22" s="1559" t="s">
        <v>8</v>
      </c>
      <c r="U22" s="1560">
        <f>H22</f>
        <v>100</v>
      </c>
      <c r="V22" s="1559" t="s">
        <v>8</v>
      </c>
      <c r="W22" s="1560">
        <f>J22</f>
        <v>100</v>
      </c>
      <c r="X22" s="1553"/>
      <c r="Y22" s="3396"/>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6"/>
      <c r="Q23" s="1558">
        <f>B23</f>
        <v>111</v>
      </c>
      <c r="R23" s="1559" t="s">
        <v>8</v>
      </c>
      <c r="S23" s="1560">
        <f>F23</f>
        <v>100</v>
      </c>
      <c r="T23" s="1559" t="s">
        <v>8</v>
      </c>
      <c r="U23" s="1560">
        <f>H23</f>
        <v>100</v>
      </c>
      <c r="V23" s="1559" t="s">
        <v>8</v>
      </c>
      <c r="W23" s="1560">
        <f>J23</f>
        <v>100</v>
      </c>
      <c r="X23" s="1553"/>
      <c r="Y23" s="3396"/>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6"/>
      <c r="Q24" s="1558">
        <f t="shared" ref="Q24:Q34" si="11">B24</f>
        <v>111</v>
      </c>
      <c r="R24" s="1559" t="s">
        <v>8</v>
      </c>
      <c r="S24" s="1560">
        <f>F24</f>
        <v>100</v>
      </c>
      <c r="T24" s="1559" t="s">
        <v>8</v>
      </c>
      <c r="U24" s="1560">
        <f>H24</f>
        <v>100</v>
      </c>
      <c r="V24" s="1559" t="s">
        <v>8</v>
      </c>
      <c r="W24" s="1560">
        <f>J24</f>
        <v>100</v>
      </c>
      <c r="X24" s="1553"/>
      <c r="Y24" s="3396"/>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396"/>
      <c r="Q25" s="1146">
        <f t="shared" si="11"/>
        <v>111</v>
      </c>
      <c r="R25" s="1554" t="s">
        <v>8</v>
      </c>
      <c r="S25" s="1555">
        <f>F25</f>
        <v>100</v>
      </c>
      <c r="T25" s="1554" t="s">
        <v>8</v>
      </c>
      <c r="U25" s="1555">
        <f>H25</f>
        <v>100</v>
      </c>
      <c r="V25" s="1554" t="s">
        <v>8</v>
      </c>
      <c r="W25" s="1555">
        <f>J25</f>
        <v>100</v>
      </c>
      <c r="X25" s="1556"/>
      <c r="Y25" s="3396"/>
      <c r="Z25" s="1145">
        <f>Q25</f>
        <v>111</v>
      </c>
      <c r="AA25" s="1562">
        <f>D25/F25</f>
        <v>1</v>
      </c>
      <c r="AB25" s="1562">
        <f>D25/H25</f>
        <v>1</v>
      </c>
      <c r="AC25" s="1562">
        <f>D25/J25</f>
        <v>1</v>
      </c>
    </row>
    <row r="26" spans="1:29" ht="15">
      <c r="A26" s="2862" t="s">
        <v>2749</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397"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8" t="s">
        <v>820</v>
      </c>
      <c r="Z26" s="1561" t="str">
        <f t="shared" ref="Z26:Z34" si="15">Q26</f>
        <v>公共部分装修</v>
      </c>
      <c r="AA26" s="1562">
        <f t="shared" si="3"/>
        <v>1</v>
      </c>
      <c r="AB26" s="1562">
        <f t="shared" si="4"/>
        <v>1</v>
      </c>
      <c r="AC26" s="1562">
        <f t="shared" si="5"/>
        <v>1</v>
      </c>
    </row>
    <row r="27" spans="1:29" s="1334"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398"/>
      <c r="Q27" s="1590" t="str">
        <f t="shared" si="11"/>
        <v>成新率</v>
      </c>
      <c r="R27" s="1563" t="s">
        <v>8</v>
      </c>
      <c r="S27" s="1564" t="e">
        <f t="shared" si="12"/>
        <v>#N/A</v>
      </c>
      <c r="T27" s="1563" t="s">
        <v>8</v>
      </c>
      <c r="U27" s="1564" t="e">
        <f t="shared" si="13"/>
        <v>#N/A</v>
      </c>
      <c r="V27" s="1563" t="s">
        <v>8</v>
      </c>
      <c r="W27" s="1564" t="e">
        <f t="shared" si="14"/>
        <v>#N/A</v>
      </c>
      <c r="X27" s="1565"/>
      <c r="Y27" s="3398"/>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98"/>
      <c r="Q28" s="1558" t="str">
        <f t="shared" si="11"/>
        <v>物业等级</v>
      </c>
      <c r="R28" s="1559" t="s">
        <v>8</v>
      </c>
      <c r="S28" s="1560">
        <f t="shared" si="12"/>
        <v>100</v>
      </c>
      <c r="T28" s="1559" t="s">
        <v>8</v>
      </c>
      <c r="U28" s="1560">
        <f t="shared" si="13"/>
        <v>100</v>
      </c>
      <c r="V28" s="1559" t="s">
        <v>8</v>
      </c>
      <c r="W28" s="1560">
        <f t="shared" si="14"/>
        <v>100</v>
      </c>
      <c r="X28" s="1553"/>
      <c r="Y28" s="3398"/>
      <c r="Z28" s="1561" t="str">
        <f t="shared" si="15"/>
        <v>物业等级</v>
      </c>
      <c r="AA28" s="1562">
        <f t="shared" si="3"/>
        <v>1</v>
      </c>
      <c r="AB28" s="1562">
        <f t="shared" si="4"/>
        <v>1</v>
      </c>
      <c r="AC28" s="1562">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398"/>
      <c r="Q29" s="1558" t="str">
        <f t="shared" si="11"/>
        <v>有无电梯</v>
      </c>
      <c r="R29" s="1559" t="s">
        <v>8</v>
      </c>
      <c r="S29" s="1560">
        <f t="shared" si="12"/>
        <v>100</v>
      </c>
      <c r="T29" s="1559" t="s">
        <v>8</v>
      </c>
      <c r="U29" s="1560">
        <f t="shared" si="13"/>
        <v>100</v>
      </c>
      <c r="V29" s="1559" t="s">
        <v>8</v>
      </c>
      <c r="W29" s="1560">
        <f t="shared" si="14"/>
        <v>100</v>
      </c>
      <c r="X29" s="1553"/>
      <c r="Y29" s="3398"/>
      <c r="Z29" s="1561" t="str">
        <f t="shared" si="15"/>
        <v>有无电梯</v>
      </c>
      <c r="AA29" s="1562">
        <f t="shared" si="3"/>
        <v>1</v>
      </c>
      <c r="AB29" s="1562">
        <f t="shared" si="4"/>
        <v>1</v>
      </c>
      <c r="AC29" s="1562">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398"/>
      <c r="Q30" s="1558" t="str">
        <f t="shared" si="11"/>
        <v>建筑面积</v>
      </c>
      <c r="R30" s="1559" t="s">
        <v>8</v>
      </c>
      <c r="S30" s="1560" t="e">
        <f t="shared" si="12"/>
        <v>#N/A</v>
      </c>
      <c r="T30" s="1559" t="s">
        <v>8</v>
      </c>
      <c r="U30" s="1560" t="e">
        <f t="shared" si="13"/>
        <v>#N/A</v>
      </c>
      <c r="V30" s="1559" t="s">
        <v>8</v>
      </c>
      <c r="W30" s="1560" t="e">
        <f t="shared" si="14"/>
        <v>#N/A</v>
      </c>
      <c r="X30" s="1553"/>
      <c r="Y30" s="3398"/>
      <c r="Z30" s="1561" t="str">
        <f t="shared" si="15"/>
        <v>建筑面积</v>
      </c>
      <c r="AA30" s="1562" t="e">
        <f t="shared" si="3"/>
        <v>#N/A</v>
      </c>
      <c r="AB30" s="1562" t="e">
        <f t="shared" si="4"/>
        <v>#N/A</v>
      </c>
      <c r="AC30" s="1562" t="e">
        <f t="shared" si="5"/>
        <v>#N/A</v>
      </c>
    </row>
    <row r="31" spans="1:29" s="1215"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398"/>
      <c r="Q31" s="1146" t="str">
        <f t="shared" si="11"/>
        <v>是否封闭</v>
      </c>
      <c r="R31" s="1554" t="s">
        <v>8</v>
      </c>
      <c r="S31" s="1555">
        <f t="shared" si="12"/>
        <v>100</v>
      </c>
      <c r="T31" s="1554" t="s">
        <v>8</v>
      </c>
      <c r="U31" s="1555">
        <f t="shared" si="13"/>
        <v>100</v>
      </c>
      <c r="V31" s="1554" t="s">
        <v>8</v>
      </c>
      <c r="W31" s="1555">
        <f t="shared" si="14"/>
        <v>100</v>
      </c>
      <c r="X31" s="1556"/>
      <c r="Y31" s="3398"/>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398" t="s">
        <v>549</v>
      </c>
      <c r="Q32" s="1558">
        <f t="shared" si="11"/>
        <v>111</v>
      </c>
      <c r="R32" s="1559" t="s">
        <v>8</v>
      </c>
      <c r="S32" s="1560">
        <f t="shared" si="12"/>
        <v>100</v>
      </c>
      <c r="T32" s="1559" t="s">
        <v>8</v>
      </c>
      <c r="U32" s="1560">
        <f t="shared" si="13"/>
        <v>100</v>
      </c>
      <c r="V32" s="1559" t="s">
        <v>8</v>
      </c>
      <c r="W32" s="1560">
        <f t="shared" si="14"/>
        <v>100</v>
      </c>
      <c r="X32" s="1553"/>
      <c r="Y32" s="3398" t="s">
        <v>549</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398"/>
      <c r="Q33" s="1558">
        <f t="shared" si="11"/>
        <v>111</v>
      </c>
      <c r="R33" s="1559" t="s">
        <v>8</v>
      </c>
      <c r="S33" s="1560">
        <f t="shared" si="12"/>
        <v>100</v>
      </c>
      <c r="T33" s="1559" t="s">
        <v>8</v>
      </c>
      <c r="U33" s="1560">
        <f t="shared" si="13"/>
        <v>100</v>
      </c>
      <c r="V33" s="1559" t="s">
        <v>8</v>
      </c>
      <c r="W33" s="1560">
        <f t="shared" si="14"/>
        <v>100</v>
      </c>
      <c r="X33" s="1553"/>
      <c r="Y33" s="3398"/>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398"/>
      <c r="Q34" s="1558">
        <f t="shared" si="11"/>
        <v>111</v>
      </c>
      <c r="R34" s="1559" t="s">
        <v>8</v>
      </c>
      <c r="S34" s="1560">
        <f t="shared" si="12"/>
        <v>100</v>
      </c>
      <c r="T34" s="1559" t="s">
        <v>8</v>
      </c>
      <c r="U34" s="1560">
        <f t="shared" si="13"/>
        <v>100</v>
      </c>
      <c r="V34" s="1559" t="s">
        <v>8</v>
      </c>
      <c r="W34" s="1560">
        <f t="shared" si="14"/>
        <v>100</v>
      </c>
      <c r="X34" s="1553"/>
      <c r="Y34" s="3398"/>
      <c r="Z34" s="1561">
        <f t="shared" si="15"/>
        <v>111</v>
      </c>
      <c r="AA34" s="1562">
        <f t="shared" si="3"/>
        <v>1</v>
      </c>
      <c r="AB34" s="1562">
        <f t="shared" si="4"/>
        <v>1</v>
      </c>
      <c r="AC34" s="1562">
        <f t="shared" si="5"/>
        <v>1</v>
      </c>
    </row>
    <row r="35" spans="1:29" ht="15">
      <c r="A35" s="607" t="s">
        <v>735</v>
      </c>
      <c r="B35" s="886"/>
      <c r="C35" s="2591" t="s">
        <v>1</v>
      </c>
      <c r="D35" s="2592"/>
      <c r="E35" s="2593"/>
      <c r="F35" s="2594"/>
      <c r="G35" s="2595"/>
      <c r="H35" s="2596"/>
      <c r="I35" s="2593"/>
      <c r="J35" s="2596"/>
      <c r="K35" s="1596"/>
      <c r="L35" s="2129"/>
      <c r="M35" s="2130"/>
      <c r="N35" s="2119"/>
      <c r="O35" s="2130"/>
      <c r="P35" s="3393" t="str">
        <f>A35</f>
        <v>成交单价（元/平方米）</v>
      </c>
      <c r="Q35" s="3393"/>
      <c r="R35" s="3497">
        <f>E35</f>
        <v>0</v>
      </c>
      <c r="S35" s="3497"/>
      <c r="T35" s="3497">
        <f>G35</f>
        <v>0</v>
      </c>
      <c r="U35" s="3497"/>
      <c r="V35" s="3497">
        <f>I35</f>
        <v>0</v>
      </c>
      <c r="W35" s="3497"/>
      <c r="X35" s="1545"/>
      <c r="Y35" s="1567"/>
      <c r="Z35" s="1545"/>
      <c r="AA35" s="1545"/>
      <c r="AB35" s="1545"/>
      <c r="AC35" s="1545"/>
    </row>
    <row r="36" spans="1:29" ht="15.75" thickBot="1">
      <c r="A36" s="615" t="s">
        <v>2754</v>
      </c>
      <c r="B36" s="887"/>
      <c r="C36" s="2597" t="e">
        <f>R37</f>
        <v>#DIV/0!</v>
      </c>
      <c r="D36" s="2598"/>
      <c r="E36" s="2599" t="e">
        <f>R36</f>
        <v>#DIV/0!</v>
      </c>
      <c r="F36" s="2599"/>
      <c r="G36" s="2597" t="e">
        <f>T36</f>
        <v>#DIV/0!</v>
      </c>
      <c r="H36" s="2598"/>
      <c r="I36" s="2599" t="e">
        <f>V36</f>
        <v>#DIV/0!</v>
      </c>
      <c r="J36" s="2598"/>
      <c r="K36" s="1597"/>
      <c r="L36" s="2129"/>
      <c r="M36" s="2130"/>
      <c r="N36" s="2119"/>
      <c r="O36" s="2130"/>
      <c r="P36" s="3393" t="str">
        <f>A36</f>
        <v>比较价格（元/平方米）</v>
      </c>
      <c r="Q36" s="3393"/>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45"/>
      <c r="Y36" s="1545"/>
      <c r="Z36" s="1545"/>
      <c r="AA36" s="1545"/>
      <c r="AB36" s="1545"/>
      <c r="AC36" s="1545"/>
    </row>
    <row r="37" spans="1:29" ht="15.75" thickBot="1">
      <c r="A37" s="621" t="s">
        <v>2920</v>
      </c>
      <c r="B37" s="622"/>
      <c r="C37" s="2600" t="e">
        <f>R37</f>
        <v>#DIV/0!</v>
      </c>
      <c r="D37" s="2600"/>
      <c r="E37" s="2600"/>
      <c r="F37" s="2600"/>
      <c r="G37" s="2600"/>
      <c r="H37" s="2600"/>
      <c r="I37" s="2600"/>
      <c r="J37" s="2600"/>
      <c r="K37" s="1598"/>
      <c r="L37" s="2129"/>
      <c r="M37" s="2130"/>
      <c r="N37" s="2130"/>
      <c r="O37" s="2130"/>
      <c r="P37" s="3415" t="str">
        <f>A37</f>
        <v>估价对象XX用房的比较价格（楼面单价，元/平方米）</v>
      </c>
      <c r="Q37" s="3416"/>
      <c r="R37" s="3496" t="e">
        <f>IF(F1="售价",ROUND(AVERAGE(R36:V36),0),ROUND(AVERAGE(R36:V36),1))</f>
        <v>#DIV/0!</v>
      </c>
      <c r="S37" s="3496"/>
      <c r="T37" s="3496"/>
      <c r="U37" s="3496"/>
      <c r="V37" s="3496"/>
      <c r="W37" s="349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528</v>
      </c>
      <c r="B46" s="646"/>
      <c r="C46" s="2757" t="str">
        <f>YEAR(C7)&amp;"-"&amp;MONTH(C7)</f>
        <v>2020-5</v>
      </c>
      <c r="D46" s="2759">
        <f>EDATE(C46,-1)</f>
        <v>43922</v>
      </c>
      <c r="E46" s="2759">
        <f t="shared" ref="E46:O46" si="16">EDATE(D46,-1)</f>
        <v>43891</v>
      </c>
      <c r="F46" s="2759">
        <f t="shared" si="16"/>
        <v>43862</v>
      </c>
      <c r="G46" s="2759">
        <f t="shared" si="16"/>
        <v>43831</v>
      </c>
      <c r="H46" s="2759">
        <f t="shared" si="16"/>
        <v>43800</v>
      </c>
      <c r="I46" s="2759">
        <f t="shared" si="16"/>
        <v>43770</v>
      </c>
      <c r="J46" s="2759">
        <f t="shared" si="16"/>
        <v>43739</v>
      </c>
      <c r="K46" s="2759">
        <f t="shared" si="16"/>
        <v>43709</v>
      </c>
      <c r="L46" s="2759">
        <f t="shared" si="16"/>
        <v>43678</v>
      </c>
      <c r="M46" s="2759">
        <f t="shared" si="16"/>
        <v>43647</v>
      </c>
      <c r="N46" s="2759">
        <f t="shared" si="16"/>
        <v>43617</v>
      </c>
      <c r="O46" s="2759">
        <f t="shared" si="16"/>
        <v>43586</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2552</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826</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1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2300</v>
      </c>
      <c r="C1" s="3508" t="s">
        <v>2301</v>
      </c>
      <c r="D1" s="3509"/>
      <c r="E1" s="3509"/>
      <c r="F1" s="3509"/>
      <c r="G1" s="3509"/>
      <c r="H1" s="3509"/>
      <c r="I1" s="3509"/>
      <c r="J1" s="3509"/>
      <c r="K1" s="3509"/>
      <c r="L1" s="3509"/>
      <c r="M1" s="3509"/>
      <c r="N1" s="3509"/>
      <c r="O1" s="3509"/>
      <c r="P1" s="3509"/>
      <c r="Q1" s="3509"/>
      <c r="R1" s="3509"/>
      <c r="S1" s="3510"/>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2913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2912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2911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2924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2910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2909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05" t="s">
        <v>20</v>
      </c>
      <c r="D22" s="3506"/>
      <c r="E22" s="3506"/>
      <c r="F22" s="3506"/>
      <c r="G22" s="3506"/>
      <c r="H22" s="3506"/>
      <c r="I22" s="3506"/>
      <c r="J22" s="3506"/>
      <c r="K22" s="3506"/>
      <c r="L22" s="3506"/>
      <c r="M22" s="3506"/>
      <c r="N22" s="3506"/>
      <c r="O22" s="3506"/>
      <c r="P22" s="3506"/>
      <c r="Q22" s="3507"/>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75" defaultRowHeight="13.5"/>
  <cols>
    <col min="1" max="1" width="4.75" style="2896" customWidth="1"/>
    <col min="2" max="2" width="13.1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75" style="2894" customWidth="1"/>
    <col min="258" max="258" width="13.1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75" style="2894" customWidth="1"/>
    <col min="514" max="514" width="13.1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75" style="2894" customWidth="1"/>
    <col min="770" max="770" width="13.1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75" style="2894" customWidth="1"/>
    <col min="1026" max="1026" width="13.1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75" style="2894" customWidth="1"/>
    <col min="1282" max="1282" width="13.1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75" style="2894" customWidth="1"/>
    <col min="1538" max="1538" width="13.1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75" style="2894" customWidth="1"/>
    <col min="1794" max="1794" width="13.1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75" style="2894" customWidth="1"/>
    <col min="2050" max="2050" width="13.1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75" style="2894" customWidth="1"/>
    <col min="2306" max="2306" width="13.1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75" style="2894" customWidth="1"/>
    <col min="2562" max="2562" width="13.1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75" style="2894" customWidth="1"/>
    <col min="2818" max="2818" width="13.1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75" style="2894" customWidth="1"/>
    <col min="3074" max="3074" width="13.1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75" style="2894" customWidth="1"/>
    <col min="3330" max="3330" width="13.1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75" style="2894" customWidth="1"/>
    <col min="3586" max="3586" width="13.1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75" style="2894" customWidth="1"/>
    <col min="3842" max="3842" width="13.1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75" style="2894" customWidth="1"/>
    <col min="4098" max="4098" width="13.1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75" style="2894" customWidth="1"/>
    <col min="4354" max="4354" width="13.1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75" style="2894" customWidth="1"/>
    <col min="4610" max="4610" width="13.1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75" style="2894" customWidth="1"/>
    <col min="4866" max="4866" width="13.1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75" style="2894" customWidth="1"/>
    <col min="5122" max="5122" width="13.1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75" style="2894" customWidth="1"/>
    <col min="5378" max="5378" width="13.1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75" style="2894" customWidth="1"/>
    <col min="5634" max="5634" width="13.1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75" style="2894" customWidth="1"/>
    <col min="5890" max="5890" width="13.1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75" style="2894" customWidth="1"/>
    <col min="6146" max="6146" width="13.1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75" style="2894" customWidth="1"/>
    <col min="6402" max="6402" width="13.1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75" style="2894" customWidth="1"/>
    <col min="6658" max="6658" width="13.1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75" style="2894" customWidth="1"/>
    <col min="6914" max="6914" width="13.1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75" style="2894" customWidth="1"/>
    <col min="7170" max="7170" width="13.1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75" style="2894" customWidth="1"/>
    <col min="7426" max="7426" width="13.1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75" style="2894" customWidth="1"/>
    <col min="7682" max="7682" width="13.1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75" style="2894" customWidth="1"/>
    <col min="7938" max="7938" width="13.1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75" style="2894" customWidth="1"/>
    <col min="8194" max="8194" width="13.1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75" style="2894" customWidth="1"/>
    <col min="8450" max="8450" width="13.1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75" style="2894" customWidth="1"/>
    <col min="8706" max="8706" width="13.1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75" style="2894" customWidth="1"/>
    <col min="8962" max="8962" width="13.1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75" style="2894" customWidth="1"/>
    <col min="9218" max="9218" width="13.1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75" style="2894" customWidth="1"/>
    <col min="9474" max="9474" width="13.1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75" style="2894" customWidth="1"/>
    <col min="9730" max="9730" width="13.1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75" style="2894" customWidth="1"/>
    <col min="9986" max="9986" width="13.1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75" style="2894" customWidth="1"/>
    <col min="10242" max="10242" width="13.1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75" style="2894" customWidth="1"/>
    <col min="10498" max="10498" width="13.1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75" style="2894" customWidth="1"/>
    <col min="10754" max="10754" width="13.1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75" style="2894" customWidth="1"/>
    <col min="11010" max="11010" width="13.1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75" style="2894" customWidth="1"/>
    <col min="11266" max="11266" width="13.1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75" style="2894" customWidth="1"/>
    <col min="11522" max="11522" width="13.1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75" style="2894" customWidth="1"/>
    <col min="11778" max="11778" width="13.1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75" style="2894" customWidth="1"/>
    <col min="12034" max="12034" width="13.1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75" style="2894" customWidth="1"/>
    <col min="12290" max="12290" width="13.1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75" style="2894" customWidth="1"/>
    <col min="12546" max="12546" width="13.1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75" style="2894" customWidth="1"/>
    <col min="12802" max="12802" width="13.1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75" style="2894" customWidth="1"/>
    <col min="13058" max="13058" width="13.1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75" style="2894" customWidth="1"/>
    <col min="13314" max="13314" width="13.1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75" style="2894" customWidth="1"/>
    <col min="13570" max="13570" width="13.1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75" style="2894" customWidth="1"/>
    <col min="13826" max="13826" width="13.1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75" style="2894" customWidth="1"/>
    <col min="14082" max="14082" width="13.1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75" style="2894" customWidth="1"/>
    <col min="14338" max="14338" width="13.1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75" style="2894" customWidth="1"/>
    <col min="14594" max="14594" width="13.1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75" style="2894" customWidth="1"/>
    <col min="14850" max="14850" width="13.1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75" style="2894" customWidth="1"/>
    <col min="15106" max="15106" width="13.1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75" style="2894" customWidth="1"/>
    <col min="15362" max="15362" width="13.1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75" style="2894" customWidth="1"/>
    <col min="15618" max="15618" width="13.1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75" style="2894" customWidth="1"/>
    <col min="15874" max="15874" width="13.1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75" style="2894" customWidth="1"/>
    <col min="16130" max="16130" width="13.1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2782</v>
      </c>
      <c r="C1" s="2959">
        <f>项目基本情况!D3</f>
        <v>43961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2813</v>
      </c>
      <c r="C2" s="2960">
        <f>'数据-取费表'!B22</f>
        <v>1.5</v>
      </c>
      <c r="D2" s="2955" t="s">
        <v>2783</v>
      </c>
      <c r="E2" s="2958">
        <f ca="1">INDIRECT("I"&amp;$I$1)/100</f>
        <v>4.7500000000000001E-2</v>
      </c>
      <c r="G2" s="2895"/>
      <c r="H2" s="2895"/>
      <c r="I2" s="2895" t="s">
        <v>2784</v>
      </c>
      <c r="K2" s="2895"/>
      <c r="L2" s="2895"/>
      <c r="M2" s="2895"/>
      <c r="N2" s="2895" t="s">
        <v>2785</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2815</v>
      </c>
      <c r="C3" s="2957">
        <f>'数据-取费表'!B19</f>
        <v>0</v>
      </c>
      <c r="D3" s="2955" t="s">
        <v>2783</v>
      </c>
      <c r="E3" s="2958">
        <f ca="1">INDIRECT("J"&amp;$J$1)/100</f>
        <v>0</v>
      </c>
      <c r="G3" s="2897" t="s">
        <v>2786</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2814</v>
      </c>
      <c r="C4" s="2958">
        <f ca="1">N4/100</f>
        <v>1.4999999999999999E-2</v>
      </c>
      <c r="G4" s="2903" t="s">
        <v>2787</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2788</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2789</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2790</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2791</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2792</v>
      </c>
      <c r="C10" s="2922"/>
      <c r="D10" s="2922"/>
      <c r="E10" s="2922"/>
      <c r="F10" s="2922"/>
      <c r="G10" s="2922"/>
      <c r="H10" s="2922"/>
      <c r="I10" s="2896"/>
      <c r="J10" s="2896"/>
      <c r="K10" s="2922"/>
      <c r="L10" s="2923" t="s">
        <v>2793</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2794</v>
      </c>
      <c r="C11" s="2927" t="s">
        <v>2795</v>
      </c>
      <c r="D11" s="2928" t="s">
        <v>2796</v>
      </c>
      <c r="E11" s="2929"/>
      <c r="F11" s="2928" t="s">
        <v>2797</v>
      </c>
      <c r="G11" s="2930"/>
      <c r="H11" s="2929"/>
      <c r="I11" s="2928" t="s">
        <v>2798</v>
      </c>
      <c r="J11" s="2929"/>
      <c r="K11" s="2925"/>
      <c r="L11" s="2926" t="s">
        <v>2794</v>
      </c>
      <c r="M11" s="2927" t="s">
        <v>2795</v>
      </c>
      <c r="N11" s="2926" t="s">
        <v>2799</v>
      </c>
      <c r="O11" s="2928" t="s">
        <v>2800</v>
      </c>
      <c r="P11" s="2930"/>
      <c r="Q11" s="2930"/>
      <c r="R11" s="2930"/>
      <c r="S11" s="2930"/>
      <c r="T11" s="2929"/>
      <c r="U11" s="2928" t="s">
        <v>2801</v>
      </c>
      <c r="V11" s="2930"/>
      <c r="W11" s="2929"/>
      <c r="X11" s="2926" t="s">
        <v>2802</v>
      </c>
      <c r="Y11" s="2926" t="s">
        <v>2803</v>
      </c>
      <c r="Z11" s="2926" t="s">
        <v>2804</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2805</v>
      </c>
      <c r="E12" s="2935" t="s">
        <v>2806</v>
      </c>
      <c r="F12" s="2935" t="s">
        <v>2807</v>
      </c>
      <c r="G12" s="2935" t="s">
        <v>2808</v>
      </c>
      <c r="H12" s="2935" t="s">
        <v>2790</v>
      </c>
      <c r="I12" s="2936" t="s">
        <v>2809</v>
      </c>
      <c r="J12" s="2936" t="s">
        <v>2809</v>
      </c>
      <c r="K12" s="2932"/>
      <c r="L12" s="2933"/>
      <c r="M12" s="2934"/>
      <c r="N12" s="2933"/>
      <c r="O12" s="2936" t="s">
        <v>2810</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2811</v>
      </c>
      <c r="C13" s="2940">
        <v>42301</v>
      </c>
      <c r="D13" s="2941">
        <v>4.3499999999999996</v>
      </c>
      <c r="E13" s="2941">
        <v>4.3499999999999996</v>
      </c>
      <c r="F13" s="2941">
        <v>4.75</v>
      </c>
      <c r="G13" s="2941">
        <v>4.75</v>
      </c>
      <c r="H13" s="2941">
        <v>4.9000000000000004</v>
      </c>
      <c r="I13" s="2941">
        <v>2.75</v>
      </c>
      <c r="J13" s="2941">
        <v>3.25</v>
      </c>
      <c r="K13" s="2938"/>
      <c r="L13" s="2939" t="s">
        <v>2811</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2812</v>
      </c>
      <c r="Y42" s="2945" t="s">
        <v>2812</v>
      </c>
      <c r="Z42" s="2945" t="s">
        <v>2812</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2812</v>
      </c>
      <c r="Y43" s="2945" t="s">
        <v>2812</v>
      </c>
      <c r="Z43" s="2945" t="s">
        <v>2812</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2812</v>
      </c>
      <c r="Y44" s="2945" t="s">
        <v>2812</v>
      </c>
      <c r="Z44" s="2945" t="s">
        <v>2812</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2812</v>
      </c>
      <c r="Y45" s="2945" t="s">
        <v>2812</v>
      </c>
      <c r="Z45" s="2945" t="s">
        <v>2812</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2812</v>
      </c>
      <c r="Y46" s="2945" t="s">
        <v>2812</v>
      </c>
      <c r="Z46" s="2945" t="s">
        <v>2812</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2812</v>
      </c>
      <c r="Y47" s="2945" t="s">
        <v>2812</v>
      </c>
      <c r="Z47" s="2945" t="s">
        <v>2812</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2812</v>
      </c>
      <c r="Y48" s="2945" t="s">
        <v>2812</v>
      </c>
      <c r="Z48" s="2945" t="s">
        <v>2812</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2812</v>
      </c>
      <c r="Y49" s="2945" t="s">
        <v>2812</v>
      </c>
      <c r="Z49" s="2945" t="s">
        <v>2812</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2812</v>
      </c>
      <c r="Y50" s="2945" t="s">
        <v>2812</v>
      </c>
      <c r="Z50" s="2945" t="s">
        <v>2812</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2812</v>
      </c>
      <c r="V51" s="2945" t="s">
        <v>2812</v>
      </c>
      <c r="W51" s="2945" t="s">
        <v>2812</v>
      </c>
      <c r="X51" s="2945" t="s">
        <v>2812</v>
      </c>
      <c r="Y51" s="2945" t="s">
        <v>2812</v>
      </c>
      <c r="Z51" s="2945" t="s">
        <v>2812</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2812</v>
      </c>
      <c r="J55" s="2945" t="s">
        <v>2812</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75" defaultRowHeight="13.5"/>
  <cols>
    <col min="1" max="1" width="7.75" customWidth="1"/>
    <col min="2" max="2" width="6.5" customWidth="1"/>
    <col min="4" max="4" width="7.125" customWidth="1"/>
    <col min="5" max="7" width="7.5" customWidth="1"/>
    <col min="8" max="10" width="6.375" customWidth="1"/>
  </cols>
  <sheetData>
    <row r="1" spans="1:18" ht="18.75">
      <c r="A1" s="3203" t="s">
        <v>2035</v>
      </c>
      <c r="B1" s="3203"/>
      <c r="C1" s="3203"/>
      <c r="D1" s="3203"/>
      <c r="E1" s="3203"/>
      <c r="F1" s="3203"/>
      <c r="G1" s="3203"/>
      <c r="H1" s="3203"/>
      <c r="I1" s="3203"/>
      <c r="J1" s="3203"/>
      <c r="K1" s="3203"/>
      <c r="L1" s="3203"/>
      <c r="M1" s="3203"/>
      <c r="N1" s="3203"/>
      <c r="O1" s="3203"/>
      <c r="P1" s="3203"/>
      <c r="Q1" s="3203"/>
      <c r="R1" s="3203"/>
    </row>
    <row r="2" spans="1:18">
      <c r="A2" s="1792" t="s">
        <v>2037</v>
      </c>
      <c r="B2" s="1792"/>
      <c r="C2" s="1792"/>
      <c r="D2" s="1792"/>
      <c r="E2" s="1792"/>
      <c r="F2" s="1792"/>
      <c r="G2" s="1792"/>
      <c r="H2" s="1792"/>
      <c r="I2" s="1793"/>
      <c r="J2" s="1793"/>
      <c r="K2" s="1794" t="str">
        <f>"估价期日："&amp;TEXT(项目基本情况!D3,"yyyy年m月d日;;")</f>
        <v>估价期日：2020年5月10日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4" t="s">
        <v>2026</v>
      </c>
      <c r="B3" s="3204" t="s">
        <v>2725</v>
      </c>
      <c r="C3" s="3205" t="s">
        <v>2027</v>
      </c>
      <c r="D3" s="3204" t="s">
        <v>2729</v>
      </c>
      <c r="E3" s="3207" t="s">
        <v>2028</v>
      </c>
      <c r="F3" s="3207"/>
      <c r="G3" s="3207"/>
      <c r="H3" s="3207" t="s">
        <v>2029</v>
      </c>
      <c r="I3" s="3207"/>
      <c r="J3" s="3207"/>
      <c r="K3" s="3205" t="s">
        <v>2030</v>
      </c>
      <c r="L3" s="3205" t="s">
        <v>2031</v>
      </c>
      <c r="M3" s="3204" t="s">
        <v>2726</v>
      </c>
      <c r="N3" s="3206" t="str">
        <f>"（分摊）"&amp;项目基本情况!B16&amp;"国有建设用地使用权面积/㎡"</f>
        <v>（分摊）出让国有建设用地使用权面积/㎡</v>
      </c>
      <c r="O3" s="3204" t="s">
        <v>2060</v>
      </c>
      <c r="P3" s="3205" t="s">
        <v>2040</v>
      </c>
      <c r="Q3" s="3205" t="s">
        <v>2061</v>
      </c>
      <c r="R3" s="3205" t="s">
        <v>2032</v>
      </c>
    </row>
    <row r="4" spans="1:18" ht="36.75" customHeight="1">
      <c r="A4" s="3204"/>
      <c r="B4" s="3204"/>
      <c r="C4" s="3205"/>
      <c r="D4" s="3204"/>
      <c r="E4" s="2613" t="s">
        <v>2039</v>
      </c>
      <c r="F4" s="2613" t="s">
        <v>2738</v>
      </c>
      <c r="G4" s="2613" t="s">
        <v>2033</v>
      </c>
      <c r="H4" s="2613" t="s">
        <v>2034</v>
      </c>
      <c r="I4" s="2613" t="s">
        <v>2739</v>
      </c>
      <c r="J4" s="2613" t="s">
        <v>2033</v>
      </c>
      <c r="K4" s="3205"/>
      <c r="L4" s="3205"/>
      <c r="M4" s="3204"/>
      <c r="N4" s="3206"/>
      <c r="O4" s="3204"/>
      <c r="P4" s="3205"/>
      <c r="Q4" s="3205"/>
      <c r="R4" s="3205"/>
    </row>
    <row r="5" spans="1:18" ht="135" customHeight="1">
      <c r="A5" s="1928" t="s">
        <v>2649</v>
      </c>
      <c r="B5" s="2822"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817.26</v>
      </c>
      <c r="O5" s="1795">
        <f>项目基本情况!C21</f>
        <v>4086</v>
      </c>
      <c r="P5" s="1795">
        <f ca="1">结果表!E42</f>
        <v>40159</v>
      </c>
      <c r="Q5" s="1795">
        <f ca="1">结果表!D42</f>
        <v>8032</v>
      </c>
      <c r="R5" s="1796">
        <f ca="1">结果表!C42</f>
        <v>3282</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7">
        <f ca="1">结果表!O39</f>
        <v>3282</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7" t="str">
        <f>结果表!O40</f>
        <v>——</v>
      </c>
    </row>
    <row r="8" spans="1:18">
      <c r="A8" s="3208" t="str">
        <f>IF(项目基本情况!B9="市场价格","——",项目基本情况!E9)</f>
        <v>抵押净值</v>
      </c>
      <c r="B8" s="3209"/>
      <c r="C8" s="3209"/>
      <c r="D8" s="3209"/>
      <c r="E8" s="3209"/>
      <c r="F8" s="3209"/>
      <c r="G8" s="3209"/>
      <c r="H8" s="3209"/>
      <c r="I8" s="3209"/>
      <c r="J8" s="3209"/>
      <c r="K8" s="3209"/>
      <c r="L8" s="3209"/>
      <c r="M8" s="3209"/>
      <c r="N8" s="3209"/>
      <c r="O8" s="3209"/>
      <c r="P8" s="3209"/>
      <c r="Q8" s="3210"/>
      <c r="R8" s="1797">
        <f ca="1">结果表!O41</f>
        <v>2533</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75" style="1787" customWidth="1"/>
    <col min="5" max="16384" width="9" style="1787"/>
  </cols>
  <sheetData>
    <row r="1" spans="1:4">
      <c r="A1" s="3211" t="s">
        <v>2062</v>
      </c>
      <c r="B1" s="3211"/>
      <c r="C1" s="3211"/>
      <c r="D1" s="3211"/>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4" t="s">
        <v>2063</v>
      </c>
      <c r="B5" s="3214"/>
      <c r="C5" s="3214"/>
      <c r="D5" s="3214"/>
    </row>
    <row r="6" spans="1:4">
      <c r="A6" s="3211" t="s">
        <v>2041</v>
      </c>
      <c r="B6" s="3211"/>
      <c r="C6" s="3211"/>
      <c r="D6" s="3211"/>
    </row>
    <row r="7" spans="1:4" ht="33" customHeight="1">
      <c r="A7" s="3211" t="s">
        <v>2569</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4" t="s">
        <v>2065</v>
      </c>
      <c r="B12" s="3214"/>
      <c r="C12" s="3214"/>
      <c r="D12" s="3214"/>
    </row>
    <row r="13" spans="1:4">
      <c r="A13" s="3212" t="s">
        <v>2740</v>
      </c>
      <c r="B13" s="3212"/>
      <c r="C13" s="3212"/>
      <c r="D13" s="3212"/>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2696</v>
      </c>
      <c r="B17" s="3211"/>
      <c r="C17" s="3211"/>
      <c r="D17" s="3211"/>
    </row>
    <row r="18" spans="1:4">
      <c r="A18" s="3211" t="s">
        <v>2688</v>
      </c>
      <c r="B18" s="3211"/>
      <c r="C18" s="3211"/>
      <c r="D18" s="3211"/>
    </row>
    <row r="19" spans="1:4">
      <c r="A19" s="2823" t="s">
        <v>2689</v>
      </c>
      <c r="B19" s="2823" t="s">
        <v>2690</v>
      </c>
      <c r="C19" s="2823" t="s">
        <v>2691</v>
      </c>
      <c r="D19" s="2823" t="s">
        <v>2692</v>
      </c>
    </row>
    <row r="20" spans="1:4">
      <c r="A20" s="2823" t="str">
        <f>项目基本情况!B4</f>
        <v>王鹏</v>
      </c>
      <c r="B20" s="2823">
        <f ca="1">项目基本情况!C4</f>
        <v>2002110030</v>
      </c>
      <c r="C20" s="2825"/>
      <c r="D20" s="1785" t="s">
        <v>2697</v>
      </c>
    </row>
    <row r="21" spans="1:4">
      <c r="A21" s="2823" t="str">
        <f>项目基本情况!D4</f>
        <v>郑燚</v>
      </c>
      <c r="B21" s="2823">
        <f ca="1">项目基本情况!E4</f>
        <v>2014110011</v>
      </c>
      <c r="C21" s="2825"/>
      <c r="D21" s="1785" t="s">
        <v>2698</v>
      </c>
    </row>
    <row r="23" spans="1:4">
      <c r="A23" s="3211" t="s">
        <v>2693</v>
      </c>
      <c r="B23" s="3211"/>
      <c r="C23" s="3211"/>
      <c r="D23" s="3211"/>
    </row>
    <row r="24" spans="1:4">
      <c r="A24" s="2823" t="s">
        <v>2689</v>
      </c>
      <c r="B24" s="2823" t="s">
        <v>2694</v>
      </c>
      <c r="C24" s="2823" t="s">
        <v>2691</v>
      </c>
      <c r="D24" s="2823" t="s">
        <v>2692</v>
      </c>
    </row>
    <row r="25" spans="1:4">
      <c r="A25" s="2826" t="s">
        <v>2695</v>
      </c>
      <c r="B25" s="2823" t="s">
        <v>951</v>
      </c>
      <c r="C25" s="2825"/>
      <c r="D25" s="1785" t="s">
        <v>2698</v>
      </c>
    </row>
    <row r="29" spans="1:4">
      <c r="D29" s="2824" t="s">
        <v>2036</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23" t="s">
        <v>53</v>
      </c>
      <c r="B15" s="3224" t="s">
        <v>845</v>
      </c>
      <c r="C15" s="3220"/>
    </row>
    <row r="16" spans="1:7" ht="14.25">
      <c r="A16" s="3223"/>
      <c r="B16" s="3221" t="s">
        <v>54</v>
      </c>
      <c r="C16" s="1167" t="s">
        <v>53</v>
      </c>
    </row>
    <row r="17" spans="1:3" ht="14.25">
      <c r="A17" s="3223"/>
      <c r="B17" s="3221"/>
      <c r="C17" s="1167" t="s">
        <v>55</v>
      </c>
    </row>
    <row r="18" spans="1:3" ht="14.25">
      <c r="A18" s="3223"/>
      <c r="B18" s="3221"/>
      <c r="C18" s="1167" t="s">
        <v>56</v>
      </c>
    </row>
    <row r="19" spans="1:3" ht="14.25">
      <c r="A19" s="3223"/>
      <c r="B19" s="3219" t="s">
        <v>57</v>
      </c>
      <c r="C19" s="3220"/>
    </row>
    <row r="20" spans="1:3" ht="14.25">
      <c r="A20" s="1168" t="s">
        <v>58</v>
      </c>
      <c r="B20" s="1169"/>
      <c r="C20" s="1170"/>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1" t="s">
        <v>836</v>
      </c>
    </row>
    <row r="25" spans="1:3" ht="14.25">
      <c r="A25" s="3222"/>
      <c r="B25" s="3226"/>
      <c r="C25" s="1171" t="s">
        <v>837</v>
      </c>
    </row>
    <row r="26" spans="1:3" ht="14.25">
      <c r="A26" s="3222"/>
      <c r="B26" s="3226"/>
      <c r="C26" s="1171" t="s">
        <v>838</v>
      </c>
    </row>
    <row r="27" spans="1:3" ht="14.25">
      <c r="A27" s="3222"/>
      <c r="B27" s="3226"/>
      <c r="C27" s="1171" t="s">
        <v>839</v>
      </c>
    </row>
    <row r="28" spans="1:3" ht="14.25">
      <c r="A28" s="3222"/>
      <c r="B28" s="3226"/>
      <c r="C28" s="1171" t="s">
        <v>840</v>
      </c>
    </row>
    <row r="29" spans="1:3" ht="14.25">
      <c r="A29" s="3222"/>
      <c r="B29" s="3226"/>
      <c r="C29" s="1171" t="s">
        <v>841</v>
      </c>
    </row>
    <row r="30" spans="1:3" ht="14.25">
      <c r="A30" s="3222"/>
      <c r="B30" s="3226"/>
      <c r="C30" s="1171" t="s">
        <v>842</v>
      </c>
    </row>
    <row r="31" spans="1:3" ht="14.25">
      <c r="A31" s="3222"/>
      <c r="B31" s="3226"/>
      <c r="C31" s="1171" t="s">
        <v>843</v>
      </c>
    </row>
    <row r="32" spans="1:3" ht="14.25">
      <c r="A32" s="3222"/>
      <c r="B32" s="3226"/>
      <c r="C32" s="1171" t="s">
        <v>1645</v>
      </c>
    </row>
    <row r="33" spans="1:3" ht="14.25">
      <c r="A33" s="3222"/>
      <c r="B33" s="3216" t="s">
        <v>1651</v>
      </c>
      <c r="C33" s="1171" t="s">
        <v>1646</v>
      </c>
    </row>
    <row r="34" spans="1:3" ht="14.25">
      <c r="A34" s="3222"/>
      <c r="B34" s="3217"/>
      <c r="C34" s="1176" t="s">
        <v>1647</v>
      </c>
    </row>
    <row r="35" spans="1:3" ht="14.25">
      <c r="A35" s="3222"/>
      <c r="B35" s="3217"/>
      <c r="C35" s="1177" t="s">
        <v>1648</v>
      </c>
    </row>
    <row r="36" spans="1:3" ht="14.25">
      <c r="A36" s="3222"/>
      <c r="B36" s="3217"/>
      <c r="C36" s="1177" t="s">
        <v>1649</v>
      </c>
    </row>
    <row r="37" spans="1:3" ht="14.25">
      <c r="A37" s="3222"/>
      <c r="B37" s="3218"/>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43959</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44876</v>
      </c>
      <c r="D4" s="3130" t="s">
        <v>1913</v>
      </c>
      <c r="E4" s="3130">
        <f ca="1">IF(F4&lt;B2,"已过期",96010014)</f>
        <v>96010014</v>
      </c>
      <c r="F4" s="3133">
        <v>47118</v>
      </c>
    </row>
    <row r="5" spans="1:6" ht="20.25" customHeight="1">
      <c r="A5" s="3130"/>
      <c r="B5" s="3130"/>
      <c r="C5" s="3132"/>
      <c r="D5" s="3130"/>
      <c r="E5" s="3130"/>
      <c r="F5" s="3133"/>
    </row>
    <row r="6" spans="1:6" ht="20.25" customHeight="1">
      <c r="A6" s="3130" t="s">
        <v>1914</v>
      </c>
      <c r="B6" s="3130">
        <f ca="1">IF(C6&lt;B2,"已过期",1119970111)</f>
        <v>1119970111</v>
      </c>
      <c r="C6" s="3132">
        <v>44876</v>
      </c>
      <c r="D6" s="3130" t="s">
        <v>1914</v>
      </c>
      <c r="E6" s="3130">
        <f ca="1">IF(F6&lt;B2,"已过期",94010078)</f>
        <v>94010078</v>
      </c>
      <c r="F6" s="3133">
        <v>46387</v>
      </c>
    </row>
    <row r="7" spans="1:6" ht="20.25" customHeight="1">
      <c r="A7" s="3130" t="s">
        <v>1915</v>
      </c>
      <c r="B7" s="3130">
        <f ca="1">IF(C7&lt;B2,"已过期",1120050019)</f>
        <v>1120050019</v>
      </c>
      <c r="C7" s="3132">
        <v>44395</v>
      </c>
      <c r="D7" s="3130" t="s">
        <v>1915</v>
      </c>
      <c r="E7" s="3130">
        <f ca="1">IF(F7&lt;B2,"已过期",2002110030)</f>
        <v>2002110030</v>
      </c>
      <c r="F7" s="3133">
        <v>46387</v>
      </c>
    </row>
    <row r="8" spans="1:6" ht="20.25" customHeight="1">
      <c r="A8" s="3130" t="s">
        <v>1916</v>
      </c>
      <c r="B8" s="3130">
        <f ca="1">IF(C8&lt;B2,"已过期",1120000080)</f>
        <v>1120000080</v>
      </c>
      <c r="C8" s="3132">
        <v>44876</v>
      </c>
      <c r="D8" s="3130" t="s">
        <v>1916</v>
      </c>
      <c r="E8" s="3130">
        <f ca="1">IF(F8&lt;B2,"已过期",2000110082)</f>
        <v>2000110082</v>
      </c>
      <c r="F8" s="3133">
        <v>46387</v>
      </c>
    </row>
    <row r="9" spans="1:6" ht="20.25" customHeight="1">
      <c r="A9" s="3130" t="s">
        <v>1917</v>
      </c>
      <c r="B9" s="3130">
        <f ca="1">IF(C9&lt;B2,"已过期",1419970001)</f>
        <v>1419970001</v>
      </c>
      <c r="C9" s="3132">
        <v>44899</v>
      </c>
      <c r="D9" s="3130" t="s">
        <v>1917</v>
      </c>
      <c r="E9" s="3130">
        <f ca="1">IF(F9&lt;B2,"已过期",2002110125)</f>
        <v>2002110125</v>
      </c>
      <c r="F9" s="3133">
        <v>47118</v>
      </c>
    </row>
    <row r="10" spans="1:6" ht="20.25" customHeight="1">
      <c r="A10" s="3130" t="s">
        <v>1918</v>
      </c>
      <c r="B10" s="3130">
        <f ca="1">IF(C10&lt;B2,"已过期",1120060040)</f>
        <v>1120060040</v>
      </c>
      <c r="C10" s="3132">
        <v>44554</v>
      </c>
      <c r="D10" s="3130" t="s">
        <v>1918</v>
      </c>
      <c r="E10" s="3130">
        <f ca="1">IF(F10&lt;B2,"已过期",2004110096)</f>
        <v>2004110096</v>
      </c>
      <c r="F10" s="3133">
        <v>47118</v>
      </c>
    </row>
    <row r="11" spans="1:6" ht="20.25" customHeight="1">
      <c r="A11" s="3130" t="s">
        <v>1919</v>
      </c>
      <c r="B11" s="3130">
        <f ca="1">IF(C11&lt;B2,"已过期",1120100036)</f>
        <v>1120100036</v>
      </c>
      <c r="C11" s="3132">
        <v>44675</v>
      </c>
      <c r="D11" s="3130" t="s">
        <v>1919</v>
      </c>
      <c r="E11" s="3130">
        <f ca="1">IF(F11&lt;B2,"已过期",2010110070)</f>
        <v>2010110070</v>
      </c>
      <c r="F11" s="3133">
        <v>47907</v>
      </c>
    </row>
    <row r="12" spans="1:6" ht="20.25" customHeight="1">
      <c r="A12" s="3130"/>
      <c r="B12" s="3130"/>
      <c r="C12" s="3132"/>
      <c r="D12" s="3130"/>
      <c r="E12" s="3130"/>
      <c r="F12" s="3133"/>
    </row>
    <row r="13" spans="1:6" ht="20.25" customHeight="1">
      <c r="A13" s="3130" t="s">
        <v>1920</v>
      </c>
      <c r="B13" s="3130">
        <f ca="1">IF(C13&lt;B2,"已过期",1120070131)</f>
        <v>1120070131</v>
      </c>
      <c r="C13" s="3132">
        <v>44849</v>
      </c>
      <c r="D13" s="3130" t="s">
        <v>1920</v>
      </c>
      <c r="E13" s="3130">
        <f ca="1">IF(F13&lt;B2,"已过期",2014110011)</f>
        <v>2014110011</v>
      </c>
      <c r="F13" s="3133">
        <v>49302</v>
      </c>
    </row>
    <row r="14" spans="1:6" ht="20.25" customHeight="1">
      <c r="A14" s="3130" t="s">
        <v>2965</v>
      </c>
      <c r="B14" s="3130">
        <f ca="1">IF(C14&lt;B2,"已过期",1120040230)</f>
        <v>1120040230</v>
      </c>
      <c r="C14" s="3134">
        <v>44864</v>
      </c>
      <c r="D14" s="3135" t="s">
        <v>2966</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2979</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1921</v>
      </c>
      <c r="E21" s="3130">
        <f ca="1">IF(F21&lt;B2,"已过期",2011110090)</f>
        <v>2011110090</v>
      </c>
      <c r="F21" s="3133">
        <v>48302</v>
      </c>
    </row>
    <row r="22" spans="1:7" ht="20.25" customHeight="1">
      <c r="A22" s="3130" t="s">
        <v>1922</v>
      </c>
      <c r="B22" s="3130">
        <f ca="1">IF(C22&lt;B2,"已过期",1120020033)</f>
        <v>1120020033</v>
      </c>
      <c r="C22" s="3132">
        <v>44339</v>
      </c>
      <c r="D22" s="3130" t="s">
        <v>1922</v>
      </c>
      <c r="E22" s="3130">
        <f ca="1">IF(F22&lt;B2,"已过期",2000110137)</f>
        <v>2000110137</v>
      </c>
      <c r="F22" s="3133">
        <v>46387</v>
      </c>
    </row>
    <row r="23" spans="1:7" ht="20.25" customHeight="1">
      <c r="A23" s="3130" t="s">
        <v>2981</v>
      </c>
      <c r="B23" s="3130">
        <v>1119980106</v>
      </c>
      <c r="C23" s="3132">
        <v>43916</v>
      </c>
      <c r="D23" s="3130" t="s">
        <v>2983</v>
      </c>
      <c r="E23" s="3130">
        <v>96010063</v>
      </c>
      <c r="F23" s="3133">
        <v>47118</v>
      </c>
    </row>
    <row r="24" spans="1:7" s="3138" customFormat="1" ht="20.25" customHeight="1">
      <c r="A24" s="3129" t="s">
        <v>2050</v>
      </c>
      <c r="B24" s="3129" t="s">
        <v>2050</v>
      </c>
      <c r="C24" s="3132"/>
      <c r="D24" s="3137" t="s">
        <v>2050</v>
      </c>
      <c r="E24" s="3129" t="s">
        <v>2050</v>
      </c>
      <c r="F24" s="3136"/>
    </row>
    <row r="25" spans="1:7" ht="20.25" customHeight="1">
      <c r="A25" s="3227" t="s">
        <v>1923</v>
      </c>
      <c r="B25" s="3227"/>
      <c r="C25" s="3227"/>
      <c r="D25" s="3227"/>
      <c r="E25" s="3227"/>
      <c r="F25" s="3227"/>
      <c r="G25" s="3227"/>
    </row>
    <row r="26" spans="1:7" ht="20.25" customHeight="1">
      <c r="A26" s="3228" t="s">
        <v>1924</v>
      </c>
      <c r="B26" s="3228"/>
      <c r="C26" s="3228"/>
      <c r="D26" s="3228" t="s">
        <v>1925</v>
      </c>
      <c r="E26" s="3228"/>
      <c r="F26" s="3228"/>
    </row>
    <row r="27" spans="1:7" s="3125" customFormat="1" ht="20.25" customHeight="1">
      <c r="A27" s="3139" t="s">
        <v>1926</v>
      </c>
      <c r="B27" s="3140" t="s">
        <v>1927</v>
      </c>
      <c r="C27" s="3140" t="s">
        <v>1928</v>
      </c>
      <c r="D27" s="3130" t="s">
        <v>1926</v>
      </c>
      <c r="E27" s="3140" t="s">
        <v>1927</v>
      </c>
      <c r="F27" s="3140" t="s">
        <v>1928</v>
      </c>
    </row>
    <row r="28" spans="1:7" s="3125" customFormat="1" ht="20.25" customHeight="1">
      <c r="A28" s="3141" t="s">
        <v>1929</v>
      </c>
      <c r="B28" s="3141" t="s">
        <v>1930</v>
      </c>
      <c r="C28" s="3133">
        <v>44820</v>
      </c>
      <c r="D28" s="3141" t="s">
        <v>1931</v>
      </c>
      <c r="E28" s="3141" t="s">
        <v>1932</v>
      </c>
      <c r="F28" s="3142">
        <v>44377</v>
      </c>
    </row>
    <row r="29" spans="1:7" s="3125" customFormat="1" ht="20.25" customHeight="1">
      <c r="A29" s="3141"/>
      <c r="B29" s="3141"/>
      <c r="C29" s="3143"/>
      <c r="D29" s="3141" t="s">
        <v>1933</v>
      </c>
      <c r="E29" s="3141" t="s">
        <v>2980</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75" style="1158" customWidth="1"/>
    <col min="3" max="3" width="1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1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2535</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2536</v>
      </c>
      <c r="S3" s="9" t="s">
        <v>84</v>
      </c>
      <c r="T3" s="9" t="s">
        <v>85</v>
      </c>
      <c r="U3" s="9" t="s">
        <v>84</v>
      </c>
      <c r="V3" s="9" t="s">
        <v>86</v>
      </c>
      <c r="W3" s="9" t="s">
        <v>875</v>
      </c>
    </row>
    <row r="4" spans="1:23">
      <c r="A4" s="8" t="s">
        <v>87</v>
      </c>
      <c r="B4" s="8" t="s">
        <v>152</v>
      </c>
      <c r="C4" s="1537" t="s">
        <v>1710</v>
      </c>
      <c r="D4" s="9" t="s">
        <v>1991</v>
      </c>
      <c r="E4" s="9" t="s">
        <v>88</v>
      </c>
      <c r="F4" s="9" t="s">
        <v>89</v>
      </c>
      <c r="G4" s="9">
        <v>70</v>
      </c>
      <c r="H4" s="9" t="s">
        <v>90</v>
      </c>
      <c r="I4" s="9" t="s">
        <v>91</v>
      </c>
      <c r="K4" s="9" t="s">
        <v>92</v>
      </c>
      <c r="L4" s="9" t="s">
        <v>92</v>
      </c>
      <c r="M4" s="9" t="s">
        <v>92</v>
      </c>
      <c r="N4" s="9" t="s">
        <v>92</v>
      </c>
      <c r="O4" s="9" t="s">
        <v>92</v>
      </c>
      <c r="P4" s="1005" t="s">
        <v>759</v>
      </c>
      <c r="Q4" s="9" t="s">
        <v>92</v>
      </c>
      <c r="R4" s="1005" t="s">
        <v>2537</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545</v>
      </c>
      <c r="Q5" s="9" t="s">
        <v>97</v>
      </c>
      <c r="R5" s="1005" t="s">
        <v>2538</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2539</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3" t="s">
        <v>2939</v>
      </c>
      <c r="C18" s="1540"/>
    </row>
    <row r="19" spans="1:3">
      <c r="A19" s="8" t="s">
        <v>120</v>
      </c>
      <c r="B19" s="3063" t="s">
        <v>2947</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1939</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29"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c r="D53" s="1752"/>
      <c r="E53" s="1752"/>
    </row>
    <row r="54" spans="1:5">
      <c r="A54" s="3229"/>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9"/>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9"/>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9"/>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vt:lpstr>
      <vt:lpstr>抵押物清单（分楼）</vt:lpstr>
      <vt:lpstr>数据-汇总表</vt:lpstr>
      <vt:lpstr>数据-取费表</vt:lpstr>
      <vt:lpstr>估价对象房地状况</vt:lpstr>
      <vt:lpstr>信息汇总</vt:lpstr>
      <vt:lpstr>系统读取表</vt:lpstr>
      <vt:lpstr>结果表</vt:lpstr>
      <vt:lpstr>比较法-住宅、综合</vt:lpstr>
      <vt:lpstr>土地案例-住宅</vt:lpstr>
      <vt:lpstr>土地案例-商办</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剩余法-待开发</vt:lpstr>
      <vt:lpstr>不动产比较法-住宅</vt:lpstr>
      <vt:lpstr>开发完成后案例</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2020-05-08T05:59:28Z</dcterms:modified>
</cp:coreProperties>
</file>