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226农行租金-房山商业\"/>
    </mc:Choice>
  </mc:AlternateContent>
  <xr:revisionPtr revIDLastSave="0" documentId="13_ncr:1_{B63B4883-269C-4AF6-ACDD-63180DC20517}"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1" sheetId="86"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'比较法-商业'!$A$1:$K$54,'比较法-商业'!$A$57:$M$131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B11" i="74" l="1"/>
  <c r="E10" i="74"/>
  <c r="B10" i="74" s="1"/>
  <c r="B14" i="74"/>
  <c r="D15" i="4"/>
  <c r="N41" i="33"/>
  <c r="M36" i="33"/>
  <c r="M35" i="33"/>
  <c r="M34" i="33"/>
  <c r="G47" i="33"/>
  <c r="E104" i="33"/>
  <c r="F104" i="33"/>
  <c r="G104" i="33"/>
  <c r="H104" i="33"/>
  <c r="D104" i="33"/>
  <c r="I33" i="33"/>
  <c r="G33" i="33"/>
  <c r="E33" i="33"/>
  <c r="I47" i="33"/>
  <c r="E47" i="33"/>
  <c r="I5" i="33"/>
  <c r="G5" i="33"/>
  <c r="E5" i="33"/>
  <c r="F19" i="6"/>
  <c r="M14" i="4"/>
  <c r="E27" i="45"/>
  <c r="G14" i="73"/>
  <c r="F14" i="73"/>
  <c r="E14" i="73"/>
  <c r="I12" i="79"/>
  <c r="AP34" i="79"/>
  <c r="AP35" i="79"/>
  <c r="AP36" i="79"/>
  <c r="AP37" i="79"/>
  <c r="AP38" i="79"/>
  <c r="AP39" i="79"/>
  <c r="AP40" i="79"/>
  <c r="AP41" i="79"/>
  <c r="AP42" i="79"/>
  <c r="AP43" i="79"/>
  <c r="AP44" i="79"/>
  <c r="AP45" i="79"/>
  <c r="AP46" i="79"/>
  <c r="AP47" i="79"/>
  <c r="AP48" i="79"/>
  <c r="AP49" i="79"/>
  <c r="AP50" i="79"/>
  <c r="AP51" i="79"/>
  <c r="AP52" i="79"/>
  <c r="AO34" i="79"/>
  <c r="AO35" i="79"/>
  <c r="AO36" i="79"/>
  <c r="AO37" i="79"/>
  <c r="AO38" i="79"/>
  <c r="AO39" i="79"/>
  <c r="AO40" i="79"/>
  <c r="AO41" i="79"/>
  <c r="AO42" i="79"/>
  <c r="AO43" i="79"/>
  <c r="AO44" i="79"/>
  <c r="AO45" i="79"/>
  <c r="AO46" i="79"/>
  <c r="AO47" i="79"/>
  <c r="AO48" i="79"/>
  <c r="AO49" i="79"/>
  <c r="AO50" i="79"/>
  <c r="AO51" i="79"/>
  <c r="AO52" i="79"/>
  <c r="AN34" i="79"/>
  <c r="AN35" i="79"/>
  <c r="AN36" i="79"/>
  <c r="AN37" i="79"/>
  <c r="AN38" i="79"/>
  <c r="AN39" i="79"/>
  <c r="AN40" i="79"/>
  <c r="AN41" i="79"/>
  <c r="AN42" i="79"/>
  <c r="AN43" i="79"/>
  <c r="AN44" i="79"/>
  <c r="AN45" i="79"/>
  <c r="AN46" i="79"/>
  <c r="AN47" i="79"/>
  <c r="AN48" i="79"/>
  <c r="AN49" i="79"/>
  <c r="AN50" i="79"/>
  <c r="AN51" i="79"/>
  <c r="AN52"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AR7" i="79"/>
  <c r="AD33" i="79"/>
  <c r="AR34" i="79"/>
  <c r="AR35" i="79"/>
  <c r="AR36" i="79"/>
  <c r="AR8" i="79"/>
  <c r="D60" i="78"/>
  <c r="C60" i="78"/>
  <c r="B55" i="78"/>
  <c r="D55" i="78"/>
  <c r="D53" i="78"/>
  <c r="D52" i="78"/>
  <c r="B51" i="78"/>
  <c r="B56" i="78"/>
  <c r="D51"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R37" i="79"/>
  <c r="AR38" i="79"/>
  <c r="P36" i="79"/>
  <c r="AR10" i="79"/>
  <c r="G16" i="73"/>
  <c r="F16" i="73"/>
  <c r="E16" i="73"/>
  <c r="G17" i="73"/>
  <c r="F17" i="73"/>
  <c r="E17" i="73"/>
  <c r="AB38" i="79"/>
  <c r="AA38" i="79"/>
  <c r="Z38" i="79"/>
  <c r="N38" i="79"/>
  <c r="M38" i="79"/>
  <c r="L38" i="79"/>
  <c r="I38" i="79"/>
  <c r="AC10" i="79"/>
  <c r="AB10" i="79"/>
  <c r="AA10" i="79"/>
  <c r="AD10" i="79"/>
  <c r="Z10" i="79"/>
  <c r="Y10" i="79"/>
  <c r="O10" i="79"/>
  <c r="N10" i="79"/>
  <c r="M10" i="79"/>
  <c r="P10" i="79"/>
  <c r="L10" i="79"/>
  <c r="K10" i="79"/>
  <c r="I10" i="79"/>
  <c r="AR11" i="79"/>
  <c r="AR39" i="79"/>
  <c r="P38"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s="1"/>
  <c r="D7" i="78" s="1"/>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D51" i="79"/>
  <c r="AB50" i="79"/>
  <c r="AA50" i="79"/>
  <c r="Z50" i="79"/>
  <c r="N50" i="79"/>
  <c r="U50" i="79"/>
  <c r="AI50" i="79"/>
  <c r="M50" i="79"/>
  <c r="L50" i="79"/>
  <c r="I50" i="79"/>
  <c r="AB49" i="79"/>
  <c r="AA49" i="79"/>
  <c r="Z49" i="79"/>
  <c r="N49" i="79"/>
  <c r="M49" i="79"/>
  <c r="L49" i="79"/>
  <c r="I49" i="79"/>
  <c r="AB48" i="79"/>
  <c r="AA48" i="79"/>
  <c r="Z48" i="79"/>
  <c r="N48" i="79"/>
  <c r="M48" i="79"/>
  <c r="L48" i="79"/>
  <c r="S48" i="79"/>
  <c r="AG48" i="79"/>
  <c r="I48" i="79"/>
  <c r="AB47" i="79"/>
  <c r="AA47" i="79"/>
  <c r="Z47" i="79"/>
  <c r="N47" i="79"/>
  <c r="M47" i="79"/>
  <c r="L47" i="79"/>
  <c r="I47" i="79"/>
  <c r="AD47" i="79"/>
  <c r="AB46" i="79"/>
  <c r="AA46" i="79"/>
  <c r="Z46" i="79"/>
  <c r="N46" i="79"/>
  <c r="U46" i="79"/>
  <c r="AI46" i="79"/>
  <c r="M46" i="79"/>
  <c r="L46" i="79"/>
  <c r="I46" i="79"/>
  <c r="AB45" i="79"/>
  <c r="AA45" i="79"/>
  <c r="Z45" i="79"/>
  <c r="N45" i="79"/>
  <c r="M45" i="79"/>
  <c r="T40" i="79"/>
  <c r="L45" i="79"/>
  <c r="I45" i="79"/>
  <c r="AB39" i="79"/>
  <c r="AA39" i="79"/>
  <c r="AA31" i="79"/>
  <c r="AD31" i="79"/>
  <c r="Z39" i="79"/>
  <c r="N39" i="79"/>
  <c r="M39" i="79"/>
  <c r="L39" i="79"/>
  <c r="I39" i="79"/>
  <c r="N31" i="79"/>
  <c r="G31" i="79"/>
  <c r="F31" i="79"/>
  <c r="I31" i="79"/>
  <c r="E31" i="79"/>
  <c r="AC24" i="79"/>
  <c r="AB24" i="79"/>
  <c r="AA24" i="79"/>
  <c r="AD24" i="79"/>
  <c r="Z24" i="79"/>
  <c r="Y24" i="79"/>
  <c r="W24" i="79"/>
  <c r="O24" i="79"/>
  <c r="N24" i="79"/>
  <c r="M24" i="79"/>
  <c r="P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C20" i="79"/>
  <c r="AB20" i="79"/>
  <c r="AA20" i="79"/>
  <c r="AD20" i="79"/>
  <c r="Z20" i="79"/>
  <c r="Y20" i="79"/>
  <c r="O20" i="79"/>
  <c r="N20" i="79"/>
  <c r="M20" i="79"/>
  <c r="L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AR18" i="79"/>
  <c r="AR19" i="79"/>
  <c r="AR20" i="79"/>
  <c r="AR21" i="79"/>
  <c r="AR22" i="79"/>
  <c r="AR23" i="79"/>
  <c r="AR24"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c r="W22" i="79"/>
  <c r="AK22" i="79"/>
  <c r="AH22" i="79"/>
  <c r="AD38" i="79"/>
  <c r="AD36" i="79"/>
  <c r="AD37" i="79"/>
  <c r="AD35" i="79"/>
  <c r="AD34" i="79"/>
  <c r="AR40" i="79"/>
  <c r="AR41" i="79"/>
  <c r="AR42" i="79"/>
  <c r="AR43" i="79"/>
  <c r="AR44" i="79"/>
  <c r="AR45" i="79"/>
  <c r="AR46" i="79"/>
  <c r="AR47" i="79"/>
  <c r="AR48" i="79"/>
  <c r="AR49" i="79"/>
  <c r="AR50" i="79"/>
  <c r="AR51" i="79"/>
  <c r="AR52" i="79"/>
  <c r="Z3" i="79"/>
  <c r="S34" i="79"/>
  <c r="AG34" i="79"/>
  <c r="S35" i="79"/>
  <c r="AG35" i="79"/>
  <c r="S33" i="79"/>
  <c r="AG33" i="79"/>
  <c r="W40" i="79"/>
  <c r="AK40" i="79"/>
  <c r="AH40" i="79"/>
  <c r="T35" i="79"/>
  <c r="T34" i="79"/>
  <c r="T33" i="79"/>
  <c r="U33" i="79"/>
  <c r="AI33" i="79"/>
  <c r="U35" i="79"/>
  <c r="AI35"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42" i="79"/>
  <c r="AK42"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6" i="78"/>
  <c r="D5" i="78"/>
  <c r="W15" i="79"/>
  <c r="AK15" i="79"/>
  <c r="AH15" i="79"/>
  <c r="W13" i="79"/>
  <c r="AK13" i="79"/>
  <c r="AH13" i="79"/>
  <c r="W48" i="79"/>
  <c r="AK48" i="79"/>
  <c r="AH48" i="79"/>
  <c r="W49" i="79"/>
  <c r="AK49" i="79"/>
  <c r="AH49" i="79"/>
  <c r="W43" i="79"/>
  <c r="AK43" i="79"/>
  <c r="AH43" i="79"/>
  <c r="W38" i="79"/>
  <c r="AK38" i="79"/>
  <c r="AH38" i="79"/>
  <c r="W35" i="79"/>
  <c r="AK35" i="79"/>
  <c r="AH35" i="79"/>
  <c r="W23" i="79"/>
  <c r="AK23" i="79"/>
  <c r="AH23" i="79"/>
  <c r="W12" i="79"/>
  <c r="AK12" i="79"/>
  <c r="AH12" i="79"/>
  <c r="W21" i="79"/>
  <c r="AK21" i="79"/>
  <c r="AH21" i="79"/>
  <c r="W47" i="79"/>
  <c r="AK47" i="79"/>
  <c r="AH47" i="79"/>
  <c r="W45" i="79"/>
  <c r="AK45" i="79"/>
  <c r="AH45" i="79"/>
  <c r="W11" i="79"/>
  <c r="AK11" i="79"/>
  <c r="AH11" i="79"/>
  <c r="W17" i="79"/>
  <c r="AK17" i="79"/>
  <c r="AH17" i="79"/>
  <c r="W10" i="79"/>
  <c r="AK10" i="79"/>
  <c r="AH10" i="79"/>
  <c r="W18" i="79"/>
  <c r="AK18" i="79"/>
  <c r="AH18" i="79"/>
  <c r="W20" i="79"/>
  <c r="AK20" i="79"/>
  <c r="AH20" i="79"/>
  <c r="W33" i="79"/>
  <c r="AK33" i="79"/>
  <c r="AH33" i="79"/>
  <c r="W14" i="79"/>
  <c r="AK14" i="79"/>
  <c r="AH14" i="79"/>
  <c r="W19" i="79"/>
  <c r="AK19" i="79"/>
  <c r="AH19" i="79"/>
  <c r="W16" i="79"/>
  <c r="AK16" i="79"/>
  <c r="AH16" i="79"/>
  <c r="W50" i="79"/>
  <c r="AK50" i="79"/>
  <c r="AH50" i="79"/>
  <c r="W51" i="79"/>
  <c r="AK51" i="79"/>
  <c r="AH51" i="79"/>
  <c r="W41" i="79"/>
  <c r="AK41" i="79"/>
  <c r="AH41" i="79"/>
  <c r="W44" i="79"/>
  <c r="AK44" i="79"/>
  <c r="AH44" i="79"/>
  <c r="W46" i="79"/>
  <c r="AK46" i="79"/>
  <c r="AH46" i="79"/>
  <c r="W34" i="79"/>
  <c r="AK34" i="79"/>
  <c r="AH34"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R10" i="77"/>
  <c r="D10" i="77"/>
  <c r="R9" i="77"/>
  <c r="D9" i="77"/>
  <c r="R8" i="77"/>
  <c r="R7" i="77"/>
  <c r="R4" i="77"/>
  <c r="R3" i="77"/>
  <c r="D11" i="77"/>
  <c r="E11" i="77"/>
  <c r="E7" i="77"/>
  <c r="C27" i="77"/>
  <c r="D7" i="77"/>
  <c r="C26" i="77"/>
  <c r="R14" i="77"/>
  <c r="R24" i="77"/>
  <c r="D29" i="77"/>
  <c r="D32" i="77"/>
  <c r="E23" i="77"/>
  <c r="D26" i="77"/>
  <c r="C29" i="77"/>
  <c r="R35" i="77"/>
  <c r="U34" i="77"/>
  <c r="AH9" i="71"/>
  <c r="AG9" i="71"/>
  <c r="AE9" i="71"/>
  <c r="AF9" i="71"/>
  <c r="AD9" i="71"/>
  <c r="Q9" i="71"/>
  <c r="P9" i="71"/>
  <c r="O9" i="71"/>
  <c r="N9" i="71"/>
  <c r="C32" i="77"/>
  <c r="C38" i="77"/>
  <c r="C39" i="77"/>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B24" i="71"/>
  <c r="B23" i="71"/>
  <c r="B22" i="71"/>
  <c r="B21" i="71"/>
  <c r="B20" i="71"/>
  <c r="B19" i="71"/>
  <c r="B18" i="71"/>
  <c r="B17" i="71"/>
  <c r="Q24" i="71"/>
  <c r="P24" i="71"/>
  <c r="E24" i="71"/>
  <c r="O24" i="71"/>
  <c r="C24" i="71"/>
  <c r="C23" i="71"/>
  <c r="Q25" i="71"/>
  <c r="F24" i="71"/>
  <c r="F23" i="71"/>
  <c r="F22" i="71"/>
  <c r="P25" i="71"/>
  <c r="O25" i="71"/>
  <c r="N25"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AB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C1" i="73"/>
  <c r="L1" i="73" s="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s="1"/>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F79" i="71"/>
  <c r="F78" i="71"/>
  <c r="E80" i="71"/>
  <c r="U80" i="71"/>
  <c r="C80" i="71"/>
  <c r="T80" i="71"/>
  <c r="B80" i="71"/>
  <c r="S80" i="71"/>
  <c r="Q79" i="71"/>
  <c r="P79" i="71"/>
  <c r="O79" i="71"/>
  <c r="N79" i="71"/>
  <c r="B79" i="71"/>
  <c r="B78" i="71"/>
  <c r="Q78" i="71"/>
  <c r="P78" i="71"/>
  <c r="O78" i="71"/>
  <c r="N78" i="71"/>
  <c r="Q77" i="71"/>
  <c r="P77" i="71"/>
  <c r="O77" i="71"/>
  <c r="N77" i="71"/>
  <c r="D77" i="71"/>
  <c r="Q76" i="71"/>
  <c r="P76" i="71"/>
  <c r="O76" i="71"/>
  <c r="N76" i="71"/>
  <c r="F76" i="71"/>
  <c r="V76" i="71"/>
  <c r="E76" i="71"/>
  <c r="U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E59" i="71"/>
  <c r="E60" i="71"/>
  <c r="U60" i="71"/>
  <c r="O57" i="71"/>
  <c r="C58" i="71"/>
  <c r="D58" i="71"/>
  <c r="N57" i="71"/>
  <c r="B58" i="71"/>
  <c r="B59" i="71"/>
  <c r="B60" i="71"/>
  <c r="S60" i="71"/>
  <c r="D57" i="71"/>
  <c r="Q56" i="71"/>
  <c r="P56" i="71"/>
  <c r="O56" i="71"/>
  <c r="N56" i="71"/>
  <c r="Q55" i="71"/>
  <c r="P55" i="71"/>
  <c r="O55" i="71"/>
  <c r="N55" i="71"/>
  <c r="Q54" i="71"/>
  <c r="P54" i="71"/>
  <c r="O54" i="71"/>
  <c r="N54" i="71"/>
  <c r="Q53" i="71"/>
  <c r="F54" i="71"/>
  <c r="P53" i="71"/>
  <c r="E54" i="71"/>
  <c r="E55" i="71"/>
  <c r="E56" i="71"/>
  <c r="U56" i="71"/>
  <c r="O53" i="71"/>
  <c r="C54" i="71"/>
  <c r="N53" i="71"/>
  <c r="B54"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8" i="71"/>
  <c r="O39" i="71"/>
  <c r="N39" i="71"/>
  <c r="X39" i="71"/>
  <c r="Q38" i="71"/>
  <c r="AB38" i="71"/>
  <c r="P38" i="71"/>
  <c r="O38" i="71"/>
  <c r="Y38" i="71"/>
  <c r="Z38" i="71"/>
  <c r="N38" i="71"/>
  <c r="X35" i="71"/>
  <c r="F38" i="71"/>
  <c r="F39" i="71"/>
  <c r="F40" i="71"/>
  <c r="V40" i="71"/>
  <c r="Q37" i="71"/>
  <c r="P37" i="71"/>
  <c r="E38" i="71"/>
  <c r="E39" i="71"/>
  <c r="E40" i="71"/>
  <c r="U40" i="71"/>
  <c r="O37" i="71"/>
  <c r="Y37" i="71"/>
  <c r="Z37" i="71"/>
  <c r="N37" i="71"/>
  <c r="B38" i="71"/>
  <c r="D37" i="71"/>
  <c r="Q36" i="71"/>
  <c r="P36" i="71"/>
  <c r="O36" i="71"/>
  <c r="Y35" i="71"/>
  <c r="Z35" i="71"/>
  <c r="N36" i="71"/>
  <c r="Q35" i="71"/>
  <c r="AB35" i="71"/>
  <c r="P35" i="71"/>
  <c r="AA35" i="71"/>
  <c r="O35" i="71"/>
  <c r="N35" i="71"/>
  <c r="Q34" i="71"/>
  <c r="P34" i="71"/>
  <c r="AA34" i="71"/>
  <c r="O34" i="71"/>
  <c r="N34" i="71"/>
  <c r="Q33" i="71"/>
  <c r="F34" i="71"/>
  <c r="F35" i="71"/>
  <c r="F36" i="71"/>
  <c r="V36" i="71"/>
  <c r="P33" i="71"/>
  <c r="E34" i="71"/>
  <c r="E35" i="71"/>
  <c r="E36" i="71"/>
  <c r="U36" i="71"/>
  <c r="O33" i="71"/>
  <c r="N33" i="71"/>
  <c r="B34" i="71"/>
  <c r="B35" i="71"/>
  <c r="B36" i="71"/>
  <c r="S36" i="71"/>
  <c r="D33" i="71"/>
  <c r="Q32" i="71"/>
  <c r="AB28"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Y26" i="71"/>
  <c r="Z26" i="71"/>
  <c r="N28" i="71"/>
  <c r="B28" i="71"/>
  <c r="B30" i="71"/>
  <c r="B31" i="71"/>
  <c r="E30" i="71"/>
  <c r="E31" i="71"/>
  <c r="E32" i="71"/>
  <c r="U32" i="71"/>
  <c r="B39" i="71"/>
  <c r="B40" i="71"/>
  <c r="S40" i="71"/>
  <c r="C30" i="71"/>
  <c r="C31" i="71"/>
  <c r="X31" i="71"/>
  <c r="C34" i="71"/>
  <c r="D34" i="71"/>
  <c r="X34" i="71"/>
  <c r="C38" i="71"/>
  <c r="D38" i="71"/>
  <c r="F51" i="71"/>
  <c r="F52" i="71"/>
  <c r="V52" i="71"/>
  <c r="Y27" i="71"/>
  <c r="Z27" i="71"/>
  <c r="D30" i="71"/>
  <c r="D50" i="71"/>
  <c r="P28" i="71"/>
  <c r="E28" i="71"/>
  <c r="U68" i="71"/>
  <c r="E67" i="71"/>
  <c r="E66" i="71"/>
  <c r="Q28" i="71"/>
  <c r="C59" i="71"/>
  <c r="D59" i="71"/>
  <c r="D62" i="71"/>
  <c r="T68" i="71"/>
  <c r="O68" i="71"/>
  <c r="D68" i="71"/>
  <c r="C67" i="71"/>
  <c r="D67" i="71"/>
  <c r="Q68" i="71"/>
  <c r="E71" i="71"/>
  <c r="E70" i="71"/>
  <c r="D72" i="71"/>
  <c r="C75" i="71"/>
  <c r="D75" i="71"/>
  <c r="D76" i="71"/>
  <c r="C79" i="71"/>
  <c r="D80" i="71"/>
  <c r="C83" i="71"/>
  <c r="F28" i="71"/>
  <c r="F27" i="71"/>
  <c r="F26" i="71"/>
  <c r="AA3" i="71"/>
  <c r="C66" i="71"/>
  <c r="O65" i="71"/>
  <c r="D83" i="71"/>
  <c r="C82" i="71"/>
  <c r="D82" i="71"/>
  <c r="C74" i="71"/>
  <c r="D74" i="71"/>
  <c r="D79" i="71"/>
  <c r="C78" i="71"/>
  <c r="D78" i="71"/>
  <c r="C60" i="71"/>
  <c r="D60" i="71"/>
  <c r="P67" i="71"/>
  <c r="O27" i="6"/>
  <c r="N27" i="6"/>
  <c r="P20" i="6"/>
  <c r="P21" i="6"/>
  <c r="P22" i="6"/>
  <c r="P23" i="6"/>
  <c r="P24" i="6"/>
  <c r="P25" i="6"/>
  <c r="P26" i="6"/>
  <c r="P19" i="6"/>
  <c r="P27"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3"/>
  <c r="Z21" i="33"/>
  <c r="D83" i="33"/>
  <c r="E83" i="33"/>
  <c r="F83" i="33"/>
  <c r="G83" i="33"/>
  <c r="C21" i="33"/>
  <c r="G20" i="20"/>
  <c r="C25" i="40"/>
  <c r="B88" i="43"/>
  <c r="C22" i="20"/>
  <c r="B100" i="43"/>
  <c r="C29" i="39"/>
  <c r="H25" i="40"/>
  <c r="AB25" i="40"/>
  <c r="J25" i="40"/>
  <c r="H29" i="39"/>
  <c r="AB29" i="39"/>
  <c r="J29" i="39"/>
  <c r="AC29" i="39"/>
  <c r="J18" i="36"/>
  <c r="AC18" i="36"/>
  <c r="H18" i="35"/>
  <c r="AB18" i="35"/>
  <c r="J18" i="35"/>
  <c r="AC18" i="35"/>
  <c r="H21" i="37"/>
  <c r="F21" i="37"/>
  <c r="AA21" i="37"/>
  <c r="H21" i="33"/>
  <c r="U21" i="33"/>
  <c r="F21" i="33"/>
  <c r="S21" i="33"/>
  <c r="H1" i="69"/>
  <c r="AC25" i="40"/>
  <c r="W25" i="40"/>
  <c r="U29" i="39"/>
  <c r="AB21" i="37"/>
  <c r="U21" i="37"/>
  <c r="AB21" i="33"/>
  <c r="AA21" i="33"/>
  <c r="J21" i="37"/>
  <c r="W21" i="37"/>
  <c r="J21" i="33"/>
  <c r="W21" i="33"/>
  <c r="F38" i="69"/>
  <c r="E37" i="69"/>
  <c r="F36" i="69"/>
  <c r="F35" i="69"/>
  <c r="F21" i="69"/>
  <c r="F40" i="69"/>
  <c r="F20" i="69"/>
  <c r="F39" i="69"/>
  <c r="E10" i="69"/>
  <c r="E9" i="69"/>
  <c r="C7" i="69"/>
  <c r="AC21" i="33"/>
  <c r="C40" i="69"/>
  <c r="F38" i="68"/>
  <c r="E37" i="68"/>
  <c r="F36" i="68"/>
  <c r="F35" i="68"/>
  <c r="F21" i="68"/>
  <c r="F40" i="68"/>
  <c r="C21" i="68"/>
  <c r="F20" i="68"/>
  <c r="F39" i="68"/>
  <c r="E10" i="68"/>
  <c r="E9" i="68"/>
  <c r="C7" i="68"/>
  <c r="C5" i="68"/>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B2" i="1"/>
  <c r="E15" i="4"/>
  <c r="A7" i="1"/>
  <c r="B7" i="1"/>
  <c r="E7" i="1" s="1"/>
  <c r="A8" i="1"/>
  <c r="B8" i="1"/>
  <c r="E8" i="1"/>
  <c r="A9" i="1"/>
  <c r="A10" i="1"/>
  <c r="A11" i="1"/>
  <c r="B11" i="1"/>
  <c r="E11" i="1"/>
  <c r="A12" i="1"/>
  <c r="A13" i="1"/>
  <c r="A6" i="1"/>
  <c r="G1" i="69"/>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A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L103" i="3"/>
  <c r="BM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A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L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L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G60" i="3"/>
  <c r="H60" i="3"/>
  <c r="BT59" i="3"/>
  <c r="BS59" i="3"/>
  <c r="BR59" i="3"/>
  <c r="BQ59" i="3"/>
  <c r="BP59" i="3"/>
  <c r="BO59" i="3"/>
  <c r="BN59" i="3"/>
  <c r="BM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BT19" i="3"/>
  <c r="BS19" i="3"/>
  <c r="BR19" i="3"/>
  <c r="BQ19" i="3"/>
  <c r="BP19" i="3"/>
  <c r="BO19" i="3"/>
  <c r="BN19" i="3"/>
  <c r="BL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A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L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A480" i="3"/>
  <c r="AZ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A476" i="3"/>
  <c r="AZ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G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A466" i="3"/>
  <c r="AZ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L462" i="3"/>
  <c r="BM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L458" i="3"/>
  <c r="BM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c r="AZ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c r="AZ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A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A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c r="AZ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c r="AZ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c r="H400" i="3"/>
  <c r="BT399" i="3"/>
  <c r="BS399" i="3"/>
  <c r="BR399" i="3"/>
  <c r="BQ399" i="3"/>
  <c r="BP399" i="3"/>
  <c r="BO399" i="3"/>
  <c r="BL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L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E10" i="6" s="1"/>
  <c r="BB10" i="3"/>
  <c r="H13" i="3"/>
  <c r="G13" i="3" s="1"/>
  <c r="G5" i="3" s="1"/>
  <c r="B3" i="3" s="1"/>
  <c r="AC13" i="3"/>
  <c r="H14" i="3"/>
  <c r="G14" i="3" s="1"/>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E5" i="6" s="1"/>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c r="G48" i="37"/>
  <c r="H48" i="37"/>
  <c r="E48" i="37"/>
  <c r="F48" i="37"/>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D5" i="3"/>
  <c r="BE552" i="3"/>
  <c r="BF552" i="3"/>
  <c r="BG552" i="3"/>
  <c r="BH552" i="3"/>
  <c r="BI552" i="3"/>
  <c r="BJ552" i="3"/>
  <c r="BK552" i="3"/>
  <c r="BM552" i="3"/>
  <c r="BM5"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A554" i="3"/>
  <c r="BF554" i="3"/>
  <c r="BG554" i="3"/>
  <c r="BH554" i="3"/>
  <c r="BI554" i="3"/>
  <c r="BJ554" i="3"/>
  <c r="BK554" i="3"/>
  <c r="BM554" i="3"/>
  <c r="BN554" i="3"/>
  <c r="BO554" i="3"/>
  <c r="BP554" i="3"/>
  <c r="BQ554" i="3"/>
  <c r="BR554" i="3"/>
  <c r="BS554" i="3"/>
  <c r="BT554" i="3"/>
  <c r="H555" i="3"/>
  <c r="AC555" i="3"/>
  <c r="BB555" i="3"/>
  <c r="BC555" i="3"/>
  <c r="BD555" i="3"/>
  <c r="BE555" i="3"/>
  <c r="BA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L556" i="3"/>
  <c r="BO556" i="3"/>
  <c r="BP556" i="3"/>
  <c r="BQ556" i="3"/>
  <c r="BR556" i="3"/>
  <c r="BS556" i="3"/>
  <c r="BT556" i="3"/>
  <c r="H557" i="3"/>
  <c r="BB557" i="3"/>
  <c r="BA557" i="3"/>
  <c r="BC557" i="3"/>
  <c r="BD557" i="3"/>
  <c r="BE557" i="3"/>
  <c r="BF557" i="3"/>
  <c r="BG557" i="3"/>
  <c r="BH557" i="3"/>
  <c r="BI557" i="3"/>
  <c r="BJ557" i="3"/>
  <c r="BK557" i="3"/>
  <c r="BM557" i="3"/>
  <c r="BN557" i="3"/>
  <c r="BO557" i="3"/>
  <c r="BP557" i="3"/>
  <c r="BR557" i="3"/>
  <c r="BS557" i="3"/>
  <c r="BT557" i="3"/>
  <c r="H558" i="3"/>
  <c r="G558" i="3"/>
  <c r="AC558" i="3"/>
  <c r="BB558" i="3"/>
  <c r="BC558" i="3"/>
  <c r="BA558" i="3"/>
  <c r="AZ558" i="3"/>
  <c r="BD558" i="3"/>
  <c r="BE558" i="3"/>
  <c r="BF558" i="3"/>
  <c r="BG558" i="3"/>
  <c r="BH558" i="3"/>
  <c r="BI558" i="3"/>
  <c r="BJ558" i="3"/>
  <c r="BK558" i="3"/>
  <c r="BM558" i="3"/>
  <c r="BN558" i="3"/>
  <c r="BO558" i="3"/>
  <c r="BP558" i="3"/>
  <c r="BQ558" i="3"/>
  <c r="BR558" i="3"/>
  <c r="BS558" i="3"/>
  <c r="BT558" i="3"/>
  <c r="H559" i="3"/>
  <c r="AC559" i="3"/>
  <c r="BB559" i="3"/>
  <c r="BC559" i="3"/>
  <c r="BA559" i="3"/>
  <c r="AZ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c r="BO562" i="3"/>
  <c r="BP562" i="3"/>
  <c r="BQ562" i="3"/>
  <c r="BR562" i="3"/>
  <c r="BS562" i="3"/>
  <c r="BT562" i="3"/>
  <c r="H563" i="3"/>
  <c r="AC563" i="3"/>
  <c r="G563" i="3"/>
  <c r="BB563" i="3"/>
  <c r="BC563" i="3"/>
  <c r="BD563" i="3"/>
  <c r="BE563" i="3"/>
  <c r="BF563" i="3"/>
  <c r="BG563" i="3"/>
  <c r="BH563" i="3"/>
  <c r="BI563" i="3"/>
  <c r="BJ563" i="3"/>
  <c r="BK563" i="3"/>
  <c r="BM563" i="3"/>
  <c r="BN563" i="3"/>
  <c r="BL563" i="3"/>
  <c r="BO563" i="3"/>
  <c r="BP563" i="3"/>
  <c r="BR563" i="3"/>
  <c r="BS563" i="3"/>
  <c r="BT563" i="3"/>
  <c r="H564" i="3"/>
  <c r="AC564" i="3"/>
  <c r="BB564" i="3"/>
  <c r="BA564" i="3"/>
  <c r="AZ564" i="3"/>
  <c r="BC564" i="3"/>
  <c r="BD564" i="3"/>
  <c r="BE564" i="3"/>
  <c r="BF564" i="3"/>
  <c r="BG564" i="3"/>
  <c r="BH564" i="3"/>
  <c r="BI564" i="3"/>
  <c r="BJ564" i="3"/>
  <c r="BK564" i="3"/>
  <c r="BM564" i="3"/>
  <c r="BN564" i="3"/>
  <c r="BO564" i="3"/>
  <c r="BP564" i="3"/>
  <c r="BQ564" i="3"/>
  <c r="BR564" i="3"/>
  <c r="BS564" i="3"/>
  <c r="BT564" i="3"/>
  <c r="H565" i="3"/>
  <c r="AC565" i="3"/>
  <c r="BB565" i="3"/>
  <c r="BA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c r="AZ568" i="3"/>
  <c r="BD568" i="3"/>
  <c r="BE568" i="3"/>
  <c r="BF568" i="3"/>
  <c r="BG568" i="3"/>
  <c r="BH568" i="3"/>
  <c r="BI568" i="3"/>
  <c r="BJ568" i="3"/>
  <c r="BK568" i="3"/>
  <c r="BK5"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F40" i="33"/>
  <c r="J41" i="33"/>
  <c r="D113" i="33"/>
  <c r="F37" i="33"/>
  <c r="AA37" i="33"/>
  <c r="D111" i="33"/>
  <c r="E111" i="33" s="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H13" i="39"/>
  <c r="B81" i="39"/>
  <c r="J12" i="39"/>
  <c r="M78" i="39"/>
  <c r="L78" i="39"/>
  <c r="K78" i="39"/>
  <c r="J78" i="39"/>
  <c r="I78" i="39"/>
  <c r="H78" i="39"/>
  <c r="G78" i="39"/>
  <c r="F78" i="39"/>
  <c r="E78" i="39"/>
  <c r="D78" i="39"/>
  <c r="C78"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D83" i="36"/>
  <c r="E83" i="36"/>
  <c r="F83" i="36"/>
  <c r="G83" i="36"/>
  <c r="H83" i="36"/>
  <c r="I83" i="36"/>
  <c r="J83" i="36"/>
  <c r="K83" i="36"/>
  <c r="L83" i="36"/>
  <c r="M83" i="36"/>
  <c r="D78" i="36"/>
  <c r="E78" i="36"/>
  <c r="F78" i="36"/>
  <c r="G78" i="36"/>
  <c r="H78" i="36"/>
  <c r="I78" i="36"/>
  <c r="J78" i="36"/>
  <c r="K78" i="36"/>
  <c r="L78" i="36"/>
  <c r="M78" i="36"/>
  <c r="B75" i="36"/>
  <c r="B73" i="36"/>
  <c r="B71" i="36"/>
  <c r="H23" i="36"/>
  <c r="D70" i="36"/>
  <c r="H22" i="36"/>
  <c r="D68" i="36"/>
  <c r="E68" i="36"/>
  <c r="F68" i="36"/>
  <c r="G68" i="36"/>
  <c r="D64" i="36"/>
  <c r="E64" i="36"/>
  <c r="F64" i="36"/>
  <c r="G64" i="36"/>
  <c r="J16" i="36"/>
  <c r="W16" i="36"/>
  <c r="D62" i="36"/>
  <c r="E62" i="36"/>
  <c r="F62" i="36"/>
  <c r="G62" i="36"/>
  <c r="B59" i="36"/>
  <c r="B57"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Q27" i="36"/>
  <c r="Z27" i="36"/>
  <c r="Q26" i="36"/>
  <c r="Z26" i="36"/>
  <c r="H26" i="36"/>
  <c r="AB26" i="36"/>
  <c r="Q25" i="36"/>
  <c r="Z25" i="36"/>
  <c r="Q24" i="36"/>
  <c r="Z24" i="36"/>
  <c r="Q23" i="36"/>
  <c r="Z23" i="36"/>
  <c r="J23" i="36"/>
  <c r="AC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J23" i="35"/>
  <c r="AC23" i="35"/>
  <c r="H23" i="35"/>
  <c r="U23" i="35"/>
  <c r="B57" i="35"/>
  <c r="B61" i="35"/>
  <c r="B59" i="35"/>
  <c r="F12"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W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1" i="33"/>
  <c r="E121" i="33"/>
  <c r="F109" i="33"/>
  <c r="E109" i="33"/>
  <c r="D109" i="33"/>
  <c r="C109" i="33"/>
  <c r="D91" i="33"/>
  <c r="E91" i="33"/>
  <c r="F91" i="33"/>
  <c r="B88" i="33"/>
  <c r="H26" i="33"/>
  <c r="C23" i="33"/>
  <c r="C19" i="33"/>
  <c r="C17" i="33"/>
  <c r="C15" i="33"/>
  <c r="D125" i="33"/>
  <c r="D123" i="33"/>
  <c r="E123" i="33"/>
  <c r="F123" i="33" s="1"/>
  <c r="G123" i="33" s="1"/>
  <c r="H123" i="33" s="1"/>
  <c r="I123" i="33" s="1"/>
  <c r="J123" i="33" s="1"/>
  <c r="K123" i="33" s="1"/>
  <c r="L123" i="33" s="1"/>
  <c r="M123" i="33" s="1"/>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D79" i="33"/>
  <c r="E79" i="33"/>
  <c r="H17" i="33"/>
  <c r="U17"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Q38" i="33"/>
  <c r="Z38" i="33"/>
  <c r="J38" i="33"/>
  <c r="AC38" i="33"/>
  <c r="H38" i="33"/>
  <c r="AB38" i="33"/>
  <c r="F38" i="33"/>
  <c r="Q37" i="33"/>
  <c r="Z37" i="33"/>
  <c r="Q36" i="33"/>
  <c r="Z36" i="33"/>
  <c r="Q35" i="33"/>
  <c r="Z35" i="33"/>
  <c r="H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c r="H9" i="33"/>
  <c r="AB9" i="33"/>
  <c r="F9" i="33"/>
  <c r="AA9" i="33"/>
  <c r="J8" i="33"/>
  <c r="AC8" i="33" s="1"/>
  <c r="H8" i="33"/>
  <c r="AB8" i="33" s="1"/>
  <c r="F8" i="33"/>
  <c r="S8" i="33" s="1"/>
  <c r="G18" i="20"/>
  <c r="B90" i="43"/>
  <c r="G19" i="20"/>
  <c r="B87" i="43"/>
  <c r="G16" i="20"/>
  <c r="B84" i="43"/>
  <c r="G15" i="20"/>
  <c r="B83" i="43"/>
  <c r="C24" i="20"/>
  <c r="C21" i="20"/>
  <c r="B99" i="43"/>
  <c r="C20" i="20"/>
  <c r="B101" i="43"/>
  <c r="B79" i="43"/>
  <c r="C18" i="20"/>
  <c r="B94" i="43"/>
  <c r="C17" i="20"/>
  <c r="B61" i="43"/>
  <c r="C16" i="20"/>
  <c r="C17" i="39"/>
  <c r="C15" i="20"/>
  <c r="B72" i="43"/>
  <c r="E10" i="11"/>
  <c r="E9" i="11"/>
  <c r="C7" i="12"/>
  <c r="BB12" i="3"/>
  <c r="F7" i="12"/>
  <c r="D7" i="12"/>
  <c r="E7" i="12"/>
  <c r="G7" i="12"/>
  <c r="K5" i="3"/>
  <c r="I4" i="6" s="1"/>
  <c r="J5" i="3"/>
  <c r="BE10" i="3"/>
  <c r="BB585" i="3"/>
  <c r="BC585" i="3"/>
  <c r="BD585" i="3"/>
  <c r="BE585" i="3"/>
  <c r="BF585" i="3"/>
  <c r="BG585" i="3"/>
  <c r="BG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A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c r="F5" i="3"/>
  <c r="G27" i="6"/>
  <c r="F45" i="39"/>
  <c r="S45" i="39"/>
  <c r="J45" i="39"/>
  <c r="W45" i="39"/>
  <c r="J44" i="39"/>
  <c r="AC44" i="39"/>
  <c r="F36" i="39"/>
  <c r="S36" i="39"/>
  <c r="H36" i="39"/>
  <c r="AB36" i="39"/>
  <c r="F35" i="39"/>
  <c r="AA35" i="39"/>
  <c r="J36" i="39"/>
  <c r="AC36" i="39"/>
  <c r="U9" i="39"/>
  <c r="W40" i="39"/>
  <c r="W25" i="37"/>
  <c r="U30" i="37"/>
  <c r="W31" i="37"/>
  <c r="E103" i="37"/>
  <c r="F103" i="37"/>
  <c r="G103" i="37"/>
  <c r="H103" i="37"/>
  <c r="I103" i="37"/>
  <c r="J103" i="37"/>
  <c r="K103" i="37"/>
  <c r="L103" i="37"/>
  <c r="M103" i="37"/>
  <c r="F29" i="36"/>
  <c r="AA29" i="36"/>
  <c r="F16" i="36"/>
  <c r="AA16" i="36"/>
  <c r="U31" i="36"/>
  <c r="J33" i="36"/>
  <c r="AC33" i="36"/>
  <c r="H22" i="35"/>
  <c r="AB22" i="35"/>
  <c r="AC27" i="35"/>
  <c r="W28" i="35"/>
  <c r="U31" i="35"/>
  <c r="W22" i="35"/>
  <c r="S31" i="35"/>
  <c r="U34" i="35"/>
  <c r="S40" i="33"/>
  <c r="S27" i="35"/>
  <c r="F11" i="40"/>
  <c r="AA11" i="40"/>
  <c r="H11" i="40"/>
  <c r="AB11" i="40"/>
  <c r="W8" i="40"/>
  <c r="AA9" i="40"/>
  <c r="S34" i="40"/>
  <c r="U38" i="40"/>
  <c r="W31" i="40"/>
  <c r="U34" i="40"/>
  <c r="F42" i="39"/>
  <c r="AA42" i="39"/>
  <c r="F41" i="39"/>
  <c r="S41" i="39"/>
  <c r="H40" i="39"/>
  <c r="AB40" i="39"/>
  <c r="H39" i="39"/>
  <c r="U39" i="39"/>
  <c r="S38" i="39"/>
  <c r="S34" i="39"/>
  <c r="H34" i="39"/>
  <c r="U34" i="39"/>
  <c r="E108" i="39"/>
  <c r="F108" i="39"/>
  <c r="G108" i="39"/>
  <c r="H108" i="39"/>
  <c r="I108" i="39"/>
  <c r="J108" i="39"/>
  <c r="K108" i="39"/>
  <c r="L108" i="39"/>
  <c r="M108" i="39"/>
  <c r="F31" i="39"/>
  <c r="AA31" i="39"/>
  <c r="E100" i="39"/>
  <c r="F100" i="39"/>
  <c r="G100" i="39"/>
  <c r="H19" i="39"/>
  <c r="AB19" i="39"/>
  <c r="F19" i="39"/>
  <c r="AA19" i="39"/>
  <c r="H17" i="39"/>
  <c r="AB17" i="39"/>
  <c r="F17" i="39"/>
  <c r="AA17" i="39"/>
  <c r="J23" i="40"/>
  <c r="AC23" i="40"/>
  <c r="F21" i="40"/>
  <c r="AA21" i="40"/>
  <c r="J21" i="40"/>
  <c r="W21" i="40"/>
  <c r="H42" i="39"/>
  <c r="AB42" i="39"/>
  <c r="J34" i="39"/>
  <c r="AC34" i="39"/>
  <c r="J31" i="39"/>
  <c r="W31" i="39"/>
  <c r="H27" i="39"/>
  <c r="U27" i="39"/>
  <c r="J19" i="39"/>
  <c r="AC19" i="39"/>
  <c r="J17" i="39"/>
  <c r="J27" i="39"/>
  <c r="AC27" i="39"/>
  <c r="F27" i="39"/>
  <c r="C25" i="39"/>
  <c r="H11" i="39"/>
  <c r="S40" i="39"/>
  <c r="C15" i="39"/>
  <c r="H37" i="40"/>
  <c r="U37" i="40"/>
  <c r="H36" i="40"/>
  <c r="AB36" i="40"/>
  <c r="F35" i="40"/>
  <c r="AA35" i="40"/>
  <c r="H23" i="40"/>
  <c r="AB23" i="40"/>
  <c r="H17" i="40"/>
  <c r="U17" i="40"/>
  <c r="J15" i="40"/>
  <c r="W15" i="40"/>
  <c r="J11" i="40"/>
  <c r="AB8" i="39"/>
  <c r="AB12" i="35"/>
  <c r="W32" i="40"/>
  <c r="F37" i="39"/>
  <c r="AA37" i="39"/>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F41" i="33"/>
  <c r="AA41" i="33"/>
  <c r="E113" i="33"/>
  <c r="F113" i="33"/>
  <c r="G113" i="33"/>
  <c r="H113" i="33"/>
  <c r="I113" i="33"/>
  <c r="J113" i="33"/>
  <c r="K113" i="33"/>
  <c r="L113" i="33"/>
  <c r="M113" i="33"/>
  <c r="F32" i="33"/>
  <c r="AA32" i="33"/>
  <c r="J19" i="33"/>
  <c r="AC19" i="33"/>
  <c r="J15" i="33"/>
  <c r="W15" i="33" s="1"/>
  <c r="F11" i="33"/>
  <c r="AA11" i="33"/>
  <c r="U40" i="33"/>
  <c r="W40" i="33"/>
  <c r="F37" i="40"/>
  <c r="AA37" i="40"/>
  <c r="F36" i="40"/>
  <c r="AA36" i="40"/>
  <c r="H28" i="40"/>
  <c r="U28" i="40"/>
  <c r="F23" i="40"/>
  <c r="AA23" i="40"/>
  <c r="F17" i="40"/>
  <c r="AA17" i="40"/>
  <c r="J17" i="40"/>
  <c r="W17" i="40"/>
  <c r="F15" i="40"/>
  <c r="S15" i="40"/>
  <c r="H15" i="40"/>
  <c r="AB15" i="40"/>
  <c r="AB30" i="36"/>
  <c r="F29" i="35"/>
  <c r="S29" i="35"/>
  <c r="H29" i="35"/>
  <c r="AB29" i="35"/>
  <c r="H33" i="37"/>
  <c r="F33" i="37"/>
  <c r="AA33" i="37"/>
  <c r="U34" i="37"/>
  <c r="S34" i="37"/>
  <c r="AA34" i="37"/>
  <c r="S41" i="33"/>
  <c r="H37" i="33"/>
  <c r="AB37" i="33"/>
  <c r="H15" i="33"/>
  <c r="AB15" i="33" s="1"/>
  <c r="H11" i="33"/>
  <c r="AB11" i="33"/>
  <c r="F28" i="40"/>
  <c r="AA29" i="35"/>
  <c r="J11" i="33"/>
  <c r="W11" i="33"/>
  <c r="J10" i="35"/>
  <c r="AC10" i="35"/>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F27" i="33"/>
  <c r="AA27" i="33"/>
  <c r="J13" i="33"/>
  <c r="H13" i="33"/>
  <c r="U13" i="33"/>
  <c r="F13" i="33"/>
  <c r="J29" i="33"/>
  <c r="H29" i="33"/>
  <c r="U29" i="33"/>
  <c r="F29" i="33"/>
  <c r="S29" i="33"/>
  <c r="J31" i="33"/>
  <c r="W31" i="33"/>
  <c r="H31" i="33"/>
  <c r="F31" i="33"/>
  <c r="H45" i="33"/>
  <c r="U45" i="33"/>
  <c r="J45" i="33"/>
  <c r="W45" i="33"/>
  <c r="F45" i="33"/>
  <c r="AA45" i="33"/>
  <c r="H11" i="35"/>
  <c r="AB11" i="35"/>
  <c r="J11" i="35"/>
  <c r="W11" i="35"/>
  <c r="AC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J40" i="37"/>
  <c r="F40" i="37"/>
  <c r="AA40" i="37"/>
  <c r="AC12" i="40"/>
  <c r="W12" i="40"/>
  <c r="H14" i="33"/>
  <c r="U14" i="33"/>
  <c r="F14" i="33"/>
  <c r="S14" i="33"/>
  <c r="J14" i="33"/>
  <c r="H30" i="33"/>
  <c r="AB30" i="33"/>
  <c r="F30" i="33"/>
  <c r="S30" i="33"/>
  <c r="J30" i="33"/>
  <c r="AC30" i="33"/>
  <c r="H44" i="33"/>
  <c r="J44" i="33"/>
  <c r="AC44" i="33"/>
  <c r="F44" i="33"/>
  <c r="S44" i="33"/>
  <c r="J46" i="33"/>
  <c r="AC46" i="33"/>
  <c r="F46" i="33"/>
  <c r="AA46" i="33"/>
  <c r="H46" i="33"/>
  <c r="F13" i="35"/>
  <c r="J13" i="35"/>
  <c r="AC13" i="35"/>
  <c r="H13" i="35"/>
  <c r="J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W28" i="37"/>
  <c r="AC28" i="37"/>
  <c r="H28" i="37"/>
  <c r="H38" i="37"/>
  <c r="AB38" i="37"/>
  <c r="J38" i="37"/>
  <c r="AC38" i="37"/>
  <c r="F38" i="37"/>
  <c r="S38" i="37"/>
  <c r="F43" i="39"/>
  <c r="AA43" i="39"/>
  <c r="H43" i="39"/>
  <c r="U43" i="39"/>
  <c r="J14" i="39"/>
  <c r="AC14" i="39"/>
  <c r="F14" i="39"/>
  <c r="H14" i="39"/>
  <c r="AB14" i="39"/>
  <c r="F12" i="40"/>
  <c r="S12" i="40"/>
  <c r="H12" i="40"/>
  <c r="U12" i="40"/>
  <c r="AB12" i="40"/>
  <c r="H30" i="40"/>
  <c r="AB30" i="40"/>
  <c r="F33" i="40"/>
  <c r="AA33" i="40"/>
  <c r="J35" i="40"/>
  <c r="W35" i="40"/>
  <c r="J37" i="40"/>
  <c r="AC37" i="40"/>
  <c r="H13" i="40"/>
  <c r="U13" i="40"/>
  <c r="J13" i="40"/>
  <c r="W13" i="40"/>
  <c r="F13" i="40"/>
  <c r="AA13" i="40"/>
  <c r="F14" i="37"/>
  <c r="S14" i="37"/>
  <c r="F27" i="37"/>
  <c r="AA27" i="37"/>
  <c r="H14" i="40"/>
  <c r="AB14" i="40"/>
  <c r="J14" i="40"/>
  <c r="W14" i="40"/>
  <c r="F14" i="40"/>
  <c r="AA14" i="40"/>
  <c r="J14" i="37"/>
  <c r="J27" i="37"/>
  <c r="AC27" i="37"/>
  <c r="AA14" i="33"/>
  <c r="J36" i="37"/>
  <c r="W36" i="37"/>
  <c r="AC36" i="37"/>
  <c r="J10" i="36"/>
  <c r="AC10" i="36"/>
  <c r="AA14" i="37"/>
  <c r="S45" i="33"/>
  <c r="AB45" i="33"/>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80" i="3"/>
  <c r="BL576" i="3"/>
  <c r="BL572" i="3"/>
  <c r="BL568" i="3"/>
  <c r="BL564" i="3"/>
  <c r="BL546" i="3"/>
  <c r="BL542" i="3"/>
  <c r="BL538" i="3"/>
  <c r="BL534" i="3"/>
  <c r="BL530" i="3"/>
  <c r="BL526" i="3"/>
  <c r="BL522" i="3"/>
  <c r="BL516" i="3"/>
  <c r="BL512" i="3"/>
  <c r="BL506" i="3"/>
  <c r="AZ506" i="3"/>
  <c r="BL502" i="3"/>
  <c r="BL498" i="3"/>
  <c r="BL494" i="3"/>
  <c r="BL582" i="3"/>
  <c r="BL578" i="3"/>
  <c r="BL574" i="3"/>
  <c r="BL570" i="3"/>
  <c r="BL566" i="3"/>
  <c r="BL552" i="3"/>
  <c r="AZ552" i="3"/>
  <c r="BL544" i="3"/>
  <c r="BL540" i="3"/>
  <c r="BL536" i="3"/>
  <c r="G533" i="3"/>
  <c r="BL532" i="3"/>
  <c r="G529" i="3"/>
  <c r="BL528" i="3"/>
  <c r="G525" i="3"/>
  <c r="BL524" i="3"/>
  <c r="BL518" i="3"/>
  <c r="BL514" i="3"/>
  <c r="BL510" i="3"/>
  <c r="AZ510" i="3"/>
  <c r="BL504" i="3"/>
  <c r="BL500" i="3"/>
  <c r="BL496" i="3"/>
  <c r="G493" i="3"/>
  <c r="BA584" i="3"/>
  <c r="BA582" i="3"/>
  <c r="BA580" i="3"/>
  <c r="BA578" i="3"/>
  <c r="BA576" i="3"/>
  <c r="AZ576" i="3"/>
  <c r="BA574" i="3"/>
  <c r="AZ574" i="3"/>
  <c r="BA572" i="3"/>
  <c r="AZ572" i="3"/>
  <c r="BA570" i="3"/>
  <c r="AZ570" i="3"/>
  <c r="BA562" i="3"/>
  <c r="BA560" i="3"/>
  <c r="AZ560" i="3"/>
  <c r="BA556" i="3"/>
  <c r="AZ556" i="3"/>
  <c r="BA552" i="3"/>
  <c r="BA548" i="3"/>
  <c r="BA546" i="3"/>
  <c r="BA544" i="3"/>
  <c r="AZ544" i="3"/>
  <c r="BA542" i="3"/>
  <c r="AZ542" i="3"/>
  <c r="BA540" i="3"/>
  <c r="BA538" i="3"/>
  <c r="AZ538" i="3"/>
  <c r="BA536" i="3"/>
  <c r="AZ536" i="3"/>
  <c r="BA534" i="3"/>
  <c r="AZ534" i="3"/>
  <c r="BA532" i="3"/>
  <c r="AZ532" i="3"/>
  <c r="BA530" i="3"/>
  <c r="AZ530" i="3"/>
  <c r="BA528" i="3"/>
  <c r="AZ528" i="3"/>
  <c r="BA526" i="3"/>
  <c r="BA524" i="3"/>
  <c r="AZ524" i="3"/>
  <c r="BA522" i="3"/>
  <c r="BA520" i="3"/>
  <c r="AZ520" i="3"/>
  <c r="BA518" i="3"/>
  <c r="BA516" i="3"/>
  <c r="AZ516" i="3"/>
  <c r="BA514" i="3"/>
  <c r="AZ514" i="3"/>
  <c r="BA512" i="3"/>
  <c r="BA510" i="3"/>
  <c r="BA508" i="3"/>
  <c r="BA506" i="3"/>
  <c r="BA504" i="3"/>
  <c r="AZ504" i="3"/>
  <c r="BA502" i="3"/>
  <c r="BA500" i="3"/>
  <c r="BA498" i="3"/>
  <c r="AZ498" i="3"/>
  <c r="BA496" i="3"/>
  <c r="BA494" i="3"/>
  <c r="BA583" i="3"/>
  <c r="BA581" i="3"/>
  <c r="BA579" i="3"/>
  <c r="BA577" i="3"/>
  <c r="BA575" i="3"/>
  <c r="BA573" i="3"/>
  <c r="BA571" i="3"/>
  <c r="AZ571" i="3"/>
  <c r="BA569" i="3"/>
  <c r="BA563" i="3"/>
  <c r="AZ563" i="3"/>
  <c r="BA561"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c r="BA495" i="3"/>
  <c r="BA493" i="3"/>
  <c r="G583" i="3"/>
  <c r="G581" i="3"/>
  <c r="G579" i="3"/>
  <c r="G577" i="3"/>
  <c r="G575" i="3"/>
  <c r="G573" i="3"/>
  <c r="G571" i="3"/>
  <c r="G569" i="3"/>
  <c r="G567" i="3"/>
  <c r="G565" i="3"/>
  <c r="G561" i="3"/>
  <c r="BL558"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Q565" i="3"/>
  <c r="BQ563" i="3"/>
  <c r="BQ561" i="3"/>
  <c r="BL561" i="3"/>
  <c r="AZ561" i="3"/>
  <c r="BQ559" i="3"/>
  <c r="BL559" i="3"/>
  <c r="G559" i="3"/>
  <c r="G555" i="3"/>
  <c r="G553" i="3"/>
  <c r="G549" i="3"/>
  <c r="G547" i="3"/>
  <c r="G545" i="3"/>
  <c r="G543" i="3"/>
  <c r="G541" i="3"/>
  <c r="G539" i="3"/>
  <c r="G537" i="3"/>
  <c r="BQ555" i="3"/>
  <c r="BQ553" i="3"/>
  <c r="BQ551" i="3"/>
  <c r="BL551" i="3"/>
  <c r="BQ549" i="3"/>
  <c r="BQ547" i="3"/>
  <c r="BL547" i="3"/>
  <c r="AZ547" i="3"/>
  <c r="BQ545" i="3"/>
  <c r="BL545" i="3"/>
  <c r="BQ543" i="3"/>
  <c r="BL543" i="3"/>
  <c r="AZ543" i="3"/>
  <c r="BQ541" i="3"/>
  <c r="BL541" i="3"/>
  <c r="BQ539" i="3"/>
  <c r="BL539" i="3"/>
  <c r="BQ537" i="3"/>
  <c r="BL537" i="3"/>
  <c r="BQ535" i="3"/>
  <c r="BL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G519" i="3"/>
  <c r="G517" i="3"/>
  <c r="G515" i="3"/>
  <c r="G513" i="3"/>
  <c r="G511" i="3"/>
  <c r="BQ519" i="3"/>
  <c r="BL519" i="3"/>
  <c r="AZ519" i="3"/>
  <c r="BQ517" i="3"/>
  <c r="BL517" i="3"/>
  <c r="BQ515" i="3"/>
  <c r="BL515" i="3"/>
  <c r="BQ513" i="3"/>
  <c r="BL513" i="3"/>
  <c r="BQ511" i="3"/>
  <c r="BL511" i="3"/>
  <c r="AZ511" i="3"/>
  <c r="BA509" i="3"/>
  <c r="AC509" i="3"/>
  <c r="AC5"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21" i="40"/>
  <c r="E125" i="33"/>
  <c r="F125" i="33"/>
  <c r="G125" i="33"/>
  <c r="H43" i="33"/>
  <c r="H17" i="37"/>
  <c r="U17" i="37"/>
  <c r="AB27" i="37"/>
  <c r="AA36" i="39"/>
  <c r="F39" i="33"/>
  <c r="AA39" i="33"/>
  <c r="F14" i="36"/>
  <c r="F22" i="36"/>
  <c r="S22" i="36"/>
  <c r="F26" i="36"/>
  <c r="S26" i="36"/>
  <c r="F10" i="35"/>
  <c r="S10" i="35"/>
  <c r="F24" i="35"/>
  <c r="AA24" i="35"/>
  <c r="H24" i="35"/>
  <c r="AB24" i="35"/>
  <c r="H23" i="37"/>
  <c r="AB23" i="37"/>
  <c r="J32" i="37"/>
  <c r="AC32" i="37"/>
  <c r="F36" i="37"/>
  <c r="AA36" i="37"/>
  <c r="F37" i="37"/>
  <c r="AA37" i="37"/>
  <c r="F31" i="40"/>
  <c r="AA31" i="40"/>
  <c r="H31" i="40"/>
  <c r="AB31" i="40"/>
  <c r="F32" i="40"/>
  <c r="S32" i="40"/>
  <c r="H32" i="40"/>
  <c r="AB32" i="40"/>
  <c r="J36" i="40"/>
  <c r="W36" i="40"/>
  <c r="H19" i="37"/>
  <c r="AB19" i="37"/>
  <c r="J43" i="33"/>
  <c r="AC43" i="33"/>
  <c r="W23" i="35"/>
  <c r="U26" i="37"/>
  <c r="AC31" i="33"/>
  <c r="AC45" i="33"/>
  <c r="W44" i="33"/>
  <c r="F43" i="33"/>
  <c r="AA43" i="33"/>
  <c r="W16" i="35"/>
  <c r="G107" i="37"/>
  <c r="H107" i="37"/>
  <c r="I107" i="37"/>
  <c r="J107" i="37"/>
  <c r="K107" i="37"/>
  <c r="L107" i="37"/>
  <c r="M107" i="37"/>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AT6" i="3"/>
  <c r="H19" i="40"/>
  <c r="U19" i="40"/>
  <c r="F88" i="40"/>
  <c r="G88" i="40"/>
  <c r="F19" i="40"/>
  <c r="S19" i="40"/>
  <c r="S14" i="40"/>
  <c r="AC13" i="40"/>
  <c r="W23" i="39"/>
  <c r="AC43" i="39"/>
  <c r="W43" i="39"/>
  <c r="U45" i="39"/>
  <c r="AB45" i="39"/>
  <c r="AB44" i="39"/>
  <c r="U44" i="39"/>
  <c r="H37" i="39"/>
  <c r="U37" i="39"/>
  <c r="AB37" i="39"/>
  <c r="AC37" i="39"/>
  <c r="W37" i="39"/>
  <c r="H25" i="39"/>
  <c r="AB25" i="39"/>
  <c r="J25" i="39"/>
  <c r="F25" i="39"/>
  <c r="AA25" i="39"/>
  <c r="F15" i="39"/>
  <c r="H15" i="39"/>
  <c r="U15" i="39"/>
  <c r="J15" i="39"/>
  <c r="W15" i="39"/>
  <c r="H41" i="39"/>
  <c r="AB41" i="39"/>
  <c r="W27" i="39"/>
  <c r="AB34" i="39"/>
  <c r="U40" i="39"/>
  <c r="S42" i="39"/>
  <c r="W9" i="39"/>
  <c r="W8" i="39"/>
  <c r="J19" i="40"/>
  <c r="AC19" i="40"/>
  <c r="J50" i="40"/>
  <c r="H103" i="9"/>
  <c r="D8" i="53"/>
  <c r="B16" i="53"/>
  <c r="B33" i="72"/>
  <c r="C7" i="37"/>
  <c r="C52" i="37"/>
  <c r="C7" i="36"/>
  <c r="C46" i="36" s="1"/>
  <c r="A118" i="9"/>
  <c r="A4" i="52"/>
  <c r="B41" i="72"/>
  <c r="J11" i="39"/>
  <c r="F11" i="39"/>
  <c r="S11" i="39"/>
  <c r="AA11" i="39"/>
  <c r="G4" i="4"/>
  <c r="I4" i="4"/>
  <c r="A2" i="9"/>
  <c r="F61" i="43"/>
  <c r="H64" i="43"/>
  <c r="BL549" i="3"/>
  <c r="AZ549" i="3"/>
  <c r="AZ494" i="3"/>
  <c r="AZ522" i="3"/>
  <c r="G546"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BA376" i="3"/>
  <c r="AZ376" i="3"/>
  <c r="BL376" i="3"/>
  <c r="G377" i="3"/>
  <c r="BA378" i="3"/>
  <c r="AZ378" i="3"/>
  <c r="BL378" i="3"/>
  <c r="G379" i="3"/>
  <c r="BA380" i="3"/>
  <c r="AZ380" i="3"/>
  <c r="G388" i="3"/>
  <c r="BL389" i="3"/>
  <c r="G390" i="3"/>
  <c r="BL391" i="3"/>
  <c r="BA393" i="3"/>
  <c r="BA394" i="3"/>
  <c r="AZ394" i="3"/>
  <c r="BL394" i="3"/>
  <c r="G113" i="3"/>
  <c r="BA115" i="3"/>
  <c r="AZ115" i="3"/>
  <c r="BL116" i="3"/>
  <c r="G117" i="3"/>
  <c r="BA119" i="3"/>
  <c r="BL120" i="3"/>
  <c r="G121" i="3"/>
  <c r="BA123" i="3"/>
  <c r="BL124" i="3"/>
  <c r="G125" i="3"/>
  <c r="BA127" i="3"/>
  <c r="AZ127" i="3"/>
  <c r="BL128" i="3"/>
  <c r="G129" i="3"/>
  <c r="BA131" i="3"/>
  <c r="BL132" i="3"/>
  <c r="AZ132" i="3"/>
  <c r="G133" i="3"/>
  <c r="BA135" i="3"/>
  <c r="AZ135" i="3"/>
  <c r="BL136" i="3"/>
  <c r="G137" i="3"/>
  <c r="BA139" i="3"/>
  <c r="BL140" i="3"/>
  <c r="G141" i="3"/>
  <c r="BA143" i="3"/>
  <c r="BL144" i="3"/>
  <c r="G145" i="3"/>
  <c r="BA147" i="3"/>
  <c r="BL148" i="3"/>
  <c r="AZ148" i="3"/>
  <c r="G149" i="3"/>
  <c r="BA151" i="3"/>
  <c r="BL152" i="3"/>
  <c r="G153" i="3"/>
  <c r="BA155" i="3"/>
  <c r="AZ155" i="3"/>
  <c r="BL156" i="3"/>
  <c r="G157" i="3"/>
  <c r="BA159" i="3"/>
  <c r="AZ159" i="3"/>
  <c r="BL160" i="3"/>
  <c r="G161" i="3"/>
  <c r="BA163" i="3"/>
  <c r="BL164" i="3"/>
  <c r="AZ164" i="3"/>
  <c r="G165" i="3"/>
  <c r="BA167" i="3"/>
  <c r="BL168" i="3"/>
  <c r="G169" i="3"/>
  <c r="BA171" i="3"/>
  <c r="BL172" i="3"/>
  <c r="G173" i="3"/>
  <c r="BA175" i="3"/>
  <c r="AZ175" i="3"/>
  <c r="BL176" i="3"/>
  <c r="AZ176" i="3"/>
  <c r="G177" i="3"/>
  <c r="BA179" i="3"/>
  <c r="BL180" i="3"/>
  <c r="G181" i="3"/>
  <c r="BA183" i="3"/>
  <c r="AZ183" i="3"/>
  <c r="BL184" i="3"/>
  <c r="G185" i="3"/>
  <c r="BA187" i="3"/>
  <c r="BL188" i="3"/>
  <c r="AZ188" i="3"/>
  <c r="G189" i="3"/>
  <c r="BA191" i="3"/>
  <c r="BL192" i="3"/>
  <c r="G193" i="3"/>
  <c r="BA195" i="3"/>
  <c r="BL196" i="3"/>
  <c r="G197" i="3"/>
  <c r="BA199" i="3"/>
  <c r="BL200" i="3"/>
  <c r="G201" i="3"/>
  <c r="BA203" i="3"/>
  <c r="AZ203" i="3"/>
  <c r="BL204" i="3"/>
  <c r="AZ204" i="3"/>
  <c r="AZ55" i="3"/>
  <c r="AZ144" i="3"/>
  <c r="AZ168" i="3"/>
  <c r="AZ120" i="3"/>
  <c r="G534" i="3"/>
  <c r="G530" i="3"/>
  <c r="G522" i="3"/>
  <c r="G516" i="3"/>
  <c r="G512" i="3"/>
  <c r="G506" i="3"/>
  <c r="G498" i="3"/>
  <c r="G494" i="3"/>
  <c r="G16" i="3"/>
  <c r="G15" i="3"/>
  <c r="BA304" i="3"/>
  <c r="BA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BL342" i="3"/>
  <c r="BA344" i="3"/>
  <c r="BL344" i="3"/>
  <c r="AZ344" i="3"/>
  <c r="BA346" i="3"/>
  <c r="BA347" i="3"/>
  <c r="BL347" i="3"/>
  <c r="AZ347" i="3"/>
  <c r="G350" i="3"/>
  <c r="BA351" i="3"/>
  <c r="BL351" i="3"/>
  <c r="AZ351" i="3"/>
  <c r="G352" i="3"/>
  <c r="G354" i="3"/>
  <c r="BA355" i="3"/>
  <c r="AZ355" i="3"/>
  <c r="BA356" i="3"/>
  <c r="BL356" i="3"/>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c r="BA390" i="3"/>
  <c r="BL390" i="3"/>
  <c r="AZ390" i="3"/>
  <c r="G391" i="3"/>
  <c r="G394" i="3"/>
  <c r="AZ166" i="3"/>
  <c r="AZ186" i="3"/>
  <c r="AZ500" i="3"/>
  <c r="BA16" i="3"/>
  <c r="BL303" i="3"/>
  <c r="G304" i="3"/>
  <c r="BA306" i="3"/>
  <c r="BL307" i="3"/>
  <c r="G308" i="3"/>
  <c r="BA310" i="3"/>
  <c r="BL311" i="3"/>
  <c r="G312" i="3"/>
  <c r="BA314" i="3"/>
  <c r="BL315" i="3"/>
  <c r="AZ315" i="3"/>
  <c r="G316" i="3"/>
  <c r="BA318" i="3"/>
  <c r="BL319" i="3"/>
  <c r="AZ319" i="3"/>
  <c r="G320" i="3"/>
  <c r="BA322" i="3"/>
  <c r="BL323" i="3"/>
  <c r="G324" i="3"/>
  <c r="BA326" i="3"/>
  <c r="AZ326" i="3"/>
  <c r="BL327" i="3"/>
  <c r="AZ327" i="3"/>
  <c r="G328" i="3"/>
  <c r="BA330" i="3"/>
  <c r="BL331" i="3"/>
  <c r="AZ331" i="3"/>
  <c r="G332" i="3"/>
  <c r="BA334" i="3"/>
  <c r="AZ334" i="3"/>
  <c r="BL335" i="3"/>
  <c r="G336" i="3"/>
  <c r="BA338" i="3"/>
  <c r="AZ338" i="3"/>
  <c r="BL339" i="3"/>
  <c r="G340" i="3"/>
  <c r="BL343" i="3"/>
  <c r="G344" i="3"/>
  <c r="G348" i="3"/>
  <c r="G355" i="3"/>
  <c r="AZ218" i="3"/>
  <c r="G342" i="3"/>
  <c r="BL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49" i="3"/>
  <c r="BA379" i="3"/>
  <c r="AZ379" i="3"/>
  <c r="BL380" i="3"/>
  <c r="G381" i="3"/>
  <c r="BA383" i="3"/>
  <c r="AZ383" i="3"/>
  <c r="BL384" i="3"/>
  <c r="G385" i="3"/>
  <c r="BA387" i="3"/>
  <c r="BL388" i="3"/>
  <c r="G389" i="3"/>
  <c r="BA391" i="3"/>
  <c r="BL392" i="3"/>
  <c r="AZ392" i="3"/>
  <c r="G393" i="3"/>
  <c r="AZ275" i="3"/>
  <c r="BO5" i="3"/>
  <c r="BJ5" i="3"/>
  <c r="BH5" i="3"/>
  <c r="BF5" i="3"/>
  <c r="AZ325" i="3"/>
  <c r="AZ341" i="3"/>
  <c r="AZ496" i="3"/>
  <c r="G548" i="3"/>
  <c r="G538" i="3"/>
  <c r="G520" i="3"/>
  <c r="G502" i="3"/>
  <c r="BS5" i="3"/>
  <c r="BP5" i="3"/>
  <c r="BC5" i="3"/>
  <c r="G17" i="3"/>
  <c r="BA17" i="3"/>
  <c r="AZ356" i="3"/>
  <c r="BA15" i="3"/>
  <c r="BB5" i="3"/>
  <c r="BR5" i="3"/>
  <c r="AZ499" i="3"/>
  <c r="AZ509" i="3"/>
  <c r="G509" i="3"/>
  <c r="BL493" i="3"/>
  <c r="AZ493" i="3"/>
  <c r="U36" i="40"/>
  <c r="F83" i="43"/>
  <c r="H85" i="43"/>
  <c r="F50" i="43"/>
  <c r="H54" i="43"/>
  <c r="F72" i="43"/>
  <c r="H75" i="43"/>
  <c r="U17" i="39"/>
  <c r="S14" i="35"/>
  <c r="AZ501" i="3"/>
  <c r="W37" i="37"/>
  <c r="U13" i="37"/>
  <c r="AA12" i="40"/>
  <c r="J37" i="33"/>
  <c r="AC37" i="33"/>
  <c r="F106" i="33"/>
  <c r="G106" i="33"/>
  <c r="H106" i="33"/>
  <c r="I106" i="33"/>
  <c r="J106" i="33"/>
  <c r="K106" i="33"/>
  <c r="L106" i="33"/>
  <c r="M106" i="33"/>
  <c r="J34" i="33"/>
  <c r="H20" i="36"/>
  <c r="U20" i="36"/>
  <c r="J20" i="36"/>
  <c r="J27" i="36"/>
  <c r="W27" i="36"/>
  <c r="AB25" i="37"/>
  <c r="AC33" i="40"/>
  <c r="F111" i="40"/>
  <c r="G111" i="40"/>
  <c r="H111" i="40"/>
  <c r="I111" i="40"/>
  <c r="J111" i="40"/>
  <c r="K111" i="40"/>
  <c r="L111" i="40"/>
  <c r="M111" i="40"/>
  <c r="H35" i="40"/>
  <c r="AB35" i="40"/>
  <c r="AC29" i="35"/>
  <c r="W29" i="35"/>
  <c r="H35" i="37"/>
  <c r="U35" i="37"/>
  <c r="AC14" i="35"/>
  <c r="H20" i="35"/>
  <c r="AB20" i="35"/>
  <c r="U20" i="35"/>
  <c r="F20" i="35"/>
  <c r="AA20" i="35"/>
  <c r="AB23" i="35"/>
  <c r="AB29" i="36"/>
  <c r="U29" i="36"/>
  <c r="H32" i="37"/>
  <c r="AB32" i="37"/>
  <c r="F96" i="37"/>
  <c r="G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AC38" i="39"/>
  <c r="F39" i="39"/>
  <c r="J39" i="39"/>
  <c r="AC39" i="39"/>
  <c r="E96" i="39"/>
  <c r="F96" i="39"/>
  <c r="G96" i="39"/>
  <c r="AZ386" i="3"/>
  <c r="C40" i="11"/>
  <c r="AZ227" i="3"/>
  <c r="AZ235" i="3"/>
  <c r="AZ251" i="3"/>
  <c r="F23" i="39"/>
  <c r="AA23" i="39"/>
  <c r="H27" i="36"/>
  <c r="U27" i="36"/>
  <c r="F27" i="36"/>
  <c r="AA27" i="36"/>
  <c r="F32" i="37"/>
  <c r="AA32" i="37"/>
  <c r="H96" i="37"/>
  <c r="I96" i="37"/>
  <c r="J96" i="37"/>
  <c r="K96" i="37"/>
  <c r="L96" i="37"/>
  <c r="M96" i="37"/>
  <c r="F20" i="36"/>
  <c r="H23" i="39"/>
  <c r="U23" i="39"/>
  <c r="D48" i="9"/>
  <c r="M52" i="9"/>
  <c r="K9" i="1"/>
  <c r="M9" i="1" s="1"/>
  <c r="O9" i="1" s="1"/>
  <c r="P9" i="1" s="1"/>
  <c r="D93" i="9"/>
  <c r="AB33" i="36"/>
  <c r="U33" i="36"/>
  <c r="AC12" i="39"/>
  <c r="W12" i="39"/>
  <c r="AC39" i="40"/>
  <c r="W39" i="40"/>
  <c r="AZ412" i="3"/>
  <c r="AZ433" i="3"/>
  <c r="W12" i="33"/>
  <c r="AC12" i="33"/>
  <c r="AA32" i="36"/>
  <c r="S32" i="36"/>
  <c r="AZ437" i="3"/>
  <c r="BL14" i="3"/>
  <c r="U30" i="33"/>
  <c r="S19" i="39"/>
  <c r="F12" i="33"/>
  <c r="S12" i="33"/>
  <c r="H12" i="39"/>
  <c r="AB12" i="39"/>
  <c r="F39" i="40"/>
  <c r="S39" i="40"/>
  <c r="BA14" i="3"/>
  <c r="AZ14" i="3" s="1"/>
  <c r="AZ367" i="3"/>
  <c r="B12" i="1"/>
  <c r="E12" i="1"/>
  <c r="B10" i="1"/>
  <c r="E10" i="1"/>
  <c r="K12" i="1"/>
  <c r="M12" i="1" s="1"/>
  <c r="S13" i="1"/>
  <c r="AR13" i="1" s="1"/>
  <c r="R13" i="1"/>
  <c r="J51" i="67"/>
  <c r="C42" i="1"/>
  <c r="C24" i="12" s="1"/>
  <c r="AA34" i="33"/>
  <c r="B41" i="1"/>
  <c r="AB37" i="40"/>
  <c r="S35" i="40"/>
  <c r="U35" i="40"/>
  <c r="AC36" i="40"/>
  <c r="W38" i="40"/>
  <c r="AA32" i="40"/>
  <c r="S17" i="40"/>
  <c r="S23" i="40"/>
  <c r="AC15" i="40"/>
  <c r="AB27" i="40"/>
  <c r="S30" i="40"/>
  <c r="AA19" i="40"/>
  <c r="AA27" i="40"/>
  <c r="U21" i="40"/>
  <c r="AB19" i="40"/>
  <c r="S37" i="39"/>
  <c r="U35" i="39"/>
  <c r="F32" i="39"/>
  <c r="F106" i="39"/>
  <c r="G106" i="39"/>
  <c r="H106" i="39"/>
  <c r="I106" i="39"/>
  <c r="J106" i="39"/>
  <c r="K106" i="39"/>
  <c r="L106" i="39"/>
  <c r="M106" i="39"/>
  <c r="U25" i="39"/>
  <c r="AB27" i="39"/>
  <c r="U31" i="39"/>
  <c r="J21" i="39"/>
  <c r="W21" i="39"/>
  <c r="F21" i="39"/>
  <c r="S21" i="39"/>
  <c r="G94" i="39"/>
  <c r="H21" i="39"/>
  <c r="W19" i="39"/>
  <c r="U19" i="39"/>
  <c r="S17" i="39"/>
  <c r="S9" i="39"/>
  <c r="U12" i="39"/>
  <c r="S23" i="36"/>
  <c r="U13" i="36"/>
  <c r="U26" i="36"/>
  <c r="S33" i="36"/>
  <c r="AA26" i="36"/>
  <c r="AC26" i="36"/>
  <c r="AA22" i="36"/>
  <c r="W14" i="36"/>
  <c r="AB14" i="36"/>
  <c r="S16" i="36"/>
  <c r="AA25" i="36"/>
  <c r="U23" i="36"/>
  <c r="AB20" i="36"/>
  <c r="U16" i="36"/>
  <c r="AA25" i="35"/>
  <c r="S23" i="35"/>
  <c r="W24" i="35"/>
  <c r="U29" i="35"/>
  <c r="U28" i="35"/>
  <c r="AB27" i="35"/>
  <c r="U32" i="35"/>
  <c r="AA33" i="35"/>
  <c r="AC30" i="35"/>
  <c r="S32" i="35"/>
  <c r="AA36" i="35"/>
  <c r="S28" i="35"/>
  <c r="AB16" i="35"/>
  <c r="U22" i="35"/>
  <c r="S20" i="35"/>
  <c r="AC20" i="35"/>
  <c r="S22" i="35"/>
  <c r="U14" i="35"/>
  <c r="AC9" i="35"/>
  <c r="AC12" i="35"/>
  <c r="W13" i="35"/>
  <c r="F9" i="35"/>
  <c r="S9" i="35"/>
  <c r="H9" i="35"/>
  <c r="U9" i="35"/>
  <c r="W27" i="37"/>
  <c r="AC29" i="37"/>
  <c r="U29" i="37"/>
  <c r="AB31" i="37"/>
  <c r="W30" i="37"/>
  <c r="S36" i="37"/>
  <c r="AA38" i="37"/>
  <c r="U32" i="37"/>
  <c r="W38" i="37"/>
  <c r="AC35" i="37"/>
  <c r="S30" i="37"/>
  <c r="S37" i="37"/>
  <c r="J17" i="37"/>
  <c r="W17" i="37"/>
  <c r="G73" i="37"/>
  <c r="F17" i="37"/>
  <c r="AA17" i="37"/>
  <c r="F75" i="37"/>
  <c r="G75" i="37"/>
  <c r="F19" i="37"/>
  <c r="S19" i="37"/>
  <c r="F79" i="37"/>
  <c r="F23" i="37"/>
  <c r="S23" i="37"/>
  <c r="U23" i="37"/>
  <c r="U15" i="37"/>
  <c r="AC13" i="37"/>
  <c r="AA13" i="37"/>
  <c r="H10" i="37"/>
  <c r="AB10" i="37"/>
  <c r="F63" i="37"/>
  <c r="G63" i="37"/>
  <c r="H63" i="37"/>
  <c r="I63" i="37"/>
  <c r="J63" i="37"/>
  <c r="K63" i="37"/>
  <c r="L63" i="37"/>
  <c r="M63" i="37"/>
  <c r="F11" i="37"/>
  <c r="S11" i="37"/>
  <c r="AA35" i="33"/>
  <c r="S27" i="33"/>
  <c r="AA29" i="33"/>
  <c r="AB29" i="33"/>
  <c r="W38" i="33"/>
  <c r="H41" i="33"/>
  <c r="F121" i="33"/>
  <c r="G121" i="33"/>
  <c r="H121" i="33"/>
  <c r="I121" i="33"/>
  <c r="J121" i="33"/>
  <c r="K121" i="33"/>
  <c r="L121" i="33"/>
  <c r="M121" i="33"/>
  <c r="G108" i="33"/>
  <c r="H108" i="33"/>
  <c r="I108" i="33"/>
  <c r="J108" i="33"/>
  <c r="K108" i="33"/>
  <c r="L108" i="33"/>
  <c r="M108" i="33"/>
  <c r="J35" i="33"/>
  <c r="AC35" i="33"/>
  <c r="S37" i="33"/>
  <c r="S46" i="33"/>
  <c r="H27" i="33"/>
  <c r="AB27" i="33"/>
  <c r="J23" i="33"/>
  <c r="AC23" i="33"/>
  <c r="H23" i="33"/>
  <c r="F81" i="33"/>
  <c r="F19" i="33"/>
  <c r="S19" i="33"/>
  <c r="W19" i="33"/>
  <c r="F79" i="33"/>
  <c r="G79" i="33"/>
  <c r="U9" i="33"/>
  <c r="J10" i="33"/>
  <c r="W10" i="33"/>
  <c r="H10" i="33"/>
  <c r="U10" i="33"/>
  <c r="AB14" i="33"/>
  <c r="D120" i="9"/>
  <c r="D121" i="9"/>
  <c r="D7" i="52"/>
  <c r="C18" i="9"/>
  <c r="D18" i="9"/>
  <c r="F34" i="67"/>
  <c r="F62" i="67"/>
  <c r="M20" i="67"/>
  <c r="F34" i="15"/>
  <c r="F62" i="15"/>
  <c r="BA13" i="3"/>
  <c r="BL17" i="3"/>
  <c r="AZ17" i="3"/>
  <c r="BL13" i="3"/>
  <c r="J56" i="9"/>
  <c r="J57" i="9"/>
  <c r="J59" i="9"/>
  <c r="J61" i="9"/>
  <c r="A24" i="51"/>
  <c r="B18" i="72"/>
  <c r="E32" i="6"/>
  <c r="K1" i="12"/>
  <c r="E19" i="69"/>
  <c r="E19" i="68"/>
  <c r="E19" i="11"/>
  <c r="E1" i="73"/>
  <c r="G22" i="69"/>
  <c r="G22" i="68"/>
  <c r="G26" i="12"/>
  <c r="G22" i="11"/>
  <c r="C6" i="43"/>
  <c r="B19" i="53"/>
  <c r="B37" i="72"/>
  <c r="C7" i="39"/>
  <c r="C67" i="39" s="1"/>
  <c r="C7" i="35"/>
  <c r="C48" i="35"/>
  <c r="D48" i="35" s="1"/>
  <c r="E48" i="35" s="1"/>
  <c r="F48" i="35" s="1"/>
  <c r="C7" i="33"/>
  <c r="C7" i="40"/>
  <c r="C63" i="40"/>
  <c r="C65" i="40" s="1"/>
  <c r="M47" i="9"/>
  <c r="G23" i="43"/>
  <c r="O23" i="43" s="1"/>
  <c r="C23" i="43"/>
  <c r="A4" i="51"/>
  <c r="B6" i="72"/>
  <c r="L20" i="6"/>
  <c r="B6" i="1"/>
  <c r="E6" i="1"/>
  <c r="K11" i="1"/>
  <c r="M11" i="1" s="1"/>
  <c r="B9" i="1"/>
  <c r="E9" i="1"/>
  <c r="K7" i="1"/>
  <c r="M7" i="1" s="1"/>
  <c r="O7" i="1" s="1"/>
  <c r="P7" i="1" s="1"/>
  <c r="G1" i="15"/>
  <c r="W23" i="40"/>
  <c r="U32" i="40"/>
  <c r="S37" i="40"/>
  <c r="AB28" i="40"/>
  <c r="W28" i="40"/>
  <c r="W34" i="40"/>
  <c r="W19" i="40"/>
  <c r="S36" i="40"/>
  <c r="W37" i="40"/>
  <c r="AC14" i="40"/>
  <c r="S13" i="40"/>
  <c r="S3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U25" i="35"/>
  <c r="S24" i="35"/>
  <c r="U24" i="35"/>
  <c r="S35" i="35"/>
  <c r="W35" i="35"/>
  <c r="AA16" i="35"/>
  <c r="AA35" i="37"/>
  <c r="S27"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U15" i="33"/>
  <c r="S11" i="33"/>
  <c r="U37" i="33"/>
  <c r="AC28" i="33"/>
  <c r="W9" i="33"/>
  <c r="W30" i="40"/>
  <c r="C19" i="39"/>
  <c r="C15" i="40"/>
  <c r="C17" i="40"/>
  <c r="C23" i="40"/>
  <c r="C21" i="40"/>
  <c r="U30" i="40"/>
  <c r="B56" i="43"/>
  <c r="B67" i="43"/>
  <c r="B51" i="43"/>
  <c r="B54" i="43"/>
  <c r="B58" i="43"/>
  <c r="B62" i="43"/>
  <c r="B65" i="43"/>
  <c r="B69" i="43"/>
  <c r="D23" i="15"/>
  <c r="D22" i="15"/>
  <c r="E4" i="4"/>
  <c r="B5" i="62"/>
  <c r="B73" i="72"/>
  <c r="C4" i="4"/>
  <c r="F30" i="11"/>
  <c r="C48" i="11"/>
  <c r="F28" i="67"/>
  <c r="F31" i="12"/>
  <c r="M18" i="67"/>
  <c r="F32" i="67"/>
  <c r="F60" i="67"/>
  <c r="F30" i="69"/>
  <c r="F48" i="69"/>
  <c r="M18" i="15"/>
  <c r="F28" i="15"/>
  <c r="AA39" i="40"/>
  <c r="AA12" i="33"/>
  <c r="D68" i="9"/>
  <c r="J32" i="39"/>
  <c r="H32" i="39"/>
  <c r="AB32" i="39"/>
  <c r="AA32" i="39"/>
  <c r="S32" i="39"/>
  <c r="AB21" i="39"/>
  <c r="U21" i="39"/>
  <c r="AA21" i="39"/>
  <c r="AC17" i="37"/>
  <c r="S17" i="37"/>
  <c r="J19" i="37"/>
  <c r="W19" i="37"/>
  <c r="AA19" i="37"/>
  <c r="AA23" i="37"/>
  <c r="J23" i="37"/>
  <c r="AC23" i="37"/>
  <c r="G79" i="37"/>
  <c r="J10" i="37"/>
  <c r="W10" i="37"/>
  <c r="H11" i="37"/>
  <c r="AB11" i="37"/>
  <c r="AB41" i="33"/>
  <c r="U41" i="33"/>
  <c r="W35" i="33"/>
  <c r="U27" i="33"/>
  <c r="G91" i="33"/>
  <c r="H91" i="33"/>
  <c r="I91" i="33"/>
  <c r="J91" i="33"/>
  <c r="K91" i="33"/>
  <c r="L91" i="33"/>
  <c r="M91" i="33"/>
  <c r="J27" i="33"/>
  <c r="AC27" i="33"/>
  <c r="AB23" i="33"/>
  <c r="U23" i="33"/>
  <c r="F23" i="33"/>
  <c r="H19" i="33"/>
  <c r="U19" i="33"/>
  <c r="G81" i="33"/>
  <c r="AP7" i="1"/>
  <c r="A18" i="62"/>
  <c r="B64" i="72"/>
  <c r="AC32" i="39"/>
  <c r="W32" i="39"/>
  <c r="W23" i="37"/>
  <c r="J11" i="37"/>
  <c r="AC11" i="37"/>
  <c r="W2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H32" i="33"/>
  <c r="AB32" i="33"/>
  <c r="J32" i="33"/>
  <c r="AC32" i="33"/>
  <c r="S32" i="33"/>
  <c r="H39" i="33"/>
  <c r="AB39" i="33"/>
  <c r="J39" i="33"/>
  <c r="AC39" i="33"/>
  <c r="W43" i="33"/>
  <c r="S43" i="33"/>
  <c r="F25" i="33"/>
  <c r="S25" i="33"/>
  <c r="J25" i="33"/>
  <c r="W25" i="33"/>
  <c r="H25" i="33"/>
  <c r="U25" i="33"/>
  <c r="F17" i="33"/>
  <c r="S17" i="33"/>
  <c r="J17" i="33"/>
  <c r="AC17" i="33"/>
  <c r="W33" i="33"/>
  <c r="U33" i="33"/>
  <c r="S33" i="33"/>
  <c r="S28" i="33"/>
  <c r="AA25" i="33"/>
  <c r="U11" i="33"/>
  <c r="S15" i="33"/>
  <c r="G1" i="68"/>
  <c r="K6" i="1"/>
  <c r="AP6" i="1"/>
  <c r="G1" i="67"/>
  <c r="BL15" i="3"/>
  <c r="AZ15" i="3"/>
  <c r="F29" i="6"/>
  <c r="U13" i="39"/>
  <c r="AB13" i="39"/>
  <c r="U26" i="33"/>
  <c r="AB26" i="33"/>
  <c r="AB19" i="33"/>
  <c r="W20" i="36"/>
  <c r="AC20" i="36"/>
  <c r="AA11" i="36"/>
  <c r="S11" i="36"/>
  <c r="BA586" i="3"/>
  <c r="BA585" i="3"/>
  <c r="AB35" i="33"/>
  <c r="U35" i="33"/>
  <c r="BT5" i="3"/>
  <c r="G28" i="6"/>
  <c r="BL555" i="3"/>
  <c r="AB28" i="33"/>
  <c r="AA11" i="35"/>
  <c r="U14" i="39"/>
  <c r="AA20" i="36"/>
  <c r="S20" i="36"/>
  <c r="AZ322" i="3"/>
  <c r="AZ342" i="3"/>
  <c r="AZ337" i="3"/>
  <c r="AZ360" i="3"/>
  <c r="H5" i="3"/>
  <c r="AA44" i="33"/>
  <c r="AB46" i="33"/>
  <c r="U46" i="33"/>
  <c r="J36" i="35"/>
  <c r="AC36" i="35"/>
  <c r="H36" i="35"/>
  <c r="AB22" i="36"/>
  <c r="U22" i="36"/>
  <c r="H34" i="36"/>
  <c r="J34" i="36"/>
  <c r="W34" i="36"/>
  <c r="F34" i="36"/>
  <c r="BL567" i="3"/>
  <c r="BA567" i="3"/>
  <c r="BA566" i="3"/>
  <c r="AZ566" i="3"/>
  <c r="S39" i="39"/>
  <c r="AA39" i="39"/>
  <c r="AA28" i="40"/>
  <c r="S28" i="40"/>
  <c r="AA38" i="33"/>
  <c r="S38" i="33"/>
  <c r="BN5" i="3"/>
  <c r="G29" i="6"/>
  <c r="AZ554" i="3"/>
  <c r="U14" i="40"/>
  <c r="AZ505" i="3"/>
  <c r="AZ515" i="3"/>
  <c r="AZ569" i="3"/>
  <c r="AZ579" i="3"/>
  <c r="AC40" i="37"/>
  <c r="W40" i="37"/>
  <c r="W34" i="33"/>
  <c r="AC34" i="33"/>
  <c r="AA14" i="36"/>
  <c r="S14" i="36"/>
  <c r="U13" i="35"/>
  <c r="AB13" i="35"/>
  <c r="J26" i="33"/>
  <c r="F26" i="33"/>
  <c r="F13" i="39"/>
  <c r="J13" i="39"/>
  <c r="AZ557" i="3"/>
  <c r="AA19" i="33"/>
  <c r="AA17" i="33"/>
  <c r="W30" i="33"/>
  <c r="W29" i="36"/>
  <c r="U8" i="40"/>
  <c r="W27" i="40"/>
  <c r="S32" i="37"/>
  <c r="S43" i="39"/>
  <c r="AC17" i="40"/>
  <c r="AZ311" i="3"/>
  <c r="AZ372" i="3"/>
  <c r="AZ305" i="3"/>
  <c r="U32" i="39"/>
  <c r="D6" i="52"/>
  <c r="AA13" i="36"/>
  <c r="U32" i="36"/>
  <c r="W34" i="39"/>
  <c r="AC31" i="39"/>
  <c r="AC11" i="33"/>
  <c r="S39" i="33"/>
  <c r="AB17" i="37"/>
  <c r="AA12" i="39"/>
  <c r="F48" i="9"/>
  <c r="O52" i="9"/>
  <c r="F30" i="68"/>
  <c r="F48" i="68"/>
  <c r="F52" i="9"/>
  <c r="F32" i="15"/>
  <c r="F60" i="15"/>
  <c r="F54" i="9"/>
  <c r="W37" i="33"/>
  <c r="S15" i="37"/>
  <c r="AZ387" i="3"/>
  <c r="AZ345" i="3"/>
  <c r="AZ310" i="3"/>
  <c r="AZ371" i="3"/>
  <c r="AZ309" i="3"/>
  <c r="W11" i="39"/>
  <c r="AC11" i="39"/>
  <c r="AA41" i="39"/>
  <c r="AA15" i="39"/>
  <c r="S15" i="39"/>
  <c r="W15" i="37"/>
  <c r="AC15" i="37"/>
  <c r="AC12" i="37"/>
  <c r="U31" i="40"/>
  <c r="AZ541" i="3"/>
  <c r="AZ512" i="3"/>
  <c r="AZ584" i="3"/>
  <c r="AC35" i="40"/>
  <c r="W25" i="35"/>
  <c r="AC25" i="35"/>
  <c r="U40" i="37"/>
  <c r="AB40" i="37"/>
  <c r="S13" i="33"/>
  <c r="AA13" i="33"/>
  <c r="J24" i="36"/>
  <c r="H24" i="36"/>
  <c r="J39" i="37"/>
  <c r="H39" i="37"/>
  <c r="AB9" i="40"/>
  <c r="U9" i="40"/>
  <c r="U39" i="40"/>
  <c r="AB39" i="40"/>
  <c r="AZ413" i="3"/>
  <c r="AZ539" i="3"/>
  <c r="BL553" i="3"/>
  <c r="AZ553" i="3"/>
  <c r="BL565" i="3"/>
  <c r="AZ565" i="3"/>
  <c r="AZ529" i="3"/>
  <c r="AZ537" i="3"/>
  <c r="AZ518" i="3"/>
  <c r="AZ526" i="3"/>
  <c r="AZ546" i="3"/>
  <c r="AZ580" i="3"/>
  <c r="BL554" i="3"/>
  <c r="AC11" i="40"/>
  <c r="W11" i="40"/>
  <c r="B97" i="43"/>
  <c r="B75" i="43"/>
  <c r="AC28" i="36"/>
  <c r="W28" i="36"/>
  <c r="F44" i="39"/>
  <c r="AZ406" i="3"/>
  <c r="AZ487" i="3"/>
  <c r="BE5" i="3"/>
  <c r="AZ391" i="3"/>
  <c r="AZ318" i="3"/>
  <c r="AZ364" i="3"/>
  <c r="AZ329" i="3"/>
  <c r="AZ304" i="3"/>
  <c r="AZ306" i="3"/>
  <c r="AZ535" i="3"/>
  <c r="AZ577" i="3"/>
  <c r="AZ513" i="3"/>
  <c r="AZ575" i="3"/>
  <c r="AZ582" i="3"/>
  <c r="AZ540" i="3"/>
  <c r="AZ502" i="3"/>
  <c r="H33" i="40"/>
  <c r="F24" i="36"/>
  <c r="S38" i="40"/>
  <c r="F39" i="37"/>
  <c r="S39" i="37"/>
  <c r="H12" i="36"/>
  <c r="J12" i="36"/>
  <c r="F12" i="36"/>
  <c r="BL550" i="3"/>
  <c r="BL585" i="3"/>
  <c r="AZ400" i="3"/>
  <c r="AZ402" i="3"/>
  <c r="BA408" i="3"/>
  <c r="BA409" i="3"/>
  <c r="AZ409" i="3"/>
  <c r="BA411" i="3"/>
  <c r="BL414" i="3"/>
  <c r="BL415" i="3"/>
  <c r="BA417" i="3"/>
  <c r="BL421" i="3"/>
  <c r="AZ421" i="3"/>
  <c r="BL422" i="3"/>
  <c r="BL425" i="3"/>
  <c r="BL426" i="3"/>
  <c r="BA428" i="3"/>
  <c r="BA429" i="3"/>
  <c r="BA430" i="3"/>
  <c r="AZ430" i="3"/>
  <c r="BA432" i="3"/>
  <c r="BA434" i="3"/>
  <c r="BA436" i="3"/>
  <c r="BA438" i="3"/>
  <c r="G442" i="3"/>
  <c r="BA446" i="3"/>
  <c r="BA450" i="3"/>
  <c r="BA453" i="3"/>
  <c r="BA455" i="3"/>
  <c r="AZ455" i="3"/>
  <c r="BL457" i="3"/>
  <c r="AZ457" i="3"/>
  <c r="BL460" i="3"/>
  <c r="BL461" i="3"/>
  <c r="AZ461" i="3"/>
  <c r="BL463" i="3"/>
  <c r="G465" i="3"/>
  <c r="BA471" i="3"/>
  <c r="G486" i="3"/>
  <c r="G488" i="3"/>
  <c r="BL317" i="3"/>
  <c r="G318" i="3"/>
  <c r="BA231" i="3"/>
  <c r="BA398" i="3"/>
  <c r="AZ398" i="3"/>
  <c r="BA399" i="3"/>
  <c r="AZ399" i="3"/>
  <c r="BL401" i="3"/>
  <c r="BL404" i="3"/>
  <c r="AZ414" i="3"/>
  <c r="AZ415" i="3"/>
  <c r="AZ425" i="3"/>
  <c r="AZ451" i="3"/>
  <c r="AZ459" i="3"/>
  <c r="AZ460" i="3"/>
  <c r="AZ469" i="3"/>
  <c r="AZ483" i="3"/>
  <c r="G585" i="3"/>
  <c r="BL587" i="3"/>
  <c r="AZ587" i="3"/>
  <c r="BL586" i="3"/>
  <c r="G574" i="3"/>
  <c r="BL16" i="3"/>
  <c r="AZ16" i="3"/>
  <c r="BA401" i="3"/>
  <c r="AZ401" i="3"/>
  <c r="BA403" i="3"/>
  <c r="AZ403" i="3"/>
  <c r="BA404" i="3"/>
  <c r="BA405" i="3"/>
  <c r="AZ405" i="3"/>
  <c r="G409" i="3"/>
  <c r="BL410" i="3"/>
  <c r="G419" i="3"/>
  <c r="BA422" i="3"/>
  <c r="AZ422" i="3"/>
  <c r="G430" i="3"/>
  <c r="BL431" i="3"/>
  <c r="BL434" i="3"/>
  <c r="G437" i="3"/>
  <c r="BL438" i="3"/>
  <c r="BL439" i="3"/>
  <c r="BA441" i="3"/>
  <c r="AZ441" i="3"/>
  <c r="BL445" i="3"/>
  <c r="BL446" i="3"/>
  <c r="BL449" i="3"/>
  <c r="BL450" i="3"/>
  <c r="BL452" i="3"/>
  <c r="G455" i="3"/>
  <c r="BL456" i="3"/>
  <c r="BA464" i="3"/>
  <c r="AZ464" i="3"/>
  <c r="BL467" i="3"/>
  <c r="BL468" i="3"/>
  <c r="BL470" i="3"/>
  <c r="BL473" i="3"/>
  <c r="AZ473" i="3"/>
  <c r="BL474" i="3"/>
  <c r="BA482" i="3"/>
  <c r="BA484" i="3"/>
  <c r="AZ484" i="3"/>
  <c r="BA303" i="3"/>
  <c r="AZ303" i="3"/>
  <c r="BA307" i="3"/>
  <c r="AZ307" i="3"/>
  <c r="BL314" i="3"/>
  <c r="AZ314" i="3"/>
  <c r="BA332" i="3"/>
  <c r="AZ332" i="3"/>
  <c r="BL332" i="3"/>
  <c r="BA354" i="3"/>
  <c r="AZ217" i="3"/>
  <c r="F25" i="37"/>
  <c r="BA551" i="3"/>
  <c r="AZ551" i="3"/>
  <c r="BA550" i="3"/>
  <c r="AZ550" i="3"/>
  <c r="BL548" i="3"/>
  <c r="AZ548" i="3"/>
  <c r="G398" i="3"/>
  <c r="G399" i="3"/>
  <c r="BL400" i="3"/>
  <c r="BL408" i="3"/>
  <c r="BL411" i="3"/>
  <c r="BL413" i="3"/>
  <c r="G415" i="3"/>
  <c r="G416" i="3"/>
  <c r="BL417" i="3"/>
  <c r="BL418" i="3"/>
  <c r="AZ418" i="3"/>
  <c r="BL420" i="3"/>
  <c r="G422" i="3"/>
  <c r="G423" i="3"/>
  <c r="BL424" i="3"/>
  <c r="G426" i="3"/>
  <c r="G427" i="3"/>
  <c r="BL428" i="3"/>
  <c r="BL429" i="3"/>
  <c r="BL432" i="3"/>
  <c r="BL435" i="3"/>
  <c r="AZ435" i="3"/>
  <c r="BL436" i="3"/>
  <c r="BA439" i="3"/>
  <c r="BA440" i="3"/>
  <c r="AZ440" i="3"/>
  <c r="BA442" i="3"/>
  <c r="BA445" i="3"/>
  <c r="BA447" i="3"/>
  <c r="AZ447" i="3"/>
  <c r="BA449" i="3"/>
  <c r="BL453" i="3"/>
  <c r="BL454" i="3"/>
  <c r="AZ454" i="3"/>
  <c r="G458" i="3"/>
  <c r="BL459" i="3"/>
  <c r="G461" i="3"/>
  <c r="G462" i="3"/>
  <c r="BA465" i="3"/>
  <c r="AZ465" i="3"/>
  <c r="BA467" i="3"/>
  <c r="BA468" i="3"/>
  <c r="BL471" i="3"/>
  <c r="BL475" i="3"/>
  <c r="BA477" i="3"/>
  <c r="BA478" i="3"/>
  <c r="BA481" i="3"/>
  <c r="G484" i="3"/>
  <c r="BA488" i="3"/>
  <c r="AZ488" i="3"/>
  <c r="BA491" i="3"/>
  <c r="AZ491" i="3"/>
  <c r="BL324" i="3"/>
  <c r="AZ324" i="3"/>
  <c r="BL328" i="3"/>
  <c r="AZ328" i="3"/>
  <c r="G329" i="3"/>
  <c r="BA335" i="3"/>
  <c r="AZ335" i="3"/>
  <c r="BA339" i="3"/>
  <c r="AZ339" i="3"/>
  <c r="G343" i="3"/>
  <c r="G347" i="3"/>
  <c r="BA348" i="3"/>
  <c r="BA350" i="3"/>
  <c r="AZ350" i="3"/>
  <c r="BA233" i="3"/>
  <c r="AZ233" i="3"/>
  <c r="BL254" i="3"/>
  <c r="AZ65" i="3"/>
  <c r="D31" i="71"/>
  <c r="C32" i="71"/>
  <c r="C52" i="71"/>
  <c r="D51" i="71"/>
  <c r="N67" i="71"/>
  <c r="B66" i="71"/>
  <c r="V24" i="71"/>
  <c r="E23" i="71"/>
  <c r="E22" i="71"/>
  <c r="E21" i="71"/>
  <c r="E20" i="71"/>
  <c r="BA366" i="3"/>
  <c r="AZ366" i="3"/>
  <c r="BL375" i="3"/>
  <c r="AZ375" i="3"/>
  <c r="BL385" i="3"/>
  <c r="BA397" i="3"/>
  <c r="BL397" i="3"/>
  <c r="BA210" i="3"/>
  <c r="AZ210" i="3"/>
  <c r="BL210" i="3"/>
  <c r="BL212" i="3"/>
  <c r="BL214" i="3"/>
  <c r="AZ214" i="3"/>
  <c r="G216" i="3"/>
  <c r="BL225" i="3"/>
  <c r="BL226" i="3"/>
  <c r="G227" i="3"/>
  <c r="BA239" i="3"/>
  <c r="AZ239" i="3"/>
  <c r="BL239" i="3"/>
  <c r="BA241" i="3"/>
  <c r="BL241" i="3"/>
  <c r="BA244" i="3"/>
  <c r="AZ244" i="3"/>
  <c r="BL244" i="3"/>
  <c r="BA246" i="3"/>
  <c r="BA252" i="3"/>
  <c r="AZ252" i="3"/>
  <c r="BA254" i="3"/>
  <c r="AZ254" i="3"/>
  <c r="BA256" i="3"/>
  <c r="BL256" i="3"/>
  <c r="BA258" i="3"/>
  <c r="BL264" i="3"/>
  <c r="BL266" i="3"/>
  <c r="BA268" i="3"/>
  <c r="BL273" i="3"/>
  <c r="G274" i="3"/>
  <c r="BA277" i="3"/>
  <c r="BL277" i="3"/>
  <c r="BA282" i="3"/>
  <c r="BL282" i="3"/>
  <c r="BA284" i="3"/>
  <c r="BL290" i="3"/>
  <c r="BL291" i="3"/>
  <c r="AZ291" i="3"/>
  <c r="BL293" i="3"/>
  <c r="BL294" i="3"/>
  <c r="BA297" i="3"/>
  <c r="BL297" i="3"/>
  <c r="BL300" i="3"/>
  <c r="BA302" i="3"/>
  <c r="G115" i="3"/>
  <c r="BA117" i="3"/>
  <c r="BA130" i="3"/>
  <c r="AZ130" i="3"/>
  <c r="BL130" i="3"/>
  <c r="BA192" i="3"/>
  <c r="AZ192" i="3"/>
  <c r="BL195" i="3"/>
  <c r="AZ195" i="3"/>
  <c r="BA197" i="3"/>
  <c r="AZ197" i="3"/>
  <c r="BA201" i="3"/>
  <c r="AZ201" i="3"/>
  <c r="BA202" i="3"/>
  <c r="BA207" i="3"/>
  <c r="BA18" i="3"/>
  <c r="BL21" i="3"/>
  <c r="BA30" i="3"/>
  <c r="BA40" i="3"/>
  <c r="BL52" i="3"/>
  <c r="BA349" i="3"/>
  <c r="AZ349" i="3"/>
  <c r="BA353" i="3"/>
  <c r="AZ353" i="3"/>
  <c r="BL353" i="3"/>
  <c r="BA358" i="3"/>
  <c r="AZ358" i="3"/>
  <c r="BL365" i="3"/>
  <c r="AZ365" i="3"/>
  <c r="BA368" i="3"/>
  <c r="AZ368" i="3"/>
  <c r="BL368" i="3"/>
  <c r="BA374" i="3"/>
  <c r="AZ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AZ271" i="3"/>
  <c r="BL271" i="3"/>
  <c r="BA274" i="3"/>
  <c r="BL274" i="3"/>
  <c r="BA276" i="3"/>
  <c r="BA279" i="3"/>
  <c r="BA281" i="3"/>
  <c r="BL286" i="3"/>
  <c r="AZ286" i="3"/>
  <c r="BA296" i="3"/>
  <c r="BA116" i="3"/>
  <c r="AZ116" i="3"/>
  <c r="BA121" i="3"/>
  <c r="BL121" i="3"/>
  <c r="BA124" i="3"/>
  <c r="AZ124" i="3"/>
  <c r="BA126" i="3"/>
  <c r="AZ126" i="3"/>
  <c r="BA129" i="3"/>
  <c r="BL133" i="3"/>
  <c r="AZ133" i="3"/>
  <c r="BL139" i="3"/>
  <c r="AZ139" i="3"/>
  <c r="BL141" i="3"/>
  <c r="BL143" i="3"/>
  <c r="AZ143" i="3"/>
  <c r="BL154" i="3"/>
  <c r="BA157" i="3"/>
  <c r="AZ157" i="3"/>
  <c r="BL163" i="3"/>
  <c r="AZ163" i="3"/>
  <c r="BL171" i="3"/>
  <c r="AZ171" i="3"/>
  <c r="BL177" i="3"/>
  <c r="AZ177" i="3"/>
  <c r="BL198" i="3"/>
  <c r="BL199" i="3"/>
  <c r="AZ199" i="3"/>
  <c r="BA200" i="3"/>
  <c r="AZ200"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G257" i="3"/>
  <c r="BL257" i="3"/>
  <c r="AZ257" i="3"/>
  <c r="BL258" i="3"/>
  <c r="G259" i="3"/>
  <c r="BA262" i="3"/>
  <c r="AZ262" i="3"/>
  <c r="G265" i="3"/>
  <c r="BL265" i="3"/>
  <c r="AZ265" i="3"/>
  <c r="G267" i="3"/>
  <c r="G269" i="3"/>
  <c r="BA273" i="3"/>
  <c r="AZ273" i="3"/>
  <c r="BA278" i="3"/>
  <c r="AZ278" i="3"/>
  <c r="BA280" i="3"/>
  <c r="AZ280" i="3"/>
  <c r="G283" i="3"/>
  <c r="BL283" i="3"/>
  <c r="AZ283" i="3"/>
  <c r="BL284" i="3"/>
  <c r="G285" i="3"/>
  <c r="G288" i="3"/>
  <c r="BL292" i="3"/>
  <c r="BA294" i="3"/>
  <c r="AZ294" i="3"/>
  <c r="BL295" i="3"/>
  <c r="BA298" i="3"/>
  <c r="AZ298" i="3"/>
  <c r="BL301" i="3"/>
  <c r="AZ301" i="3"/>
  <c r="BL302" i="3"/>
  <c r="BA114" i="3"/>
  <c r="BL123" i="3"/>
  <c r="AZ123" i="3"/>
  <c r="BA128" i="3"/>
  <c r="AZ128" i="3"/>
  <c r="BL134" i="3"/>
  <c r="BL137" i="3"/>
  <c r="BA145" i="3"/>
  <c r="BA156" i="3"/>
  <c r="AZ156" i="3"/>
  <c r="BA169" i="3"/>
  <c r="AZ169" i="3"/>
  <c r="BL181" i="3"/>
  <c r="BA184" i="3"/>
  <c r="AZ184" i="3"/>
  <c r="BL187" i="3"/>
  <c r="AZ187" i="3"/>
  <c r="BA189" i="3"/>
  <c r="AZ189" i="3"/>
  <c r="BA190" i="3"/>
  <c r="AZ190" i="3"/>
  <c r="AZ27" i="3"/>
  <c r="G51" i="3"/>
  <c r="BL64" i="3"/>
  <c r="AZ64" i="3"/>
  <c r="BA72" i="3"/>
  <c r="AZ72" i="3"/>
  <c r="BA137" i="3"/>
  <c r="BL138" i="3"/>
  <c r="BA140" i="3"/>
  <c r="AZ140" i="3"/>
  <c r="BA142" i="3"/>
  <c r="BL149" i="3"/>
  <c r="AZ149" i="3"/>
  <c r="BL150" i="3"/>
  <c r="G151" i="3"/>
  <c r="BA152" i="3"/>
  <c r="AZ152" i="3"/>
  <c r="BA154" i="3"/>
  <c r="AZ154" i="3"/>
  <c r="BA160" i="3"/>
  <c r="AZ160" i="3"/>
  <c r="G162" i="3"/>
  <c r="BL162" i="3"/>
  <c r="AZ162" i="3"/>
  <c r="BL165" i="3"/>
  <c r="G166" i="3"/>
  <c r="BL170" i="3"/>
  <c r="G171" i="3"/>
  <c r="BA173" i="3"/>
  <c r="AZ173" i="3"/>
  <c r="BA174" i="3"/>
  <c r="BL179" i="3"/>
  <c r="AZ179" i="3"/>
  <c r="G180" i="3"/>
  <c r="BA181" i="3"/>
  <c r="BA182" i="3"/>
  <c r="BL185" i="3"/>
  <c r="G186" i="3"/>
  <c r="G187" i="3"/>
  <c r="BL193" i="3"/>
  <c r="G194" i="3"/>
  <c r="BL194" i="3"/>
  <c r="AZ194" i="3"/>
  <c r="BA198" i="3"/>
  <c r="AZ198" i="3"/>
  <c r="G199" i="3"/>
  <c r="G204" i="3"/>
  <c r="G205" i="3"/>
  <c r="BL206" i="3"/>
  <c r="BA19" i="3"/>
  <c r="AZ19" i="3"/>
  <c r="G22" i="3"/>
  <c r="G24" i="3"/>
  <c r="G25" i="3"/>
  <c r="G27" i="3"/>
  <c r="BA27" i="3"/>
  <c r="G30" i="3"/>
  <c r="BL30" i="3"/>
  <c r="BL31" i="3"/>
  <c r="AZ31" i="3"/>
  <c r="G35" i="3"/>
  <c r="G36" i="3"/>
  <c r="G37" i="3"/>
  <c r="G40" i="3"/>
  <c r="BL40" i="3"/>
  <c r="BL41" i="3"/>
  <c r="AZ41" i="3"/>
  <c r="G45" i="3"/>
  <c r="BL45" i="3"/>
  <c r="BA48" i="3"/>
  <c r="BA49" i="3"/>
  <c r="BA51" i="3"/>
  <c r="G55" i="3"/>
  <c r="BL56" i="3"/>
  <c r="BA58" i="3"/>
  <c r="AZ58" i="3"/>
  <c r="BL59" i="3"/>
  <c r="AZ59" i="3"/>
  <c r="BL60" i="3"/>
  <c r="BA61" i="3"/>
  <c r="AZ61" i="3"/>
  <c r="G73" i="3"/>
  <c r="BL73" i="3"/>
  <c r="BA74" i="3"/>
  <c r="AZ74" i="3"/>
  <c r="BA75" i="3"/>
  <c r="BA79" i="3"/>
  <c r="AZ79" i="3"/>
  <c r="B13" i="1"/>
  <c r="E13" i="1"/>
  <c r="K13" i="1"/>
  <c r="M13" i="1" s="1"/>
  <c r="P65" i="71"/>
  <c r="P66" i="71"/>
  <c r="B27" i="71"/>
  <c r="B26" i="71"/>
  <c r="S28" i="71"/>
  <c r="C64" i="71"/>
  <c r="D63" i="71"/>
  <c r="G29" i="3"/>
  <c r="BL29" i="3"/>
  <c r="BA37" i="3"/>
  <c r="G39" i="3"/>
  <c r="BL39" i="3"/>
  <c r="BA45" i="3"/>
  <c r="AZ45" i="3"/>
  <c r="BA46" i="3"/>
  <c r="BL49" i="3"/>
  <c r="BL50" i="3"/>
  <c r="AZ50" i="3"/>
  <c r="BL51" i="3"/>
  <c r="G53" i="3"/>
  <c r="BL53" i="3"/>
  <c r="BA56" i="3"/>
  <c r="BA57" i="3"/>
  <c r="BL58" i="3"/>
  <c r="BA60" i="3"/>
  <c r="BA63" i="3"/>
  <c r="BA66" i="3"/>
  <c r="G71" i="3"/>
  <c r="BA73" i="3"/>
  <c r="BL77" i="3"/>
  <c r="AZ77" i="3"/>
  <c r="BA88" i="3"/>
  <c r="AZ88" i="3"/>
  <c r="BA89" i="3"/>
  <c r="G143" i="3"/>
  <c r="BA146" i="3"/>
  <c r="AZ146" i="3"/>
  <c r="BA150" i="3"/>
  <c r="AZ150" i="3"/>
  <c r="G159" i="3"/>
  <c r="BL167" i="3"/>
  <c r="AZ167" i="3"/>
  <c r="G175" i="3"/>
  <c r="G176" i="3"/>
  <c r="BL178" i="3"/>
  <c r="AZ178" i="3"/>
  <c r="BA180" i="3"/>
  <c r="AZ180" i="3"/>
  <c r="BL182" i="3"/>
  <c r="G183" i="3"/>
  <c r="BA185" i="3"/>
  <c r="BL191" i="3"/>
  <c r="AZ191" i="3"/>
  <c r="G192" i="3"/>
  <c r="BA193" i="3"/>
  <c r="BA196" i="3"/>
  <c r="AZ196" i="3"/>
  <c r="G203" i="3"/>
  <c r="BA205" i="3"/>
  <c r="AZ205" i="3"/>
  <c r="G20" i="3"/>
  <c r="BL20" i="3"/>
  <c r="AZ20" i="3"/>
  <c r="BA21" i="3"/>
  <c r="AZ21" i="3"/>
  <c r="BA25" i="3"/>
  <c r="AZ25" i="3"/>
  <c r="BA26" i="3"/>
  <c r="G28" i="3"/>
  <c r="BL28" i="3"/>
  <c r="AZ28" i="3"/>
  <c r="BA29" i="3"/>
  <c r="BA36" i="3"/>
  <c r="BL38" i="3"/>
  <c r="AZ38" i="3"/>
  <c r="BA39" i="3"/>
  <c r="AZ39" i="3"/>
  <c r="BL47" i="3"/>
  <c r="AZ47" i="3"/>
  <c r="G49" i="3"/>
  <c r="BA52" i="3"/>
  <c r="BA53" i="3"/>
  <c r="AZ53" i="3"/>
  <c r="BA54" i="3"/>
  <c r="BL57" i="3"/>
  <c r="G62" i="3"/>
  <c r="BL62" i="3"/>
  <c r="AZ62" i="3"/>
  <c r="BL63" i="3"/>
  <c r="G65" i="3"/>
  <c r="BL65" i="3"/>
  <c r="BL66" i="3"/>
  <c r="BL67" i="3"/>
  <c r="AZ67" i="3"/>
  <c r="G68" i="3"/>
  <c r="BL68" i="3"/>
  <c r="BA69" i="3"/>
  <c r="AZ69" i="3"/>
  <c r="BA80" i="3"/>
  <c r="G84" i="3"/>
  <c r="BL84" i="3"/>
  <c r="AZ84" i="3"/>
  <c r="C47" i="71"/>
  <c r="D47" i="71"/>
  <c r="D46" i="71"/>
  <c r="C55" i="71"/>
  <c r="D54" i="71"/>
  <c r="G81" i="3"/>
  <c r="G85" i="3"/>
  <c r="BL85" i="3"/>
  <c r="BA86" i="3"/>
  <c r="AZ86" i="3"/>
  <c r="BA87" i="3"/>
  <c r="AZ87" i="3"/>
  <c r="BA91" i="3"/>
  <c r="AZ91" i="3"/>
  <c r="G96" i="3"/>
  <c r="BL97" i="3"/>
  <c r="AZ97" i="3"/>
  <c r="BL101" i="3"/>
  <c r="BL102" i="3"/>
  <c r="G104" i="3"/>
  <c r="G105" i="3"/>
  <c r="BL106" i="3"/>
  <c r="BA108" i="3"/>
  <c r="AZ108" i="3"/>
  <c r="BA110" i="3"/>
  <c r="AZ110" i="3"/>
  <c r="F3" i="35"/>
  <c r="S21" i="37"/>
  <c r="W29" i="39"/>
  <c r="S25" i="40"/>
  <c r="B77" i="43"/>
  <c r="AA18" i="35"/>
  <c r="T60" i="71"/>
  <c r="O66" i="71"/>
  <c r="O67" i="71"/>
  <c r="AA28" i="71"/>
  <c r="C87" i="71"/>
  <c r="E79" i="71"/>
  <c r="E78" i="71"/>
  <c r="E75" i="71"/>
  <c r="E74" i="71"/>
  <c r="AB25" i="71"/>
  <c r="C43" i="71"/>
  <c r="X26" i="71"/>
  <c r="Y25" i="71"/>
  <c r="Z25" i="71"/>
  <c r="X38" i="71"/>
  <c r="C35" i="71"/>
  <c r="N68" i="71"/>
  <c r="AB32" i="71"/>
  <c r="X33" i="71"/>
  <c r="AB37" i="71"/>
  <c r="V80" i="71"/>
  <c r="AA27" i="71"/>
  <c r="AB26" i="71"/>
  <c r="C71" i="71"/>
  <c r="C39" i="71"/>
  <c r="X25" i="71"/>
  <c r="Y28" i="71"/>
  <c r="Z28" i="71"/>
  <c r="C28" i="71"/>
  <c r="AA37" i="71"/>
  <c r="X28" i="71"/>
  <c r="X32" i="71"/>
  <c r="AA39" i="71"/>
  <c r="BL92" i="3"/>
  <c r="G101" i="3"/>
  <c r="BA101" i="3"/>
  <c r="AZ101" i="3"/>
  <c r="G109" i="3"/>
  <c r="BL112" i="3"/>
  <c r="W18" i="35"/>
  <c r="U25" i="40"/>
  <c r="B68" i="43"/>
  <c r="G69" i="3"/>
  <c r="G70" i="3"/>
  <c r="BL70" i="3"/>
  <c r="AZ70" i="3"/>
  <c r="BL71" i="3"/>
  <c r="AZ71" i="3"/>
  <c r="BL72" i="3"/>
  <c r="G74" i="3"/>
  <c r="G75" i="3"/>
  <c r="BL75" i="3"/>
  <c r="BL81" i="3"/>
  <c r="BA82" i="3"/>
  <c r="AZ82" i="3"/>
  <c r="BL83" i="3"/>
  <c r="G88" i="3"/>
  <c r="BA90" i="3"/>
  <c r="AZ90" i="3"/>
  <c r="BL94" i="3"/>
  <c r="AZ94" i="3"/>
  <c r="BA100" i="3"/>
  <c r="AZ100" i="3"/>
  <c r="BA102" i="3"/>
  <c r="AZ102" i="3"/>
  <c r="BL105" i="3"/>
  <c r="AZ105" i="3"/>
  <c r="BL107" i="3"/>
  <c r="BA111" i="3"/>
  <c r="AZ111" i="3"/>
  <c r="AC21" i="37"/>
  <c r="W18" i="36"/>
  <c r="S18" i="36"/>
  <c r="B57" i="43"/>
  <c r="D66" i="71"/>
  <c r="Q67" i="71"/>
  <c r="X36" i="71"/>
  <c r="AB33" i="71"/>
  <c r="AA30" i="71"/>
  <c r="B32" i="71"/>
  <c r="S32" i="71"/>
  <c r="AB34" i="71"/>
  <c r="AB31" i="71"/>
  <c r="AB36" i="71"/>
  <c r="AA36" i="71"/>
  <c r="B47" i="71"/>
  <c r="B48" i="71"/>
  <c r="S48" i="71"/>
  <c r="B55" i="71"/>
  <c r="B56" i="71"/>
  <c r="S56" i="71"/>
  <c r="F71" i="71"/>
  <c r="F70" i="71"/>
  <c r="F9" i="1"/>
  <c r="G9" i="1" s="1"/>
  <c r="F10" i="1"/>
  <c r="G10" i="1" s="1"/>
  <c r="F8" i="1"/>
  <c r="G8" i="1" s="1"/>
  <c r="H69" i="43"/>
  <c r="S23" i="33"/>
  <c r="AA23" i="33"/>
  <c r="C20" i="71"/>
  <c r="E19" i="71"/>
  <c r="E18" i="71"/>
  <c r="E17" i="71"/>
  <c r="E16" i="71"/>
  <c r="V20" i="71"/>
  <c r="AB17" i="33"/>
  <c r="AZ382" i="3"/>
  <c r="AZ321" i="3"/>
  <c r="AZ343" i="3"/>
  <c r="AZ517" i="3"/>
  <c r="AZ562" i="3"/>
  <c r="AZ578" i="3"/>
  <c r="AC13" i="36"/>
  <c r="W13" i="36"/>
  <c r="AB31" i="33"/>
  <c r="U31" i="33"/>
  <c r="AB33" i="35"/>
  <c r="U33" i="35"/>
  <c r="AB43" i="33"/>
  <c r="U43" i="33"/>
  <c r="AZ545" i="3"/>
  <c r="AZ555" i="3"/>
  <c r="AZ581" i="3"/>
  <c r="AB33" i="37"/>
  <c r="U33" i="37"/>
  <c r="AC19" i="37"/>
  <c r="W23" i="33"/>
  <c r="AZ495" i="3"/>
  <c r="AZ567" i="3"/>
  <c r="AC14" i="37"/>
  <c r="W14" i="37"/>
  <c r="U28" i="37"/>
  <c r="AB28" i="37"/>
  <c r="AC29" i="33"/>
  <c r="W29" i="33"/>
  <c r="D19" i="53"/>
  <c r="B38" i="72"/>
  <c r="D16" i="53"/>
  <c r="B34" i="72"/>
  <c r="BL507" i="3"/>
  <c r="AZ507" i="3"/>
  <c r="BQ5" i="3"/>
  <c r="F28" i="6"/>
  <c r="F30" i="6"/>
  <c r="AB35" i="35"/>
  <c r="U35" i="35"/>
  <c r="S13" i="35"/>
  <c r="AA13" i="35"/>
  <c r="S12" i="35"/>
  <c r="AA12" i="35"/>
  <c r="AC45" i="39"/>
  <c r="J34" i="35"/>
  <c r="F34" i="35"/>
  <c r="J26" i="37"/>
  <c r="F26" i="37"/>
  <c r="F40" i="40"/>
  <c r="G578" i="3"/>
  <c r="AZ410" i="3"/>
  <c r="AZ431" i="3"/>
  <c r="AZ439" i="3"/>
  <c r="AZ442" i="3"/>
  <c r="AZ445" i="3"/>
  <c r="AZ449" i="3"/>
  <c r="AZ452" i="3"/>
  <c r="AZ456" i="3"/>
  <c r="AZ467" i="3"/>
  <c r="AZ468" i="3"/>
  <c r="AZ470" i="3"/>
  <c r="W35" i="39"/>
  <c r="C21" i="39"/>
  <c r="U9" i="36"/>
  <c r="U14" i="37"/>
  <c r="G526" i="3"/>
  <c r="AZ420" i="3"/>
  <c r="AZ424" i="3"/>
  <c r="AZ434" i="3"/>
  <c r="AZ436" i="3"/>
  <c r="AZ438" i="3"/>
  <c r="AZ446" i="3"/>
  <c r="AZ450" i="3"/>
  <c r="W36" i="39"/>
  <c r="U23" i="40"/>
  <c r="AA39" i="37"/>
  <c r="AC16" i="36"/>
  <c r="AB12" i="33"/>
  <c r="C27" i="39"/>
  <c r="U40" i="40"/>
  <c r="AC9" i="40"/>
  <c r="W36" i="35"/>
  <c r="B73" i="43"/>
  <c r="B76" i="43"/>
  <c r="F9" i="36"/>
  <c r="J40" i="40"/>
  <c r="G562" i="3"/>
  <c r="AZ426" i="3"/>
  <c r="AZ463" i="3"/>
  <c r="AZ489" i="3"/>
  <c r="AZ385" i="3"/>
  <c r="AZ212" i="3"/>
  <c r="AZ220" i="3"/>
  <c r="AZ231" i="3"/>
  <c r="AZ255"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AZ276" i="3"/>
  <c r="BL279" i="3"/>
  <c r="AZ279" i="3"/>
  <c r="BL281" i="3"/>
  <c r="AZ281" i="3"/>
  <c r="BA285" i="3"/>
  <c r="AZ285" i="3"/>
  <c r="BA287" i="3"/>
  <c r="AZ287" i="3"/>
  <c r="AZ290" i="3"/>
  <c r="AZ153" i="3"/>
  <c r="AZ134" i="3"/>
  <c r="AZ207" i="3"/>
  <c r="BA289" i="3"/>
  <c r="AZ289" i="3"/>
  <c r="G293" i="3"/>
  <c r="G296" i="3"/>
  <c r="BL296" i="3"/>
  <c r="AZ296" i="3"/>
  <c r="G301" i="3"/>
  <c r="G114" i="3"/>
  <c r="BL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202" i="3"/>
  <c r="AZ202" i="3"/>
  <c r="AZ30" i="3"/>
  <c r="BL36" i="3"/>
  <c r="AZ36" i="3"/>
  <c r="AZ40" i="3"/>
  <c r="AZ48" i="3"/>
  <c r="AZ68" i="3"/>
  <c r="AZ73" i="3"/>
  <c r="AZ106" i="3"/>
  <c r="G200" i="3"/>
  <c r="G207" i="3"/>
  <c r="BA23" i="3"/>
  <c r="AZ23" i="3"/>
  <c r="BA24" i="3"/>
  <c r="AZ24" i="3"/>
  <c r="BL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2" i="3"/>
  <c r="BL78" i="3"/>
  <c r="BA83" i="3"/>
  <c r="AZ83" i="3"/>
  <c r="G91" i="3"/>
  <c r="BL95" i="3"/>
  <c r="AZ95" i="3"/>
  <c r="BL98" i="3"/>
  <c r="AZ98" i="3"/>
  <c r="BL109" i="3"/>
  <c r="AZ109" i="3"/>
  <c r="AZ78" i="3"/>
  <c r="G77" i="3"/>
  <c r="BA81" i="3"/>
  <c r="BA85" i="3"/>
  <c r="AZ85" i="3"/>
  <c r="BL89" i="3"/>
  <c r="AZ89" i="3"/>
  <c r="G94" i="3"/>
  <c r="G97" i="3"/>
  <c r="G100" i="3"/>
  <c r="BA107" i="3"/>
  <c r="AZ107" i="3"/>
  <c r="BA112" i="3"/>
  <c r="AZ112" i="3"/>
  <c r="E27" i="71"/>
  <c r="E26" i="71"/>
  <c r="V28" i="71"/>
  <c r="BA76" i="3"/>
  <c r="AZ76" i="3"/>
  <c r="BL80" i="3"/>
  <c r="AZ80" i="3"/>
  <c r="BL87" i="3"/>
  <c r="BA93" i="3"/>
  <c r="AZ93" i="3"/>
  <c r="BA96" i="3"/>
  <c r="AZ96" i="3"/>
  <c r="BA99" i="3"/>
  <c r="AZ99" i="3"/>
  <c r="BL104" i="3"/>
  <c r="AZ104" i="3"/>
  <c r="D64" i="71"/>
  <c r="T64" i="71"/>
  <c r="U18" i="35"/>
  <c r="Y32" i="71"/>
  <c r="Z32" i="71"/>
  <c r="Y33" i="71"/>
  <c r="Z33" i="71"/>
  <c r="Y22" i="71"/>
  <c r="Z22" i="71"/>
  <c r="X24" i="71"/>
  <c r="AA22" i="71"/>
  <c r="X21" i="71"/>
  <c r="X17" i="71"/>
  <c r="AA17" i="71"/>
  <c r="Y11" i="71"/>
  <c r="Z11" i="7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s="1"/>
  <c r="H67"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1" i="37"/>
  <c r="U12" i="37"/>
  <c r="AC8" i="37"/>
  <c r="AB13" i="33"/>
  <c r="S9" i="33"/>
  <c r="U8" i="33"/>
  <c r="C30" i="69"/>
  <c r="F53" i="9"/>
  <c r="C5" i="11"/>
  <c r="C4" i="12"/>
  <c r="C31" i="12"/>
  <c r="E14" i="6"/>
  <c r="E63" i="39" s="1"/>
  <c r="G3" i="43"/>
  <c r="E29" i="6"/>
  <c r="K15" i="1"/>
  <c r="L19" i="6"/>
  <c r="L27" i="6" s="1"/>
  <c r="M6" i="1"/>
  <c r="O6" i="1" s="1"/>
  <c r="P6" i="1" s="1"/>
  <c r="C58" i="33"/>
  <c r="C28" i="15"/>
  <c r="W10" i="36"/>
  <c r="U10" i="36"/>
  <c r="S10" i="36"/>
  <c r="AA10" i="35"/>
  <c r="W10" i="35"/>
  <c r="U10" i="37"/>
  <c r="S10" i="37"/>
  <c r="AC10" i="37"/>
  <c r="AA10" i="33"/>
  <c r="AC10" i="33"/>
  <c r="AB10" i="33"/>
  <c r="AB27" i="36"/>
  <c r="S27" i="36"/>
  <c r="AC27" i="36"/>
  <c r="AC8" i="35"/>
  <c r="U8" i="35"/>
  <c r="H26" i="35"/>
  <c r="F26" i="35"/>
  <c r="J26" i="35"/>
  <c r="W33" i="37"/>
  <c r="AA11" i="37"/>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c r="B81" i="43"/>
  <c r="D66" i="43"/>
  <c r="D64" i="43"/>
  <c r="D62" i="43"/>
  <c r="D67" i="43"/>
  <c r="D65" i="43"/>
  <c r="D63" i="43"/>
  <c r="D69" i="43"/>
  <c r="D73" i="43"/>
  <c r="D75" i="43"/>
  <c r="D79" i="43"/>
  <c r="D22" i="67"/>
  <c r="E8" i="6"/>
  <c r="F27" i="6" s="1"/>
  <c r="F31" i="6" s="1"/>
  <c r="AZ13" i="3"/>
  <c r="AZ5" i="3" s="1"/>
  <c r="H73" i="43"/>
  <c r="H90" i="43"/>
  <c r="I18" i="43"/>
  <c r="E17" i="43"/>
  <c r="C17" i="43"/>
  <c r="H55" i="43"/>
  <c r="H86" i="43"/>
  <c r="H87" i="43"/>
  <c r="H89" i="43"/>
  <c r="H88" i="43"/>
  <c r="H84" i="43"/>
  <c r="T35" i="4"/>
  <c r="A19" i="51"/>
  <c r="B14" i="72" s="1"/>
  <c r="H110" i="9"/>
  <c r="D18" i="53" s="1"/>
  <c r="B35" i="72" s="1"/>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D63" i="40"/>
  <c r="E63" i="40" s="1"/>
  <c r="D58" i="33"/>
  <c r="E58" i="33" s="1"/>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W32" i="33"/>
  <c r="W39" i="33"/>
  <c r="U32" i="33"/>
  <c r="W17" i="33"/>
  <c r="U39" i="33"/>
  <c r="AB25" i="33"/>
  <c r="AC25" i="33"/>
  <c r="G30" i="6"/>
  <c r="G31" i="6"/>
  <c r="E28" i="6"/>
  <c r="K14" i="1"/>
  <c r="M14" i="1" s="1"/>
  <c r="O14" i="1" s="1"/>
  <c r="P14" i="1" s="1"/>
  <c r="F31" i="67"/>
  <c r="F31" i="15"/>
  <c r="C40" i="71"/>
  <c r="D39" i="71"/>
  <c r="C56" i="71"/>
  <c r="D55" i="71"/>
  <c r="AZ66" i="3"/>
  <c r="AZ57" i="3"/>
  <c r="AZ182" i="3"/>
  <c r="N65" i="71"/>
  <c r="N66" i="71"/>
  <c r="T32" i="71"/>
  <c r="D32" i="71"/>
  <c r="AA25" i="37"/>
  <c r="S25" i="37"/>
  <c r="AZ428" i="3"/>
  <c r="AZ411" i="3"/>
  <c r="W12" i="36"/>
  <c r="AC12" i="36"/>
  <c r="AA24" i="36"/>
  <c r="S24" i="36"/>
  <c r="AC24" i="36"/>
  <c r="W24" i="36"/>
  <c r="W13" i="39"/>
  <c r="AC13" i="39"/>
  <c r="AZ586" i="3"/>
  <c r="AZ26" i="3"/>
  <c r="T28" i="71"/>
  <c r="D28" i="71"/>
  <c r="U28" i="71"/>
  <c r="C27" i="71"/>
  <c r="C70" i="71"/>
  <c r="D70" i="71"/>
  <c r="D71" i="71"/>
  <c r="C36" i="71"/>
  <c r="D35" i="71"/>
  <c r="C44" i="71"/>
  <c r="D43" i="71"/>
  <c r="C86" i="71"/>
  <c r="D86" i="71"/>
  <c r="D87" i="71"/>
  <c r="AZ29" i="3"/>
  <c r="AZ63" i="3"/>
  <c r="AZ51" i="3"/>
  <c r="AZ181" i="3"/>
  <c r="AZ137" i="3"/>
  <c r="AZ282" i="3"/>
  <c r="AZ432" i="3"/>
  <c r="AZ417" i="3"/>
  <c r="U12" i="36"/>
  <c r="AB12" i="36"/>
  <c r="U39" i="37"/>
  <c r="AB39" i="37"/>
  <c r="AA13" i="39"/>
  <c r="S13" i="39"/>
  <c r="S34" i="36"/>
  <c r="AA34" i="36"/>
  <c r="AZ49" i="3"/>
  <c r="AZ121" i="3"/>
  <c r="AZ274" i="3"/>
  <c r="AZ297" i="3"/>
  <c r="AZ241" i="3"/>
  <c r="AZ397" i="3"/>
  <c r="AZ453" i="3"/>
  <c r="AZ408" i="3"/>
  <c r="U33" i="40"/>
  <c r="AB33" i="40"/>
  <c r="AC39" i="37"/>
  <c r="W39" i="37"/>
  <c r="AA26" i="33"/>
  <c r="S26" i="33"/>
  <c r="AB36" i="35"/>
  <c r="U36" i="35"/>
  <c r="AZ81" i="3"/>
  <c r="AZ114" i="3"/>
  <c r="AZ52" i="3"/>
  <c r="AZ75" i="3"/>
  <c r="AZ302" i="3"/>
  <c r="AZ284" i="3"/>
  <c r="AZ277" i="3"/>
  <c r="AZ256" i="3"/>
  <c r="T52" i="71"/>
  <c r="D52" i="71"/>
  <c r="AZ404" i="3"/>
  <c r="AZ471" i="3"/>
  <c r="AZ429" i="3"/>
  <c r="AA12" i="36"/>
  <c r="S12" i="36"/>
  <c r="AA44" i="39"/>
  <c r="S44" i="39"/>
  <c r="AB24" i="36"/>
  <c r="U24" i="36"/>
  <c r="W26" i="33"/>
  <c r="AC26" i="33"/>
  <c r="U34" i="36"/>
  <c r="AB34" i="36"/>
  <c r="AZ585" i="3"/>
  <c r="AA26" i="37"/>
  <c r="S26" i="37"/>
  <c r="BA5" i="3"/>
  <c r="C19" i="71"/>
  <c r="T20" i="71"/>
  <c r="D20" i="71"/>
  <c r="U20" i="71"/>
  <c r="W40" i="40"/>
  <c r="AC40" i="40"/>
  <c r="AC26" i="37"/>
  <c r="W26" i="37"/>
  <c r="BL5" i="3"/>
  <c r="B15" i="71"/>
  <c r="B14" i="71"/>
  <c r="B13" i="71"/>
  <c r="B12" i="71"/>
  <c r="S16" i="71"/>
  <c r="AA9" i="36"/>
  <c r="S9" i="36"/>
  <c r="AA34" i="35"/>
  <c r="S34" i="35"/>
  <c r="E15" i="71"/>
  <c r="E14" i="71"/>
  <c r="E13" i="71"/>
  <c r="E12" i="71"/>
  <c r="V16" i="71"/>
  <c r="S40" i="40"/>
  <c r="AA40" i="40"/>
  <c r="AC34" i="35"/>
  <c r="W34" i="35"/>
  <c r="E61" i="43"/>
  <c r="B59" i="43"/>
  <c r="C28" i="43"/>
  <c r="E30" i="6"/>
  <c r="AA26" i="35"/>
  <c r="S26" i="35"/>
  <c r="AC26" i="35"/>
  <c r="W26" i="35"/>
  <c r="AB26" i="35"/>
  <c r="U26" i="35"/>
  <c r="E72" i="43"/>
  <c r="B70" i="43"/>
  <c r="D5" i="43"/>
  <c r="C7" i="43"/>
  <c r="C5" i="43"/>
  <c r="D10" i="52"/>
  <c r="D125" i="9"/>
  <c r="D11" i="52"/>
  <c r="B7" i="74"/>
  <c r="M17" i="67"/>
  <c r="M17" i="15"/>
  <c r="P25" i="43"/>
  <c r="P29" i="43"/>
  <c r="AE11" i="1"/>
  <c r="AE6" i="1"/>
  <c r="AE9" i="1"/>
  <c r="AE7" i="1"/>
  <c r="AE8" i="1"/>
  <c r="AE12" i="1"/>
  <c r="AE10" i="1"/>
  <c r="E392" i="3"/>
  <c r="E110" i="3"/>
  <c r="E122" i="3"/>
  <c r="E224" i="3"/>
  <c r="E357" i="3"/>
  <c r="E379" i="3"/>
  <c r="E367" i="3"/>
  <c r="E29" i="3"/>
  <c r="E426" i="3"/>
  <c r="E285" i="3"/>
  <c r="E237" i="3"/>
  <c r="E302" i="3"/>
  <c r="AN6" i="3"/>
  <c r="E177" i="3"/>
  <c r="E344" i="3"/>
  <c r="E73" i="3"/>
  <c r="E580" i="3"/>
  <c r="E576" i="3"/>
  <c r="E558" i="3"/>
  <c r="E121" i="3"/>
  <c r="E480" i="3"/>
  <c r="N6" i="3"/>
  <c r="E229"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554" i="3"/>
  <c r="E307" i="3"/>
  <c r="E167" i="3"/>
  <c r="AD6" i="3"/>
  <c r="E462" i="3"/>
  <c r="E373" i="3"/>
  <c r="E297" i="3"/>
  <c r="E323" i="3"/>
  <c r="E209" i="3"/>
  <c r="E500" i="3"/>
  <c r="E222" i="3"/>
  <c r="E65" i="3"/>
  <c r="E460" i="3"/>
  <c r="E165" i="3"/>
  <c r="E218" i="3"/>
  <c r="E340" i="3"/>
  <c r="E36" i="3"/>
  <c r="E339" i="3"/>
  <c r="E38" i="3"/>
  <c r="E540" i="3"/>
  <c r="E333" i="3"/>
  <c r="E108" i="3"/>
  <c r="E419" i="3"/>
  <c r="E490" i="3"/>
  <c r="E543" i="3"/>
  <c r="E116" i="3"/>
  <c r="E83" i="3"/>
  <c r="E49" i="3"/>
  <c r="E190" i="3"/>
  <c r="E115" i="3"/>
  <c r="E497" i="3"/>
  <c r="E469" i="3"/>
  <c r="E197" i="3"/>
  <c r="E34" i="3"/>
  <c r="E482" i="3"/>
  <c r="E63" i="3"/>
  <c r="E267" i="3"/>
  <c r="E292" i="3"/>
  <c r="E442" i="3"/>
  <c r="E25" i="3"/>
  <c r="E498" i="3"/>
  <c r="E422" i="3"/>
  <c r="E564" i="3"/>
  <c r="E223" i="3"/>
  <c r="E158" i="3"/>
  <c r="E35" i="3"/>
  <c r="E78" i="3"/>
  <c r="E104" i="3"/>
  <c r="E556" i="3"/>
  <c r="E405" i="3"/>
  <c r="E22" i="3"/>
  <c r="E86" i="3"/>
  <c r="E391" i="3"/>
  <c r="E184" i="3"/>
  <c r="E160" i="3"/>
  <c r="E95" i="3"/>
  <c r="E510" i="3"/>
  <c r="E499" i="3"/>
  <c r="E479" i="3"/>
  <c r="E484" i="3"/>
  <c r="E310" i="3"/>
  <c r="E68" i="3"/>
  <c r="E281" i="3"/>
  <c r="E174" i="3"/>
  <c r="AF6" i="3"/>
  <c r="E140" i="3"/>
  <c r="T6" i="3"/>
  <c r="E408" i="3"/>
  <c r="E452" i="3"/>
  <c r="E41" i="3"/>
  <c r="E428"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196" i="3"/>
  <c r="E257" i="3"/>
  <c r="E537" i="3"/>
  <c r="E529" i="3"/>
  <c r="E306" i="3"/>
  <c r="E127" i="3"/>
  <c r="E413" i="3"/>
  <c r="E488" i="3"/>
  <c r="E163" i="3"/>
  <c r="E542" i="3"/>
  <c r="E47" i="3"/>
  <c r="E149" i="3"/>
  <c r="E354" i="3"/>
  <c r="E57" i="3"/>
  <c r="E244" i="3"/>
  <c r="E386" i="3"/>
  <c r="E155" i="3"/>
  <c r="E141" i="3"/>
  <c r="E265" i="3"/>
  <c r="E50" i="3"/>
  <c r="E112" i="3"/>
  <c r="E325" i="3"/>
  <c r="E137" i="3"/>
  <c r="E473" i="3"/>
  <c r="E372" i="3"/>
  <c r="E202" i="3"/>
  <c r="E401" i="3"/>
  <c r="E376" i="3"/>
  <c r="E486" i="3"/>
  <c r="E105" i="3"/>
  <c r="E329" i="3"/>
  <c r="E370" i="3"/>
  <c r="E220" i="3"/>
  <c r="E243" i="3"/>
  <c r="E470" i="3"/>
  <c r="E512" i="3"/>
  <c r="E173" i="3"/>
  <c r="E102" i="3"/>
  <c r="E18" i="3"/>
  <c r="E309" i="3"/>
  <c r="E492" i="3"/>
  <c r="E389" i="3"/>
  <c r="E255" i="3"/>
  <c r="E287" i="3"/>
  <c r="E251" i="3"/>
  <c r="E522" i="3"/>
  <c r="E129" i="3"/>
  <c r="E42" i="3"/>
  <c r="E198" i="3"/>
  <c r="E283" i="3"/>
  <c r="E355" i="3"/>
  <c r="E67" i="3"/>
  <c r="E371" i="3"/>
  <c r="E46" i="3"/>
  <c r="E409" i="3"/>
  <c r="E241" i="3"/>
  <c r="E417" i="3"/>
  <c r="E449" i="3"/>
  <c r="E575" i="3"/>
  <c r="E412" i="3"/>
  <c r="E225" i="3"/>
  <c r="E26" i="3"/>
  <c r="E13" i="3"/>
  <c r="E451" i="3"/>
  <c r="E456" i="3"/>
  <c r="E525" i="3"/>
  <c r="E205" i="3"/>
  <c r="E113" i="3"/>
  <c r="E206" i="3"/>
  <c r="E383" i="3"/>
  <c r="E96" i="3"/>
  <c r="AL6" i="3"/>
  <c r="E494" i="3"/>
  <c r="E81" i="3"/>
  <c r="E233" i="3"/>
  <c r="E84" i="3"/>
  <c r="E249" i="3"/>
  <c r="E64" i="3"/>
  <c r="E544" i="3"/>
  <c r="E152" i="3"/>
  <c r="E517" i="3"/>
  <c r="E466" i="3"/>
  <c r="E212" i="3"/>
  <c r="E59" i="3"/>
  <c r="E349" i="3"/>
  <c r="E258" i="3"/>
  <c r="E37" i="3"/>
  <c r="E491" i="3"/>
  <c r="AP6" i="3"/>
  <c r="E430" i="3"/>
  <c r="E502" i="3"/>
  <c r="E286" i="3"/>
  <c r="E539" i="3"/>
  <c r="E75" i="3"/>
  <c r="E332" i="3"/>
  <c r="E21" i="3"/>
  <c r="E264" i="3"/>
  <c r="E381" i="3"/>
  <c r="E144" i="3"/>
  <c r="E23" i="3"/>
  <c r="E300" i="3"/>
  <c r="E103" i="3"/>
  <c r="E425" i="3"/>
  <c r="E76" i="3"/>
  <c r="E363" i="3"/>
  <c r="E192" i="3"/>
  <c r="E56" i="3"/>
  <c r="E435" i="3"/>
  <c r="I3" i="6"/>
  <c r="E541" i="3"/>
  <c r="R6" i="3"/>
  <c r="E199" i="3"/>
  <c r="F59" i="67"/>
  <c r="F59" i="15"/>
  <c r="C26" i="71"/>
  <c r="D26" i="71"/>
  <c r="D27" i="71"/>
  <c r="T36" i="71"/>
  <c r="D36" i="71"/>
  <c r="D56" i="71"/>
  <c r="T56" i="71"/>
  <c r="D44" i="71"/>
  <c r="T44" i="71"/>
  <c r="T40" i="71"/>
  <c r="D40" i="71"/>
  <c r="B11" i="71"/>
  <c r="B10" i="71"/>
  <c r="B9" i="71"/>
  <c r="B8" i="71"/>
  <c r="B7" i="71"/>
  <c r="B6" i="71"/>
  <c r="B5" i="71"/>
  <c r="S12" i="71"/>
  <c r="E11" i="71"/>
  <c r="E10" i="71"/>
  <c r="E9" i="71"/>
  <c r="E8" i="71"/>
  <c r="E7" i="71"/>
  <c r="E6" i="71"/>
  <c r="E5" i="71"/>
  <c r="V12" i="71"/>
  <c r="C18" i="71"/>
  <c r="D19" i="71"/>
  <c r="AG11" i="1"/>
  <c r="AG9" i="1"/>
  <c r="AG10" i="1"/>
  <c r="AG8" i="1"/>
  <c r="AG12" i="1"/>
  <c r="AG7" i="1"/>
  <c r="AG6" i="1"/>
  <c r="C41" i="43"/>
  <c r="E8" i="70"/>
  <c r="B1" i="74"/>
  <c r="C42" i="43"/>
  <c r="E42" i="43"/>
  <c r="G48" i="35"/>
  <c r="H48" i="35" s="1"/>
  <c r="I48" i="35" s="1"/>
  <c r="J48" i="35" s="1"/>
  <c r="C17" i="71"/>
  <c r="D18" i="71"/>
  <c r="E6" i="70"/>
  <c r="S11" i="1"/>
  <c r="AR11" i="1" s="1"/>
  <c r="E11" i="70"/>
  <c r="S9" i="1"/>
  <c r="AR9" i="1" s="1"/>
  <c r="E7" i="70"/>
  <c r="S10" i="1"/>
  <c r="T10" i="1" s="1"/>
  <c r="E10" i="70"/>
  <c r="S12" i="1"/>
  <c r="AQ12" i="1" s="1"/>
  <c r="B2" i="74"/>
  <c r="G42" i="43"/>
  <c r="I42" i="43"/>
  <c r="E41" i="43"/>
  <c r="G41" i="43"/>
  <c r="I41" i="43" s="1"/>
  <c r="R9" i="1"/>
  <c r="R11" i="1"/>
  <c r="C16" i="71"/>
  <c r="D17" i="71"/>
  <c r="R10" i="1"/>
  <c r="E12" i="70"/>
  <c r="F34" i="11"/>
  <c r="C36" i="11" s="1"/>
  <c r="F11" i="12"/>
  <c r="C23" i="12" s="1"/>
  <c r="E9" i="70"/>
  <c r="AQ11" i="1"/>
  <c r="D8" i="74"/>
  <c r="D7" i="74"/>
  <c r="R12" i="1"/>
  <c r="C15" i="71"/>
  <c r="T16" i="71"/>
  <c r="D16" i="71"/>
  <c r="U16" i="71"/>
  <c r="C14" i="71"/>
  <c r="D15" i="71"/>
  <c r="D14" i="71"/>
  <c r="C13" i="71"/>
  <c r="C12" i="71"/>
  <c r="D13" i="71"/>
  <c r="C11" i="71"/>
  <c r="T12" i="71"/>
  <c r="D12" i="71"/>
  <c r="U12" i="71"/>
  <c r="C10" i="71"/>
  <c r="D11" i="71"/>
  <c r="D10" i="71"/>
  <c r="C9" i="71"/>
  <c r="B2" i="33"/>
  <c r="C8" i="71"/>
  <c r="D9" i="71"/>
  <c r="B2" i="36"/>
  <c r="B2" i="35"/>
  <c r="B2" i="37"/>
  <c r="C7" i="71"/>
  <c r="D8" i="71"/>
  <c r="D7" i="71"/>
  <c r="C6" i="71"/>
  <c r="D6" i="71"/>
  <c r="C5" i="71"/>
  <c r="D5" i="71"/>
  <c r="M24" i="43"/>
  <c r="E14" i="74"/>
  <c r="F14" i="74"/>
  <c r="B5" i="74"/>
  <c r="D5" i="74"/>
  <c r="B6" i="74"/>
  <c r="D6" i="74"/>
  <c r="M23" i="15"/>
  <c r="B8" i="76"/>
  <c r="B11" i="76"/>
  <c r="D7" i="73"/>
  <c r="AO6" i="1"/>
  <c r="AO8" i="1"/>
  <c r="F42" i="15"/>
  <c r="M29" i="15"/>
  <c r="D2" i="36"/>
  <c r="M22" i="67"/>
  <c r="M27" i="67"/>
  <c r="F9" i="67"/>
  <c r="D19" i="9"/>
  <c r="F13" i="67"/>
  <c r="F38" i="15"/>
  <c r="M29" i="67"/>
  <c r="D34" i="9"/>
  <c r="F3" i="73"/>
  <c r="F6" i="73"/>
  <c r="M9" i="67"/>
  <c r="F5" i="73"/>
  <c r="M8" i="15"/>
  <c r="F6" i="15"/>
  <c r="F40" i="15"/>
  <c r="D6" i="73"/>
  <c r="M23" i="67"/>
  <c r="M24" i="15"/>
  <c r="F40" i="67"/>
  <c r="M26" i="67"/>
  <c r="M6" i="15"/>
  <c r="F16" i="15"/>
  <c r="E2" i="68"/>
  <c r="E11" i="76"/>
  <c r="M6" i="67"/>
  <c r="E10" i="76"/>
  <c r="D2" i="37"/>
  <c r="F42" i="67"/>
  <c r="L48" i="15"/>
  <c r="M9" i="15"/>
  <c r="M24" i="67"/>
  <c r="L47" i="15"/>
  <c r="F6" i="67"/>
  <c r="C76" i="67"/>
  <c r="D35" i="9"/>
  <c r="F13" i="15"/>
  <c r="D2" i="35"/>
  <c r="B10" i="76"/>
  <c r="M28" i="67"/>
  <c r="C19" i="9"/>
  <c r="B7" i="76"/>
  <c r="F8" i="67"/>
  <c r="AO7" i="1"/>
  <c r="E9" i="76"/>
  <c r="F7" i="73"/>
  <c r="D3" i="73"/>
  <c r="F38" i="67"/>
  <c r="F9" i="15"/>
  <c r="AO9" i="1"/>
  <c r="AO12" i="1"/>
  <c r="B9" i="76"/>
  <c r="E8" i="76"/>
  <c r="F7" i="15"/>
  <c r="M27" i="15"/>
  <c r="M22" i="15"/>
  <c r="AO11" i="1"/>
  <c r="J15" i="67"/>
  <c r="E2" i="69"/>
  <c r="F37" i="67"/>
  <c r="AO10" i="1"/>
  <c r="B12" i="76"/>
  <c r="L48" i="67"/>
  <c r="D4" i="73"/>
  <c r="F41" i="67"/>
  <c r="F16" i="67"/>
  <c r="M8" i="67"/>
  <c r="F7" i="67"/>
  <c r="F4" i="73"/>
  <c r="F41" i="15"/>
  <c r="F36" i="15"/>
  <c r="D2" i="33"/>
  <c r="C20" i="9"/>
  <c r="F8" i="15"/>
  <c r="F26" i="15"/>
  <c r="M28" i="15"/>
  <c r="B13" i="76"/>
  <c r="E7" i="76"/>
  <c r="L47" i="67"/>
  <c r="AO13" i="1"/>
  <c r="F43" i="67"/>
  <c r="E13" i="76"/>
  <c r="F43" i="15"/>
  <c r="J15" i="15"/>
  <c r="E12" i="76"/>
  <c r="D20" i="9"/>
  <c r="D5" i="73"/>
  <c r="C76" i="15"/>
  <c r="F37" i="15"/>
  <c r="F36" i="67"/>
  <c r="F26" i="67"/>
  <c r="M26" i="15"/>
  <c r="AR10" i="1" l="1"/>
  <c r="T13" i="1"/>
  <c r="E27" i="6"/>
  <c r="K24" i="6" s="1"/>
  <c r="M24" i="6" s="1"/>
  <c r="I24" i="6" s="1"/>
  <c r="AQ13" i="1"/>
  <c r="B3" i="35"/>
  <c r="AQ10" i="1"/>
  <c r="H26" i="43"/>
  <c r="G26" i="43"/>
  <c r="J26" i="43"/>
  <c r="E26" i="43"/>
  <c r="F26" i="43"/>
  <c r="B116" i="43"/>
  <c r="B120" i="43" s="1"/>
  <c r="C120" i="43" s="1"/>
  <c r="N370" i="46"/>
  <c r="Z7" i="43"/>
  <c r="N94" i="46"/>
  <c r="K26" i="6"/>
  <c r="M26" i="6" s="1"/>
  <c r="I26" i="6" s="1"/>
  <c r="S26" i="6" s="1"/>
  <c r="AY6" i="3"/>
  <c r="E3" i="6"/>
  <c r="C36" i="69"/>
  <c r="T9" i="1"/>
  <c r="C34" i="69"/>
  <c r="C38" i="69" s="1"/>
  <c r="E12" i="6"/>
  <c r="E61" i="39" s="1"/>
  <c r="E2" i="70"/>
  <c r="AQ9" i="1"/>
  <c r="E31" i="6"/>
  <c r="B3" i="36"/>
  <c r="B121" i="43"/>
  <c r="C121" i="43" s="1"/>
  <c r="E56" i="39"/>
  <c r="D9" i="68"/>
  <c r="C9" i="68" s="1"/>
  <c r="D19" i="12"/>
  <c r="C19" i="12" s="1"/>
  <c r="E6" i="6"/>
  <c r="D9" i="11"/>
  <c r="C9" i="11" s="1"/>
  <c r="D9" i="69"/>
  <c r="C9" i="69" s="1"/>
  <c r="E57" i="40"/>
  <c r="O12" i="1"/>
  <c r="P12" i="1" s="1"/>
  <c r="AR12" i="1"/>
  <c r="E51" i="40"/>
  <c r="E11" i="6"/>
  <c r="T11" i="1"/>
  <c r="E15" i="6"/>
  <c r="K19" i="6"/>
  <c r="E13" i="6"/>
  <c r="S24" i="6"/>
  <c r="T12" i="1"/>
  <c r="Q16" i="1"/>
  <c r="K16" i="1"/>
  <c r="M8" i="1"/>
  <c r="H16" i="1"/>
  <c r="E461" i="3"/>
  <c r="E508" i="3"/>
  <c r="E74" i="3"/>
  <c r="E280" i="3"/>
  <c r="E109" i="3"/>
  <c r="E252" i="3"/>
  <c r="E585" i="3"/>
  <c r="E58" i="3"/>
  <c r="E246" i="3"/>
  <c r="E531" i="3"/>
  <c r="E134" i="3"/>
  <c r="E515" i="3"/>
  <c r="E260" i="3"/>
  <c r="E429" i="3"/>
  <c r="E71" i="3"/>
  <c r="E51" i="3"/>
  <c r="E369" i="3"/>
  <c r="E579" i="3"/>
  <c r="K6" i="3"/>
  <c r="E175" i="3"/>
  <c r="E511" i="3"/>
  <c r="E404" i="3"/>
  <c r="E523" i="3"/>
  <c r="E87" i="3"/>
  <c r="E131" i="3"/>
  <c r="AJ6" i="3"/>
  <c r="E133" i="3"/>
  <c r="E441" i="3"/>
  <c r="E85" i="3"/>
  <c r="E581" i="3"/>
  <c r="S6" i="3"/>
  <c r="E179" i="3"/>
  <c r="E142" i="3"/>
  <c r="E100" i="3"/>
  <c r="E570" i="3"/>
  <c r="E489" i="3"/>
  <c r="E468" i="3"/>
  <c r="E301" i="3"/>
  <c r="E410" i="3"/>
  <c r="E414" i="3"/>
  <c r="E458" i="3"/>
  <c r="E550" i="3"/>
  <c r="E125" i="3"/>
  <c r="E55" i="3"/>
  <c r="E213" i="3"/>
  <c r="E272" i="3"/>
  <c r="E157" i="3"/>
  <c r="E421" i="3"/>
  <c r="E276" i="3"/>
  <c r="E52" i="3"/>
  <c r="E43" i="3"/>
  <c r="E200" i="3"/>
  <c r="AB6" i="3"/>
  <c r="E28" i="3"/>
  <c r="E454" i="3"/>
  <c r="E586" i="3"/>
  <c r="E337" i="3"/>
  <c r="E477" i="3"/>
  <c r="E457" i="3"/>
  <c r="E117" i="3"/>
  <c r="E366" i="3"/>
  <c r="E203" i="3"/>
  <c r="E17" i="3"/>
  <c r="E291" i="3"/>
  <c r="E532" i="3"/>
  <c r="E416" i="3"/>
  <c r="L6" i="3"/>
  <c r="E467" i="3"/>
  <c r="E226" i="3"/>
  <c r="E398" i="3"/>
  <c r="E374" i="3"/>
  <c r="W6" i="3"/>
  <c r="E92" i="3"/>
  <c r="E418" i="3"/>
  <c r="E238" i="3"/>
  <c r="E513" i="3"/>
  <c r="E169" i="3"/>
  <c r="E465" i="3"/>
  <c r="E439" i="3"/>
  <c r="E168" i="3"/>
  <c r="E568" i="3"/>
  <c r="E328" i="3"/>
  <c r="E385" i="3"/>
  <c r="E415" i="3"/>
  <c r="E94" i="3"/>
  <c r="E172" i="3"/>
  <c r="E227" i="3"/>
  <c r="E380" i="3"/>
  <c r="E279" i="3"/>
  <c r="E559" i="3"/>
  <c r="E156" i="3"/>
  <c r="E147" i="3"/>
  <c r="E119" i="3"/>
  <c r="E211" i="3"/>
  <c r="E124" i="3"/>
  <c r="E476" i="3"/>
  <c r="E245" i="3"/>
  <c r="E394" i="3"/>
  <c r="E53" i="3"/>
  <c r="E48" i="3"/>
  <c r="E148" i="3"/>
  <c r="E182" i="3"/>
  <c r="E495" i="3"/>
  <c r="E505" i="3"/>
  <c r="E61" i="3"/>
  <c r="E274" i="3"/>
  <c r="E317" i="3"/>
  <c r="E446" i="3"/>
  <c r="E240" i="3"/>
  <c r="E263" i="3"/>
  <c r="E431" i="3"/>
  <c r="E485" i="3"/>
  <c r="E560" i="3"/>
  <c r="E361" i="3"/>
  <c r="E343" i="3"/>
  <c r="E269" i="3"/>
  <c r="E99" i="3"/>
  <c r="E130" i="3"/>
  <c r="E88" i="3"/>
  <c r="E437" i="3"/>
  <c r="E338" i="3"/>
  <c r="E432" i="3"/>
  <c r="E187" i="3"/>
  <c r="E566" i="3"/>
  <c r="E16" i="3"/>
  <c r="AH6" i="3"/>
  <c r="E118" i="3"/>
  <c r="AI6" i="3"/>
  <c r="E247" i="3"/>
  <c r="E400" i="3"/>
  <c r="E406" i="3"/>
  <c r="E503" i="3"/>
  <c r="E305" i="3"/>
  <c r="E107" i="3"/>
  <c r="E45" i="3"/>
  <c r="E114" i="3"/>
  <c r="E295" i="3"/>
  <c r="E481" i="3"/>
  <c r="E321" i="3"/>
  <c r="E547" i="3"/>
  <c r="E98" i="3"/>
  <c r="E348" i="3"/>
  <c r="E507" i="3"/>
  <c r="E308" i="3"/>
  <c r="E455" i="3"/>
  <c r="E24" i="3"/>
  <c r="E195" i="3"/>
  <c r="E316" i="3"/>
  <c r="E311" i="3"/>
  <c r="E111" i="3"/>
  <c r="E79" i="3"/>
  <c r="E186" i="3"/>
  <c r="E266" i="3"/>
  <c r="E345" i="3"/>
  <c r="AE6" i="3"/>
  <c r="E219" i="3"/>
  <c r="E514" i="3"/>
  <c r="E587" i="3"/>
  <c r="E555" i="3"/>
  <c r="E573" i="3"/>
  <c r="E334" i="3"/>
  <c r="E304" i="3"/>
  <c r="E136" i="3"/>
  <c r="E534" i="3"/>
  <c r="E191" i="3"/>
  <c r="Z6" i="3"/>
  <c r="E183" i="3"/>
  <c r="E549" i="3"/>
  <c r="E294" i="3"/>
  <c r="Q6" i="3"/>
  <c r="E411" i="3"/>
  <c r="E101" i="3"/>
  <c r="E135" i="3"/>
  <c r="E327" i="3"/>
  <c r="E261" i="3"/>
  <c r="E567" i="3"/>
  <c r="E320" i="3"/>
  <c r="E120" i="3"/>
  <c r="U6" i="3"/>
  <c r="E365" i="3"/>
  <c r="E483" i="3"/>
  <c r="E445" i="3"/>
  <c r="E268" i="3"/>
  <c r="E368" i="3"/>
  <c r="AK6" i="3"/>
  <c r="E216" i="3"/>
  <c r="E331" i="3"/>
  <c r="E351" i="3"/>
  <c r="E253" i="3"/>
  <c r="E551" i="3"/>
  <c r="E448" i="3"/>
  <c r="E434" i="3"/>
  <c r="E359" i="3"/>
  <c r="E397" i="3"/>
  <c r="E259" i="3"/>
  <c r="E289" i="3"/>
  <c r="E360" i="3"/>
  <c r="E342" i="3"/>
  <c r="E487" i="3"/>
  <c r="E535" i="3"/>
  <c r="E322" i="3"/>
  <c r="E204" i="3"/>
  <c r="E228" i="3"/>
  <c r="E185" i="3"/>
  <c r="E44" i="3"/>
  <c r="E318" i="3"/>
  <c r="E453" i="3"/>
  <c r="E407" i="3"/>
  <c r="E443" i="3"/>
  <c r="E262" i="3"/>
  <c r="E390" i="3"/>
  <c r="E207" i="3"/>
  <c r="Y6" i="3"/>
  <c r="E62" i="3"/>
  <c r="E420" i="3"/>
  <c r="E356" i="3"/>
  <c r="E519" i="3"/>
  <c r="E378" i="3"/>
  <c r="E278" i="3"/>
  <c r="E358" i="3"/>
  <c r="E275" i="3"/>
  <c r="E293" i="3"/>
  <c r="E248" i="3"/>
  <c r="E91" i="3"/>
  <c r="E546" i="3"/>
  <c r="E242" i="3"/>
  <c r="E217" i="3"/>
  <c r="E545" i="3"/>
  <c r="E210" i="3"/>
  <c r="E336" i="3"/>
  <c r="AG6" i="3"/>
  <c r="E574" i="3"/>
  <c r="E584" i="3"/>
  <c r="E139" i="3"/>
  <c r="E335" i="3"/>
  <c r="E171" i="3"/>
  <c r="E533" i="3"/>
  <c r="E571" i="3"/>
  <c r="E239" i="3"/>
  <c r="E159" i="3"/>
  <c r="E288" i="3"/>
  <c r="E40" i="3"/>
  <c r="E387" i="3"/>
  <c r="E106" i="3"/>
  <c r="E270" i="3"/>
  <c r="E562" i="3"/>
  <c r="E282" i="3"/>
  <c r="E254" i="3"/>
  <c r="E474" i="3"/>
  <c r="E80" i="3"/>
  <c r="E132" i="3"/>
  <c r="E189" i="3"/>
  <c r="E273" i="3"/>
  <c r="E214" i="3"/>
  <c r="E347" i="3"/>
  <c r="AR6" i="3"/>
  <c r="E447" i="3"/>
  <c r="E433" i="3"/>
  <c r="E382" i="3"/>
  <c r="E569" i="3"/>
  <c r="I6" i="3"/>
  <c r="E303" i="3"/>
  <c r="E319" i="3"/>
  <c r="E475" i="3"/>
  <c r="E19" i="3"/>
  <c r="E194" i="3"/>
  <c r="E33" i="3"/>
  <c r="E235" i="3"/>
  <c r="E296" i="3"/>
  <c r="E69" i="3"/>
  <c r="E572" i="3"/>
  <c r="E315" i="3"/>
  <c r="E77" i="3"/>
  <c r="E538" i="3"/>
  <c r="E27" i="3"/>
  <c r="E72" i="3"/>
  <c r="E518" i="3"/>
  <c r="E396" i="3"/>
  <c r="E236" i="3"/>
  <c r="E353" i="3"/>
  <c r="E153" i="3"/>
  <c r="E54" i="3"/>
  <c r="E436" i="3"/>
  <c r="E234" i="3"/>
  <c r="E536" i="3"/>
  <c r="E493" i="3"/>
  <c r="E20" i="3"/>
  <c r="E582" i="3"/>
  <c r="O13" i="1"/>
  <c r="P13" i="1" s="1"/>
  <c r="O11" i="1"/>
  <c r="P11" i="1" s="1"/>
  <c r="E14" i="3"/>
  <c r="E59" i="40"/>
  <c r="C7" i="74"/>
  <c r="E56" i="40"/>
  <c r="P10" i="1"/>
  <c r="AC15" i="33"/>
  <c r="K48" i="35"/>
  <c r="L48" i="35" s="1"/>
  <c r="M48" i="35" s="1"/>
  <c r="N48" i="35" s="1"/>
  <c r="O48" i="35" s="1"/>
  <c r="H7" i="35"/>
  <c r="J7" i="35"/>
  <c r="F63" i="40"/>
  <c r="E65" i="40"/>
  <c r="J7" i="36"/>
  <c r="D46" i="36"/>
  <c r="E46" i="36" s="1"/>
  <c r="F46" i="36" s="1"/>
  <c r="G46" i="36" s="1"/>
  <c r="H46" i="36" s="1"/>
  <c r="I46" i="36" s="1"/>
  <c r="J46" i="36" s="1"/>
  <c r="K46" i="36" s="1"/>
  <c r="L46" i="36" s="1"/>
  <c r="M46" i="36" s="1"/>
  <c r="N46" i="36" s="1"/>
  <c r="O46" i="36" s="1"/>
  <c r="F7" i="36"/>
  <c r="F58" i="33"/>
  <c r="G58" i="33" s="1"/>
  <c r="H58" i="33" s="1"/>
  <c r="I58" i="33" s="1"/>
  <c r="J58" i="33" s="1"/>
  <c r="K58" i="33" s="1"/>
  <c r="L58" i="33" s="1"/>
  <c r="M58" i="33" s="1"/>
  <c r="N58" i="33" s="1"/>
  <c r="O58" i="33" s="1"/>
  <c r="J7" i="33"/>
  <c r="F7" i="35"/>
  <c r="C69" i="39"/>
  <c r="D67" i="39"/>
  <c r="D65" i="40"/>
  <c r="D52" i="37"/>
  <c r="P27" i="43"/>
  <c r="B70" i="39" s="1"/>
  <c r="P28" i="43"/>
  <c r="B66" i="40" s="1"/>
  <c r="C13" i="12"/>
  <c r="P26" i="43"/>
  <c r="A1" i="79"/>
  <c r="C30" i="68"/>
  <c r="C28" i="67"/>
  <c r="G16" i="1"/>
  <c r="T15" i="43"/>
  <c r="V15" i="43" s="1"/>
  <c r="T11" i="43"/>
  <c r="V11" i="43" s="1"/>
  <c r="T7" i="43"/>
  <c r="V7" i="43" s="1"/>
  <c r="T14" i="43"/>
  <c r="V14" i="43" s="1"/>
  <c r="T10" i="43"/>
  <c r="V10" i="43" s="1"/>
  <c r="T4" i="43"/>
  <c r="V4" i="43" s="1"/>
  <c r="T2" i="43"/>
  <c r="V2" i="43" s="1"/>
  <c r="T5" i="43"/>
  <c r="V5" i="43" s="1"/>
  <c r="C38" i="43"/>
  <c r="C39" i="43"/>
  <c r="C37" i="43"/>
  <c r="T13" i="43"/>
  <c r="V13" i="43" s="1"/>
  <c r="T9" i="43"/>
  <c r="V9" i="43" s="1"/>
  <c r="T16" i="43"/>
  <c r="V16" i="43" s="1"/>
  <c r="T12" i="43"/>
  <c r="V12" i="43" s="1"/>
  <c r="T8" i="43"/>
  <c r="V8" i="43" s="1"/>
  <c r="T3" i="43"/>
  <c r="V3" i="43" s="1"/>
  <c r="T6" i="43"/>
  <c r="V6" i="43" s="1"/>
  <c r="C40" i="43"/>
  <c r="J42" i="33"/>
  <c r="AC42" i="33" s="1"/>
  <c r="H42" i="33"/>
  <c r="U42" i="33" s="1"/>
  <c r="F42" i="33"/>
  <c r="S42" i="33" s="1"/>
  <c r="AB42" i="33"/>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C16" i="67"/>
  <c r="C16" i="15"/>
  <c r="G1" i="73"/>
  <c r="D118" i="43" l="1"/>
  <c r="E118" i="43" s="1"/>
  <c r="F118" i="43" s="1"/>
  <c r="G118" i="43" s="1"/>
  <c r="H118" i="43" s="1"/>
  <c r="C35" i="69"/>
  <c r="K23" i="6"/>
  <c r="M23" i="6" s="1"/>
  <c r="I23" i="6" s="1"/>
  <c r="S23" i="6" s="1"/>
  <c r="B119" i="43"/>
  <c r="C119" i="43" s="1"/>
  <c r="K21" i="6"/>
  <c r="K20" i="6"/>
  <c r="M20" i="6" s="1"/>
  <c r="I20" i="6" s="1"/>
  <c r="S20" i="6" s="1"/>
  <c r="K22" i="6"/>
  <c r="M22" i="6" s="1"/>
  <c r="I22" i="6" s="1"/>
  <c r="S22" i="6" s="1"/>
  <c r="K25" i="6"/>
  <c r="M25" i="6" s="1"/>
  <c r="I25" i="6" s="1"/>
  <c r="S25" i="6"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34" i="3"/>
  <c r="AY95" i="3"/>
  <c r="AY111" i="3"/>
  <c r="AY382" i="3"/>
  <c r="AY196" i="3"/>
  <c r="AY204" i="3"/>
  <c r="AY470" i="3"/>
  <c r="AY180" i="3"/>
  <c r="AY358" i="3"/>
  <c r="AY433" i="3"/>
  <c r="AY541" i="3"/>
  <c r="AY45" i="3"/>
  <c r="AY201" i="3"/>
  <c r="AY118" i="3"/>
  <c r="AY231" i="3"/>
  <c r="AY381" i="3"/>
  <c r="AY104" i="3"/>
  <c r="AY177" i="3"/>
  <c r="AY210" i="3"/>
  <c r="AY332" i="3"/>
  <c r="AY446" i="3"/>
  <c r="BM6" i="3"/>
  <c r="AY510" i="3"/>
  <c r="AY163" i="3"/>
  <c r="AY526" i="3"/>
  <c r="AY447" i="3"/>
  <c r="AY85" i="3"/>
  <c r="AY157" i="3"/>
  <c r="AY211" i="3"/>
  <c r="AY186" i="3"/>
  <c r="AY325" i="3"/>
  <c r="AY403" i="3"/>
  <c r="AY532" i="3"/>
  <c r="AY82" i="3"/>
  <c r="AY489" i="3"/>
  <c r="AY379" i="3"/>
  <c r="AY540" i="3"/>
  <c r="AY198" i="3"/>
  <c r="AY134"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176" i="3"/>
  <c r="AY188" i="3"/>
  <c r="AY297" i="3"/>
  <c r="AY335" i="3"/>
  <c r="AY289" i="3"/>
  <c r="AY209" i="3"/>
  <c r="AY441" i="3"/>
  <c r="AY260" i="3"/>
  <c r="AY310"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93" i="3"/>
  <c r="AY286" i="3"/>
  <c r="AY227" i="3"/>
  <c r="AY507" i="3"/>
  <c r="AY29" i="3"/>
  <c r="AY275" i="3"/>
  <c r="AY341" i="3"/>
  <c r="AY480" i="3"/>
  <c r="AY419" i="3"/>
  <c r="AY536" i="3"/>
  <c r="AY584" i="3"/>
  <c r="AY519" i="3"/>
  <c r="AY80" i="3"/>
  <c r="AY189" i="3"/>
  <c r="AY129" i="3"/>
  <c r="AY266" i="3"/>
  <c r="AY369" i="3"/>
  <c r="AY313" i="3"/>
  <c r="AY487" i="3"/>
  <c r="AY453" i="3"/>
  <c r="AY410" i="3"/>
  <c r="AY579" i="3"/>
  <c r="AY115" i="3"/>
  <c r="AY225" i="3"/>
  <c r="AY261" i="3"/>
  <c r="AY26" i="3"/>
  <c r="AY420" i="3"/>
  <c r="AY61" i="3"/>
  <c r="AY133" i="3"/>
  <c r="AY397" i="3"/>
  <c r="AY166" i="3"/>
  <c r="AY348" i="3"/>
  <c r="BQ6" i="3"/>
  <c r="AY90" i="3"/>
  <c r="AY481" i="3"/>
  <c r="AY146" i="3"/>
  <c r="AY40" i="3"/>
  <c r="AY435" i="3"/>
  <c r="AY49" i="3"/>
  <c r="AY212" i="3"/>
  <c r="AY20" i="3"/>
  <c r="AY270" i="3"/>
  <c r="AY88" i="3"/>
  <c r="AY215" i="3"/>
  <c r="AY438" i="3"/>
  <c r="AY552" i="3"/>
  <c r="AY96" i="3"/>
  <c r="AY169" i="3"/>
  <c r="AY223" i="3"/>
  <c r="AY328" i="3"/>
  <c r="AY442" i="3"/>
  <c r="AY499" i="3"/>
  <c r="AY509" i="3"/>
  <c r="AY578" i="3"/>
  <c r="AY78" i="3"/>
  <c r="AY167" i="3"/>
  <c r="AY249" i="3"/>
  <c r="AY376" i="3"/>
  <c r="AY466" i="3"/>
  <c r="AY558" i="3"/>
  <c r="AY587" i="3"/>
  <c r="AY27" i="3"/>
  <c r="AY128" i="3"/>
  <c r="AY256" i="3"/>
  <c r="AY323" i="3"/>
  <c r="AY448" i="3"/>
  <c r="BC6" i="3"/>
  <c r="AY205" i="3"/>
  <c r="AY218"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87" i="3"/>
  <c r="AY152" i="3"/>
  <c r="AY303" i="3"/>
  <c r="AY363" i="3"/>
  <c r="AY228" i="3"/>
  <c r="BK6" i="3"/>
  <c r="AY28" i="3"/>
  <c r="AY294" i="3"/>
  <c r="AY554" i="3"/>
  <c r="AY290" i="3"/>
  <c r="AY488" i="3"/>
  <c r="BF6" i="3"/>
  <c r="AY334" i="3"/>
  <c r="AY574" i="3"/>
  <c r="AY271" i="3"/>
  <c r="AY243" i="3"/>
  <c r="AY527" i="3"/>
  <c r="AY292" i="3"/>
  <c r="AY436" i="3"/>
  <c r="AY173" i="3"/>
  <c r="AY384" i="3"/>
  <c r="AY181" i="3"/>
  <c r="AY309" i="3"/>
  <c r="AY503" i="3"/>
  <c r="AY494" i="3"/>
  <c r="AY48" i="3"/>
  <c r="AY287" i="3"/>
  <c r="AY364" i="3"/>
  <c r="AY471" i="3"/>
  <c r="AY439" i="3"/>
  <c r="D3" i="6"/>
  <c r="AY542" i="3"/>
  <c r="BA6" i="3"/>
  <c r="AY35" i="3"/>
  <c r="AY135" i="3"/>
  <c r="AY264" i="3"/>
  <c r="AY331" i="3"/>
  <c r="AY456" i="3"/>
  <c r="AY517" i="3"/>
  <c r="AY86" i="3"/>
  <c r="AY184" i="3"/>
  <c r="AY119" i="3"/>
  <c r="AY213" i="3"/>
  <c r="AY338" i="3"/>
  <c r="AY416" i="3"/>
  <c r="AY504" i="3"/>
  <c r="AY142" i="3"/>
  <c r="AY385"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44" i="3"/>
  <c r="AY253" i="3"/>
  <c r="AY74" i="3"/>
  <c r="AY409" i="3"/>
  <c r="AY465" i="3"/>
  <c r="AY108" i="3"/>
  <c r="AY138" i="3"/>
  <c r="AY214" i="3"/>
  <c r="AY24" i="3"/>
  <c r="AY349" i="3"/>
  <c r="AY427" i="3"/>
  <c r="AY98" i="3"/>
  <c r="AY390" i="3"/>
  <c r="AY25" i="3"/>
  <c r="BI6" i="3"/>
  <c r="AY464" i="3"/>
  <c r="AY523" i="3"/>
  <c r="AY43" i="3"/>
  <c r="AY69" i="3"/>
  <c r="AY255" i="3"/>
  <c r="BB6" i="3"/>
  <c r="AY258" i="3"/>
  <c r="AY449" i="3"/>
  <c r="AY520" i="3"/>
  <c r="AY101" i="3"/>
  <c r="AY158" i="3"/>
  <c r="AY234" i="3"/>
  <c r="AY344" i="3"/>
  <c r="AY458" i="3"/>
  <c r="AY506" i="3"/>
  <c r="AY502" i="3"/>
  <c r="AY531" i="3"/>
  <c r="AY63" i="3"/>
  <c r="AY187" i="3"/>
  <c r="AY280" i="3"/>
  <c r="AY378" i="3"/>
  <c r="AY314" i="3"/>
  <c r="AY405" i="3"/>
  <c r="BL6" i="3"/>
  <c r="AY70" i="3"/>
  <c r="AY159" i="3"/>
  <c r="AY241" i="3"/>
  <c r="AY367" i="3"/>
  <c r="AY459" i="3"/>
  <c r="BD6" i="3"/>
  <c r="AY498" i="3"/>
  <c r="AY235"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473" i="3"/>
  <c r="AY247" i="3"/>
  <c r="AY495" i="3"/>
  <c r="AY356" i="3"/>
  <c r="AY141" i="3"/>
  <c r="AY580" i="3"/>
  <c r="AY345" i="3"/>
  <c r="BR6" i="3"/>
  <c r="AY221" i="3"/>
  <c r="AY55" i="3"/>
  <c r="AY306" i="3"/>
  <c r="AY321" i="3"/>
  <c r="AY110" i="3"/>
  <c r="AY528" i="3"/>
  <c r="AY413" i="3"/>
  <c r="AY479" i="3"/>
  <c r="AY19" i="3"/>
  <c r="AY71" i="3"/>
  <c r="BT6" i="3"/>
  <c r="AY50" i="3"/>
  <c r="AY190" i="3"/>
  <c r="AY462" i="3"/>
  <c r="AY222" i="3"/>
  <c r="AY573" i="3"/>
  <c r="AY324" i="3"/>
  <c r="AY282" i="3"/>
  <c r="AY524" i="3"/>
  <c r="AY127" i="3"/>
  <c r="AY512" i="3"/>
  <c r="AY391" i="3"/>
  <c r="AY122" i="3"/>
  <c r="AY537" i="3"/>
  <c r="AY482" i="3"/>
  <c r="AY339" i="3"/>
  <c r="AY361" i="3"/>
  <c r="BP6" i="3"/>
  <c r="AY500" i="3"/>
  <c r="AY443" i="3"/>
  <c r="AY66" i="3"/>
  <c r="AY372" i="3"/>
  <c r="AY109" i="3"/>
  <c r="AY425" i="3"/>
  <c r="AY508" i="3"/>
  <c r="AY373" i="3"/>
  <c r="AY514" i="3"/>
  <c r="AY484" i="3"/>
  <c r="AY94" i="3"/>
  <c r="AY346" i="3"/>
  <c r="AY179" i="3"/>
  <c r="AY550" i="3"/>
  <c r="AY461" i="3"/>
  <c r="AY140" i="3"/>
  <c r="AY22" i="3"/>
  <c r="AY64" i="3"/>
  <c r="AY402" i="3"/>
  <c r="AY265" i="3"/>
  <c r="AY143" i="3"/>
  <c r="AY276" i="3"/>
  <c r="AY533" i="3"/>
  <c r="AY242" i="3"/>
  <c r="AY89" i="3"/>
  <c r="AY350" i="3"/>
  <c r="AY161" i="3"/>
  <c r="AY37" i="3"/>
  <c r="AY423" i="3"/>
  <c r="AY192" i="3"/>
  <c r="AY424" i="3"/>
  <c r="AY273" i="3"/>
  <c r="AY586" i="3"/>
  <c r="AY399" i="3"/>
  <c r="AY216" i="3"/>
  <c r="AY288" i="3"/>
  <c r="AY113" i="3"/>
  <c r="AY522" i="3"/>
  <c r="AY315" i="3"/>
  <c r="AY386" i="3"/>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D14" i="12"/>
  <c r="D3" i="37"/>
  <c r="B3" i="37" s="1"/>
  <c r="M18" i="9"/>
  <c r="B118" i="9" s="1"/>
  <c r="L18" i="9"/>
  <c r="D37" i="11"/>
  <c r="C37" i="11" s="1"/>
  <c r="D19" i="11"/>
  <c r="C19" i="11" s="1"/>
  <c r="C20" i="11" s="1"/>
  <c r="D3" i="33"/>
  <c r="B3" i="33" s="1"/>
  <c r="C17" i="4"/>
  <c r="B4" i="52" s="1"/>
  <c r="B43" i="72" s="1"/>
  <c r="H23" i="6"/>
  <c r="E58" i="40"/>
  <c r="D13" i="6"/>
  <c r="E62" i="39"/>
  <c r="E64" i="39"/>
  <c r="E60" i="40"/>
  <c r="E60" i="39"/>
  <c r="D11" i="6"/>
  <c r="E16" i="6"/>
  <c r="D6" i="6"/>
  <c r="D20" i="12"/>
  <c r="C20" i="12" s="1"/>
  <c r="C18" i="12" s="1"/>
  <c r="D10" i="68"/>
  <c r="D10" i="11"/>
  <c r="C10" i="11" s="1"/>
  <c r="D10" i="69"/>
  <c r="S6" i="1"/>
  <c r="K27" i="6"/>
  <c r="M19" i="6"/>
  <c r="O8" i="1"/>
  <c r="O16" i="1" s="1"/>
  <c r="M16" i="1"/>
  <c r="AC6" i="3"/>
  <c r="H6" i="3"/>
  <c r="E6" i="3" s="1"/>
  <c r="F28" i="12"/>
  <c r="C29" i="12" s="1"/>
  <c r="D28" i="12" s="1"/>
  <c r="F27" i="69"/>
  <c r="F27" i="11"/>
  <c r="F27" i="68"/>
  <c r="D116" i="43"/>
  <c r="F7" i="33"/>
  <c r="H7" i="33"/>
  <c r="H7" i="36"/>
  <c r="G63" i="40"/>
  <c r="F65" i="40"/>
  <c r="AA7" i="35"/>
  <c r="R38" i="35" s="1"/>
  <c r="S7" i="35"/>
  <c r="W7" i="36"/>
  <c r="AC7" i="36"/>
  <c r="V36" i="36" s="1"/>
  <c r="I36" i="36" s="1"/>
  <c r="AC7" i="35"/>
  <c r="V38" i="35" s="1"/>
  <c r="I38" i="35" s="1"/>
  <c r="W7" i="35"/>
  <c r="E67" i="39"/>
  <c r="D69" i="39"/>
  <c r="W7" i="33"/>
  <c r="AC7" i="33"/>
  <c r="V48" i="33" s="1"/>
  <c r="S7" i="36"/>
  <c r="AA7" i="36"/>
  <c r="R36" i="36" s="1"/>
  <c r="AB7" i="35"/>
  <c r="T38" i="35" s="1"/>
  <c r="G38" i="35" s="1"/>
  <c r="U7" i="35"/>
  <c r="E52" i="37"/>
  <c r="F52" i="37" s="1"/>
  <c r="G52" i="37" s="1"/>
  <c r="H52" i="37" s="1"/>
  <c r="I52" i="37" s="1"/>
  <c r="J52" i="37" s="1"/>
  <c r="K52" i="37" s="1"/>
  <c r="L52" i="37" s="1"/>
  <c r="M52" i="37" s="1"/>
  <c r="N52" i="37" s="1"/>
  <c r="O52" i="37" s="1"/>
  <c r="F7" i="37"/>
  <c r="J7" i="37"/>
  <c r="G39" i="43"/>
  <c r="I39" i="43" s="1"/>
  <c r="E39" i="43"/>
  <c r="G38" i="43"/>
  <c r="I38" i="43" s="1"/>
  <c r="E38" i="43"/>
  <c r="E40" i="43"/>
  <c r="G40" i="43"/>
  <c r="I40" i="43" s="1"/>
  <c r="E37" i="43"/>
  <c r="G37" i="43"/>
  <c r="I37" i="43" s="1"/>
  <c r="E33" i="43"/>
  <c r="C34" i="43"/>
  <c r="E34" i="43"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7" i="67"/>
  <c r="C17" i="15"/>
  <c r="C14" i="67"/>
  <c r="T7" i="1" l="1"/>
  <c r="S8" i="1"/>
  <c r="S16" i="1" s="1"/>
  <c r="M21" i="6"/>
  <c r="I21" i="6" s="1"/>
  <c r="C18" i="67"/>
  <c r="C15" i="67"/>
  <c r="AQ7" i="1"/>
  <c r="D25" i="6"/>
  <c r="M19" i="9"/>
  <c r="C118" i="9" s="1"/>
  <c r="D29" i="6"/>
  <c r="D22" i="6"/>
  <c r="C18" i="4"/>
  <c r="L19" i="9"/>
  <c r="D21" i="6"/>
  <c r="D23" i="6"/>
  <c r="D24" i="6"/>
  <c r="D28" i="6"/>
  <c r="H26" i="6"/>
  <c r="D8" i="6"/>
  <c r="H20" i="6"/>
  <c r="H22" i="6"/>
  <c r="R22" i="6" s="1"/>
  <c r="D20" i="6"/>
  <c r="D9" i="6"/>
  <c r="D19" i="6"/>
  <c r="D5" i="6"/>
  <c r="H24" i="6"/>
  <c r="R24" i="6" s="1"/>
  <c r="H25" i="6"/>
  <c r="R25" i="6" s="1"/>
  <c r="D10" i="6"/>
  <c r="D14" i="6"/>
  <c r="D15" i="6"/>
  <c r="D16" i="6" s="1"/>
  <c r="E61" i="40"/>
  <c r="D26" i="6"/>
  <c r="D12" i="6"/>
  <c r="C14" i="12"/>
  <c r="D17" i="12"/>
  <c r="C17" i="12" s="1"/>
  <c r="R23" i="6"/>
  <c r="I19" i="6"/>
  <c r="D19" i="68"/>
  <c r="C10" i="68"/>
  <c r="E65" i="39"/>
  <c r="T6" i="1"/>
  <c r="AQ6" i="1"/>
  <c r="AR6" i="1"/>
  <c r="C10" i="69"/>
  <c r="C8" i="69" s="1"/>
  <c r="C5" i="69" s="1"/>
  <c r="D19" i="69"/>
  <c r="P8" i="1"/>
  <c r="P16" i="1" s="1"/>
  <c r="C11" i="12" s="1"/>
  <c r="C15" i="12" s="1"/>
  <c r="F45" i="68"/>
  <c r="C47" i="68"/>
  <c r="D45" i="68" s="1"/>
  <c r="C29" i="68"/>
  <c r="D27" i="68" s="1"/>
  <c r="C29" i="11"/>
  <c r="D27" i="11" s="1"/>
  <c r="C28" i="11"/>
  <c r="C27" i="11" s="1"/>
  <c r="C47" i="11"/>
  <c r="D45" i="11" s="1"/>
  <c r="C34" i="11"/>
  <c r="L16" i="1"/>
  <c r="N16" i="1"/>
  <c r="C34" i="68"/>
  <c r="F45" i="69"/>
  <c r="C47" i="69"/>
  <c r="D45" i="69" s="1"/>
  <c r="C29" i="69"/>
  <c r="D27" i="69" s="1"/>
  <c r="W7" i="37"/>
  <c r="AC7" i="37"/>
  <c r="V42" i="37" s="1"/>
  <c r="I42" i="37" s="1"/>
  <c r="G43" i="35"/>
  <c r="H43" i="35" s="1"/>
  <c r="G42" i="35"/>
  <c r="H42" i="35" s="1"/>
  <c r="I42" i="35"/>
  <c r="J42" i="35" s="1"/>
  <c r="E38" i="35"/>
  <c r="R39" i="35"/>
  <c r="G65" i="40"/>
  <c r="H63" i="40"/>
  <c r="AA7" i="37"/>
  <c r="R42" i="37" s="1"/>
  <c r="S7" i="37"/>
  <c r="R37" i="36"/>
  <c r="E36" i="36"/>
  <c r="I41" i="36"/>
  <c r="J41" i="36" s="1"/>
  <c r="I40" i="36"/>
  <c r="J40" i="36" s="1"/>
  <c r="U7" i="36"/>
  <c r="AB7" i="36"/>
  <c r="T36" i="36" s="1"/>
  <c r="G36" i="36" s="1"/>
  <c r="S7" i="33"/>
  <c r="AA7" i="33"/>
  <c r="R48" i="33" s="1"/>
  <c r="F67" i="39"/>
  <c r="E69" i="39"/>
  <c r="U7" i="33"/>
  <c r="AB7" i="33"/>
  <c r="T48" i="33" s="1"/>
  <c r="H7" i="37"/>
  <c r="W10" i="40"/>
  <c r="AC10" i="40"/>
  <c r="AB10" i="40"/>
  <c r="U10" i="40"/>
  <c r="S10" i="40"/>
  <c r="AA10" i="40"/>
  <c r="S10" i="39"/>
  <c r="AA10" i="39"/>
  <c r="W10" i="39"/>
  <c r="AC10" i="39"/>
  <c r="C31" i="43"/>
  <c r="AB10" i="39"/>
  <c r="U10" i="39"/>
  <c r="C30" i="43"/>
  <c r="F36" i="33"/>
  <c r="H111" i="33"/>
  <c r="I111" i="33" s="1"/>
  <c r="J111" i="33" s="1"/>
  <c r="K111" i="33" s="1"/>
  <c r="L111" i="33" s="1"/>
  <c r="M111" i="33" s="1"/>
  <c r="H36" i="33"/>
  <c r="W36" i="33"/>
  <c r="AC36" i="33"/>
  <c r="I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E6" i="76"/>
  <c r="C19" i="67" l="1"/>
  <c r="C20" i="67" s="1"/>
  <c r="C26" i="67" s="1"/>
  <c r="C15" i="15"/>
  <c r="C18" i="15"/>
  <c r="M27" i="6"/>
  <c r="S21" i="6"/>
  <c r="H21" i="6"/>
  <c r="R21" i="6" s="1"/>
  <c r="R8" i="1" s="1"/>
  <c r="T8" i="1"/>
  <c r="T16" i="1" s="1"/>
  <c r="AR8" i="1"/>
  <c r="AQ8" i="1"/>
  <c r="R20" i="6"/>
  <c r="R7" i="1" s="1"/>
  <c r="D30" i="6"/>
  <c r="D21" i="9"/>
  <c r="C21" i="9"/>
  <c r="G21" i="9"/>
  <c r="R26" i="6"/>
  <c r="D27" i="6"/>
  <c r="D31" i="6" s="1"/>
  <c r="C4" i="52"/>
  <c r="B45" i="72" s="1"/>
  <c r="A10" i="51"/>
  <c r="B9" i="72" s="1"/>
  <c r="A7" i="51"/>
  <c r="B7" i="72" s="1"/>
  <c r="C12" i="12"/>
  <c r="C16" i="12" s="1"/>
  <c r="C21" i="12" s="1"/>
  <c r="D37" i="69"/>
  <c r="C37" i="69" s="1"/>
  <c r="C33" i="69" s="1"/>
  <c r="C39" i="69" s="1"/>
  <c r="C46" i="69" s="1"/>
  <c r="C45" i="69" s="1"/>
  <c r="C19" i="69"/>
  <c r="C20" i="69" s="1"/>
  <c r="C28" i="69" s="1"/>
  <c r="C27" i="69" s="1"/>
  <c r="C19" i="68"/>
  <c r="C20" i="68" s="1"/>
  <c r="C28" i="68" s="1"/>
  <c r="C27" i="68" s="1"/>
  <c r="D37" i="68"/>
  <c r="C37" i="68" s="1"/>
  <c r="S19" i="6"/>
  <c r="S27" i="6" s="1"/>
  <c r="H19" i="6"/>
  <c r="I27" i="6"/>
  <c r="C38" i="11"/>
  <c r="C35" i="11"/>
  <c r="C38" i="68"/>
  <c r="C35" i="68"/>
  <c r="F50" i="11"/>
  <c r="F50" i="69"/>
  <c r="F50" i="68"/>
  <c r="R49" i="33"/>
  <c r="AB7" i="37"/>
  <c r="T42" i="37" s="1"/>
  <c r="G42" i="37" s="1"/>
  <c r="U7" i="37"/>
  <c r="G67" i="39"/>
  <c r="F69" i="39"/>
  <c r="C36" i="36"/>
  <c r="C37" i="36"/>
  <c r="C39" i="35"/>
  <c r="M3" i="35" s="1"/>
  <c r="C38" i="35"/>
  <c r="E42" i="37"/>
  <c r="R43" i="37"/>
  <c r="E43" i="35"/>
  <c r="F43" i="35" s="1"/>
  <c r="E42" i="35"/>
  <c r="F42" i="35" s="1"/>
  <c r="G41" i="36"/>
  <c r="H41" i="36" s="1"/>
  <c r="G40" i="36"/>
  <c r="H40" i="36" s="1"/>
  <c r="E40" i="36"/>
  <c r="F40" i="36" s="1"/>
  <c r="E41" i="36"/>
  <c r="F41" i="36" s="1"/>
  <c r="I63" i="40"/>
  <c r="H65" i="40"/>
  <c r="I46" i="37"/>
  <c r="J46" i="37" s="1"/>
  <c r="I47" i="37"/>
  <c r="J47" i="37" s="1"/>
  <c r="I43" i="35"/>
  <c r="J43" i="35" s="1"/>
  <c r="E2" i="76"/>
  <c r="B2" i="43"/>
  <c r="I52" i="33"/>
  <c r="J52" i="33" s="1"/>
  <c r="AA36" i="33"/>
  <c r="S36" i="33"/>
  <c r="AB36" i="33"/>
  <c r="G48" i="33" s="1"/>
  <c r="U36" i="33"/>
  <c r="C66" i="67"/>
  <c r="C60" i="67"/>
  <c r="N36" i="43"/>
  <c r="L37" i="43"/>
  <c r="O36" i="43"/>
  <c r="P36" i="43"/>
  <c r="Q36" i="43"/>
  <c r="M36" i="43"/>
  <c r="C44" i="68"/>
  <c r="D41" i="68" s="1"/>
  <c r="F41" i="68"/>
  <c r="C26" i="68"/>
  <c r="D22" i="68" s="1"/>
  <c r="C23" i="68"/>
  <c r="C22" i="68" s="1"/>
  <c r="C38" i="67"/>
  <c r="C26" i="69"/>
  <c r="D22" i="69" s="1"/>
  <c r="C44" i="69"/>
  <c r="D41" i="69" s="1"/>
  <c r="F41" i="69"/>
  <c r="C23" i="69"/>
  <c r="C22" i="69" s="1"/>
  <c r="C60" i="15"/>
  <c r="C66" i="15"/>
  <c r="C38" i="15"/>
  <c r="C26" i="12"/>
  <c r="D25" i="12" s="1"/>
  <c r="C25" i="11"/>
  <c r="C26" i="11"/>
  <c r="D22" i="11" s="1"/>
  <c r="C23" i="11"/>
  <c r="C22" i="11" s="1"/>
  <c r="C24" i="11"/>
  <c r="C44" i="11"/>
  <c r="D41" i="11" s="1"/>
  <c r="M21" i="67"/>
  <c r="F35" i="15"/>
  <c r="F35" i="67"/>
  <c r="M21" i="15"/>
  <c r="B6" i="76"/>
  <c r="C23" i="67" l="1"/>
  <c r="C29" i="67" s="1"/>
  <c r="C13" i="67" s="1"/>
  <c r="C75" i="67" s="1"/>
  <c r="C24" i="68"/>
  <c r="C19" i="15"/>
  <c r="C24" i="69"/>
  <c r="J20" i="15"/>
  <c r="J17" i="15" s="1"/>
  <c r="F63" i="67"/>
  <c r="C62" i="67" s="1"/>
  <c r="C59" i="67" s="1"/>
  <c r="C34" i="67"/>
  <c r="C31" i="67" s="1"/>
  <c r="C34" i="15"/>
  <c r="C31" i="15" s="1"/>
  <c r="F63" i="15"/>
  <c r="C62" i="15" s="1"/>
  <c r="C59" i="15" s="1"/>
  <c r="J20" i="67"/>
  <c r="J17" i="67" s="1"/>
  <c r="C25" i="69"/>
  <c r="I5" i="6"/>
  <c r="I6" i="6"/>
  <c r="C33" i="11"/>
  <c r="C42" i="11" s="1"/>
  <c r="C41" i="11" s="1"/>
  <c r="C43" i="69"/>
  <c r="C42" i="69"/>
  <c r="C41" i="69" s="1"/>
  <c r="C49" i="69" s="1"/>
  <c r="C51" i="69" s="1"/>
  <c r="C33" i="68"/>
  <c r="C39" i="68" s="1"/>
  <c r="C22" i="12"/>
  <c r="C30" i="12" s="1"/>
  <c r="C28" i="12" s="1"/>
  <c r="R19" i="6"/>
  <c r="H27" i="6"/>
  <c r="C25" i="68"/>
  <c r="C39" i="11"/>
  <c r="C43" i="11" s="1"/>
  <c r="I65" i="40"/>
  <c r="J63" i="40"/>
  <c r="G69" i="39"/>
  <c r="H67" i="39"/>
  <c r="E47" i="37"/>
  <c r="F47" i="37" s="1"/>
  <c r="E46" i="37"/>
  <c r="F46" i="37" s="1"/>
  <c r="G46" i="37"/>
  <c r="H46" i="37" s="1"/>
  <c r="G47" i="37"/>
  <c r="H47" i="37" s="1"/>
  <c r="C43" i="37"/>
  <c r="C42" i="37"/>
  <c r="B2" i="76"/>
  <c r="B3" i="76" s="1"/>
  <c r="B3" i="43"/>
  <c r="E48" i="33"/>
  <c r="C31" i="68"/>
  <c r="G53" i="33"/>
  <c r="H53" i="33" s="1"/>
  <c r="G52" i="33"/>
  <c r="H52" i="33" s="1"/>
  <c r="C31" i="69"/>
  <c r="C36" i="67"/>
  <c r="J14" i="67"/>
  <c r="J13" i="67" s="1"/>
  <c r="J23" i="67" s="1"/>
  <c r="C57" i="67"/>
  <c r="C64" i="67" s="1"/>
  <c r="Q49" i="67"/>
  <c r="C31" i="11"/>
  <c r="O37" i="43"/>
  <c r="M37" i="43"/>
  <c r="N37" i="43"/>
  <c r="P37" i="43"/>
  <c r="Q37" i="43"/>
  <c r="J59" i="67" l="1"/>
  <c r="J60" i="67" s="1"/>
  <c r="Q48" i="67" s="1"/>
  <c r="C42" i="68"/>
  <c r="C41" i="68" s="1"/>
  <c r="C20" i="15"/>
  <c r="C26" i="15" s="1"/>
  <c r="C27" i="12"/>
  <c r="C25" i="12" s="1"/>
  <c r="C32" i="12" s="1"/>
  <c r="B2" i="12" s="1"/>
  <c r="B3" i="12" s="1"/>
  <c r="C43" i="68"/>
  <c r="C46" i="68"/>
  <c r="C45" i="68" s="1"/>
  <c r="R27" i="6"/>
  <c r="R6" i="1"/>
  <c r="R16" i="1" s="1"/>
  <c r="C46" i="11"/>
  <c r="C45" i="11" s="1"/>
  <c r="C49" i="11" s="1"/>
  <c r="C51" i="11" s="1"/>
  <c r="C52" i="11" s="1"/>
  <c r="B2" i="11" s="1"/>
  <c r="B3" i="11" s="1"/>
  <c r="J65" i="40"/>
  <c r="K63" i="40"/>
  <c r="H69" i="39"/>
  <c r="I67" i="39"/>
  <c r="J22" i="67"/>
  <c r="J16" i="67" s="1"/>
  <c r="J25" i="67" s="1"/>
  <c r="Q70" i="67"/>
  <c r="C37" i="67"/>
  <c r="C30" i="67" s="1"/>
  <c r="C39" i="67" s="1"/>
  <c r="C48" i="33"/>
  <c r="C49" i="33"/>
  <c r="E52" i="33"/>
  <c r="F52" i="33" s="1"/>
  <c r="E53" i="33"/>
  <c r="F53" i="33" s="1"/>
  <c r="I53" i="33"/>
  <c r="J53" i="33" s="1"/>
  <c r="C52" i="69"/>
  <c r="B2" i="69" s="1"/>
  <c r="B3" i="69" s="1"/>
  <c r="C56" i="67"/>
  <c r="C65" i="67" s="1"/>
  <c r="C58" i="67" s="1"/>
  <c r="C67" i="67" s="1"/>
  <c r="C68" i="67" s="1"/>
  <c r="C71" i="67" s="1"/>
  <c r="L46" i="67"/>
  <c r="C23" i="15" l="1"/>
  <c r="C29" i="15" s="1"/>
  <c r="C49" i="68"/>
  <c r="C51" i="68" s="1"/>
  <c r="C52" i="68" s="1"/>
  <c r="B2" i="68" s="1"/>
  <c r="B3" i="68" s="1"/>
  <c r="K65" i="40"/>
  <c r="L63" i="40"/>
  <c r="J67" i="39"/>
  <c r="I69" i="39"/>
  <c r="C80" i="67"/>
  <c r="C79" i="67" s="1"/>
  <c r="C40" i="67"/>
  <c r="D2" i="67" s="1"/>
  <c r="C56" i="11"/>
  <c r="C57" i="11" s="1"/>
  <c r="Q69" i="67"/>
  <c r="Q68" i="67" s="1"/>
  <c r="M44" i="33"/>
  <c r="N44" i="33" s="1"/>
  <c r="N42" i="33"/>
  <c r="M43" i="33"/>
  <c r="N43" i="33" s="1"/>
  <c r="C57" i="69"/>
  <c r="C56" i="69" s="1"/>
  <c r="L51" i="67"/>
  <c r="C57" i="68" l="1"/>
  <c r="C56" i="68" s="1"/>
  <c r="C13" i="15"/>
  <c r="C57" i="15"/>
  <c r="C64" i="15" s="1"/>
  <c r="Q49" i="15"/>
  <c r="J59" i="15"/>
  <c r="J60" i="15" s="1"/>
  <c r="J14" i="15"/>
  <c r="C36" i="15"/>
  <c r="J69" i="39"/>
  <c r="K67" i="39"/>
  <c r="M63" i="40"/>
  <c r="L65" i="40"/>
  <c r="Q56" i="67"/>
  <c r="C45" i="67"/>
  <c r="C46" i="67" s="1"/>
  <c r="Q47" i="67"/>
  <c r="Q53" i="67" s="1"/>
  <c r="C83" i="67"/>
  <c r="C82" i="67" s="1"/>
  <c r="C43" i="67"/>
  <c r="L57" i="67"/>
  <c r="L60" i="67" s="1"/>
  <c r="Q57" i="67" s="1"/>
  <c r="Q67" i="67"/>
  <c r="Q65" i="67"/>
  <c r="B3" i="67"/>
  <c r="B2" i="67"/>
  <c r="J22" i="15" l="1"/>
  <c r="J13" i="15"/>
  <c r="J23" i="15" s="1"/>
  <c r="Q70" i="15"/>
  <c r="C75" i="15"/>
  <c r="C37" i="15"/>
  <c r="C30" i="15" s="1"/>
  <c r="C39" i="15" s="1"/>
  <c r="C56" i="15"/>
  <c r="C65" i="15" s="1"/>
  <c r="C58" i="15" s="1"/>
  <c r="C67" i="15" s="1"/>
  <c r="C68" i="15" s="1"/>
  <c r="Q48" i="15"/>
  <c r="L46" i="15"/>
  <c r="M65" i="40"/>
  <c r="N63" i="40"/>
  <c r="K69" i="39"/>
  <c r="L67" i="39"/>
  <c r="Q62" i="67"/>
  <c r="Q66" i="67"/>
  <c r="Q75" i="67" s="1"/>
  <c r="L51" i="15"/>
  <c r="Q67" i="15" l="1"/>
  <c r="L57" i="15"/>
  <c r="L60" i="15" s="1"/>
  <c r="C71" i="15"/>
  <c r="C40" i="15"/>
  <c r="C46" i="15" s="1"/>
  <c r="Q69" i="15"/>
  <c r="Q68" i="15" s="1"/>
  <c r="C80" i="15"/>
  <c r="C79" i="15" s="1"/>
  <c r="J16" i="15"/>
  <c r="J25" i="15" s="1"/>
  <c r="N65" i="40"/>
  <c r="O63" i="40"/>
  <c r="O65" i="40" s="1"/>
  <c r="L69" i="39"/>
  <c r="M67" i="39"/>
  <c r="Q47" i="15" l="1"/>
  <c r="Q53" i="15" s="1"/>
  <c r="Q65" i="15"/>
  <c r="C43" i="15"/>
  <c r="C83" i="15"/>
  <c r="C82" i="15" s="1"/>
  <c r="B2" i="15"/>
  <c r="B3" i="15" s="1"/>
  <c r="Q56" i="15"/>
  <c r="Q57" i="15"/>
  <c r="Q66" i="15"/>
  <c r="M69" i="39"/>
  <c r="N67" i="39"/>
  <c r="J7" i="40"/>
  <c r="F7" i="40"/>
  <c r="H7" i="40"/>
  <c r="Q62" i="15" l="1"/>
  <c r="Q75" i="15"/>
  <c r="AC7" i="40"/>
  <c r="V42" i="40" s="1"/>
  <c r="I42" i="40" s="1"/>
  <c r="W7" i="40"/>
  <c r="O67" i="39"/>
  <c r="O69" i="39" s="1"/>
  <c r="N69" i="39"/>
  <c r="AA7" i="40"/>
  <c r="R42" i="40" s="1"/>
  <c r="S7" i="40"/>
  <c r="U7" i="40"/>
  <c r="AB7" i="40"/>
  <c r="T42" i="40" s="1"/>
  <c r="G42" i="40" s="1"/>
  <c r="R43" i="40" l="1"/>
  <c r="E42" i="40"/>
  <c r="I47" i="40" s="1"/>
  <c r="J47" i="40" s="1"/>
  <c r="I46" i="40"/>
  <c r="J46" i="40" s="1"/>
  <c r="G46" i="40"/>
  <c r="H46" i="40" s="1"/>
  <c r="G47" i="40"/>
  <c r="H47" i="40" s="1"/>
  <c r="F7" i="39"/>
  <c r="H7" i="39"/>
  <c r="J7" i="39"/>
  <c r="U7" i="39" l="1"/>
  <c r="AB7" i="39"/>
  <c r="T47" i="39" s="1"/>
  <c r="G47" i="39" s="1"/>
  <c r="AA7" i="39"/>
  <c r="R47" i="39" s="1"/>
  <c r="S7" i="39"/>
  <c r="E46" i="40"/>
  <c r="F46" i="40" s="1"/>
  <c r="E47" i="40"/>
  <c r="F47" i="40" s="1"/>
  <c r="W7" i="39"/>
  <c r="AC7" i="39"/>
  <c r="V47" i="39" s="1"/>
  <c r="I47" i="39" s="1"/>
  <c r="C42" i="40"/>
  <c r="C43" i="40"/>
  <c r="E47" i="39" l="1"/>
  <c r="R48" i="39"/>
  <c r="B53" i="40"/>
  <c r="F53" i="40" s="1"/>
  <c r="B54" i="40"/>
  <c r="F54" i="40" s="1"/>
  <c r="B52" i="40"/>
  <c r="F52" i="40" s="1"/>
  <c r="B59" i="40"/>
  <c r="F59" i="40" s="1"/>
  <c r="B56" i="40"/>
  <c r="F56" i="40" s="1"/>
  <c r="B60" i="40"/>
  <c r="F60" i="40" s="1"/>
  <c r="B57" i="40"/>
  <c r="F57" i="40" s="1"/>
  <c r="B58" i="40"/>
  <c r="F58" i="40" s="1"/>
  <c r="B51" i="40"/>
  <c r="F51" i="40" s="1"/>
  <c r="F61" i="40"/>
  <c r="B2" i="40" s="1"/>
  <c r="B3" i="40" s="1"/>
  <c r="G51" i="39"/>
  <c r="H51" i="39" s="1"/>
  <c r="G52" i="39"/>
  <c r="H52" i="39" s="1"/>
  <c r="I51" i="39"/>
  <c r="J51" i="39" s="1"/>
  <c r="C48" i="39" l="1"/>
  <c r="C47" i="39"/>
  <c r="E51" i="39"/>
  <c r="F51" i="39" s="1"/>
  <c r="E52" i="39"/>
  <c r="F52" i="39" s="1"/>
  <c r="I52" i="39"/>
  <c r="J52" i="39" s="1"/>
  <c r="B60" i="39" l="1"/>
  <c r="F60" i="39" s="1"/>
  <c r="B62" i="39"/>
  <c r="F62" i="39" s="1"/>
  <c r="B56" i="39"/>
  <c r="F56" i="39" s="1"/>
  <c r="F65" i="39" s="1"/>
  <c r="B2" i="39" s="1"/>
  <c r="B3" i="39" s="1"/>
  <c r="B64" i="39"/>
  <c r="F64" i="39" s="1"/>
  <c r="B59" i="39"/>
  <c r="F59" i="39" s="1"/>
  <c r="B57" i="39"/>
  <c r="F57" i="39" s="1"/>
  <c r="B61" i="39"/>
  <c r="F61" i="39" s="1"/>
  <c r="B63" i="39"/>
  <c r="F63" i="39" s="1"/>
  <c r="B58" i="39"/>
  <c r="F58" i="39" s="1"/>
  <c r="M54" i="9"/>
  <c r="C97" i="9"/>
  <c r="D58" i="9"/>
  <c r="D56" i="9"/>
  <c r="B32" i="72"/>
  <c r="D14" i="53"/>
  <c r="B49" i="72"/>
  <c r="D5" i="52"/>
  <c r="D119" i="9"/>
  <c r="E81" i="9"/>
  <c r="E80" i="9"/>
  <c r="C80" i="9"/>
  <c r="B21" i="72"/>
  <c r="D7" i="53"/>
  <c r="H5" i="52"/>
  <c r="H119" i="9"/>
  <c r="B52" i="72"/>
  <c r="G4" i="52"/>
  <c r="D54" i="9"/>
  <c r="C68" i="9"/>
  <c r="H102" i="9"/>
  <c r="C5" i="74"/>
  <c r="C73" i="9"/>
  <c r="C78" i="9"/>
  <c r="C6" i="74"/>
  <c r="H4" i="52"/>
  <c r="C104" i="9"/>
  <c r="D9" i="52"/>
  <c r="D123" i="9"/>
  <c r="N60" i="9"/>
  <c r="N59" i="9"/>
  <c r="N61" i="9"/>
  <c r="M48" i="9"/>
  <c r="B47" i="72"/>
  <c r="D118" i="9"/>
  <c r="D4" i="52"/>
  <c r="P57" i="9"/>
  <c r="D55" i="9"/>
  <c r="M53" i="9"/>
  <c r="N57" i="9"/>
  <c r="N58" i="9"/>
  <c r="I4" i="52"/>
  <c r="C105" i="9"/>
  <c r="B22" i="72"/>
  <c r="D6" i="53"/>
  <c r="H108" i="9"/>
  <c r="D15" i="53"/>
  <c r="B31" i="72"/>
  <c r="C86" i="9"/>
  <c r="C93" i="9"/>
  <c r="C72" i="9"/>
  <c r="C79" i="9"/>
  <c r="C81" i="9"/>
  <c r="D122" i="9"/>
  <c r="D8" i="52"/>
  <c r="F119" i="9"/>
  <c r="F5" i="52"/>
  <c r="B53" i="72"/>
  <c r="E118" i="9"/>
  <c r="E4" i="52"/>
  <c r="B48" i="72"/>
  <c r="C64" i="9"/>
  <c r="C63" i="9"/>
  <c r="C67" i="9"/>
  <c r="D59" i="9"/>
  <c r="M55" i="9"/>
  <c r="D5" i="53"/>
  <c r="B20" i="72"/>
  <c r="D52" i="9"/>
  <c r="D53" i="9"/>
  <c r="D45" i="9"/>
  <c r="C85" i="9"/>
  <c r="C95" i="9"/>
  <c r="C96" i="9"/>
  <c r="E96" i="9"/>
  <c r="E97" i="9"/>
  <c r="I118" i="9"/>
  <c r="H118" i="9"/>
  <c r="H101" i="9"/>
  <c r="H107" i="9"/>
  <c r="D13" i="53"/>
  <c r="B30" i="72"/>
  <c r="G118" i="9"/>
  <c r="F118" i="9"/>
  <c r="F4" i="52"/>
  <c r="B5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<sst xmlns="http://schemas.openxmlformats.org/spreadsheetml/2006/main" count="7382" uniqueCount="3362">
  <si>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</si>
  <si>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</si>
  <si>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</si>
  <si>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</si>
  <si>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</si>
  <si>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</si>
  <si>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</si>
  <si>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</si>
  <si>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</si>
  <si>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</si>
  <si>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</si>
  <si>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</si>
  <si>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</si>
  <si>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</si>
  <si>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</si>
  <si>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</si>
  <si>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</si>
  <si>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</si>
  <si>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</si>
  <si>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</si>
  <si>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</si>
  <si>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</si>
  <si>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</si>
  <si>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</si>
  <si>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</si>
  <si>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</si>
  <si>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</si>
  <si>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</si>
  <si>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</si>
  <si>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</si>
  <si>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</si>
  <si>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</si>
  <si>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</si>
  <si>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</si>
  <si>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</si>
  <si>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</si>
  <si>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</si>
  <si>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</si>
  <si>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</si>
  <si>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</si>
  <si>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</si>
  <si>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</si>
  <si>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</si>
  <si>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</si>
  <si>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</si>
  <si>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</si>
  <si>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</si>
  <si>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</si>
  <si>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</si>
  <si>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</si>
  <si>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</si>
  <si>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</si>
  <si>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</si>
  <si>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</si>
  <si>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</si>
  <si>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</si>
  <si>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</si>
  <si>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</si>
  <si>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</si>
  <si>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</si>
  <si>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</si>
  <si>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</si>
  <si>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</si>
  <si>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</si>
  <si>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</si>
  <si>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</si>
  <si>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</si>
  <si>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</si>
  <si>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</si>
  <si>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</si>
  <si>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</si>
  <si>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</si>
  <si>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</si>
  <si>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</si>
  <si>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</si>
  <si>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</si>
  <si>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</si>
  <si>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</si>
  <si>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</si>
  <si>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</si>
  <si>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</si>
  <si>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</si>
  <si>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</si>
  <si>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</si>
  <si>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</si>
  <si>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</si>
  <si>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</si>
  <si>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</si>
  <si>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</si>
  <si>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</si>
  <si>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</si>
  <si>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</si>
  <si>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</si>
  <si>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</si>
  <si>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</si>
  <si>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</si>
  <si>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</si>
  <si>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</si>
  <si>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</si>
  <si>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</si>
  <si>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</si>
  <si>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</si>
  <si>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</si>
  <si>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</si>
  <si>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</si>
  <si>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</si>
  <si>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</si>
  <si>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</si>
  <si>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</si>
  <si>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</si>
  <si>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</si>
  <si>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</si>
  <si>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</si>
  <si>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</si>
  <si>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</si>
  <si>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</si>
  <si>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</si>
  <si>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</si>
  <si>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</si>
  <si>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</si>
  <si>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</si>
  <si>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</si>
  <si>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</si>
  <si>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</si>
  <si>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</si>
  <si>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</si>
  <si>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</si>
  <si>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</si>
  <si>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</si>
  <si>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</si>
  <si>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</si>
  <si>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</si>
  <si>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</si>
  <si>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</si>
  <si>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</si>
  <si>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</si>
  <si>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</si>
  <si>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</si>
  <si>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</si>
  <si>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</si>
  <si>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</si>
  <si>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</si>
  <si>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</si>
  <si>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</si>
  <si>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</si>
  <si>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</si>
  <si>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</si>
  <si>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</si>
  <si>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</si>
  <si>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</si>
  <si>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</si>
  <si>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</si>
  <si>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</si>
  <si>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</si>
  <si>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</si>
  <si>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</si>
  <si>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</si>
  <si>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</si>
  <si>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</si>
  <si>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</si>
  <si>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</si>
  <si>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</si>
  <si>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</si>
  <si>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</si>
  <si>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</si>
  <si>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</si>
  <si>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</si>
  <si>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</si>
  <si>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</si>
  <si>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</si>
  <si>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</si>
  <si>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</si>
  <si>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</si>
  <si>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</si>
  <si>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</si>
  <si>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</si>
  <si>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</si>
  <si>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</si>
  <si>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</si>
  <si>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</si>
  <si>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</si>
  <si>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</si>
  <si>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</si>
  <si>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</si>
  <si>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</si>
  <si>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</si>
  <si>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</si>
  <si>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</si>
  <si>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</si>
  <si>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</si>
  <si>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</si>
  <si>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</si>
  <si>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</si>
  <si>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</si>
  <si>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</si>
  <si>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</si>
  <si>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</si>
  <si>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</si>
  <si>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</si>
  <si>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</si>
  <si>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</si>
  <si>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</si>
  <si>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</si>
  <si>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</si>
  <si>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</si>
  <si>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</si>
  <si>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</si>
  <si>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</si>
  <si>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</si>
  <si>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</si>
  <si>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</si>
  <si>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</si>
  <si>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</si>
  <si>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</si>
  <si>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</si>
  <si>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</si>
  <si>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</si>
  <si>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</si>
  <si>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</si>
  <si>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</si>
  <si>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</si>
  <si>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</si>
  <si>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</si>
  <si>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</si>
  <si>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</si>
  <si>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</si>
  <si>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</si>
  <si>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</si>
  <si>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</si>
  <si>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</si>
  <si>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</si>
  <si>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</si>
  <si>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</si>
  <si>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</si>
  <si>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</si>
  <si>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</si>
  <si>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</si>
  <si>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</si>
  <si>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</si>
  <si>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</si>
  <si>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</si>
  <si>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</si>
  <si>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</si>
  <si>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</si>
  <si>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</si>
  <si>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</si>
  <si>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</si>
  <si>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</si>
  <si>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</si>
  <si>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</si>
  <si>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</si>
  <si>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</si>
  <si>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</si>
  <si>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</si>
  <si>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</si>
  <si>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</si>
  <si>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</si>
  <si>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</si>
  <si>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</si>
  <si>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</si>
  <si>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</si>
  <si>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</si>
  <si>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</si>
  <si>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</si>
  <si>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</si>
  <si>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</si>
  <si>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</si>
  <si>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</si>
  <si>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</si>
  <si>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</si>
  <si>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</si>
  <si>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</si>
  <si>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</si>
  <si>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</si>
  <si>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</si>
  <si>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</si>
  <si>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</si>
  <si>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</si>
  <si>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</si>
  <si>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</si>
  <si>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</si>
  <si>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</si>
  <si>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</si>
  <si>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</si>
  <si>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</si>
  <si>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</si>
  <si>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</si>
  <si>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</si>
  <si>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</si>
  <si>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</si>
  <si>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</si>
  <si>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</si>
  <si>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</si>
  <si>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</si>
  <si>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</si>
  <si>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</si>
  <si>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</si>
  <si>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</si>
  <si>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</si>
  <si>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</si>
  <si>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</si>
  <si>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</si>
  <si>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</si>
  <si>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</si>
  <si>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</si>
  <si>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</si>
  <si>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</si>
  <si>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</si>
  <si>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</si>
  <si>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</si>
  <si>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</si>
  <si>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</si>
  <si>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</si>
  <si>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</si>
  <si>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</si>
  <si>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</si>
  <si>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</si>
  <si>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</si>
  <si>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</si>
  <si>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</si>
  <si>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</si>
  <si>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</si>
  <si>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</si>
  <si>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</si>
  <si>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</si>
  <si>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</si>
  <si>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</si>
  <si>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</si>
  <si>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</si>
  <si>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</si>
  <si>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</si>
  <si>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</si>
  <si>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</si>
  <si>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</si>
  <si>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</si>
  <si>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</si>
  <si>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</si>
  <si>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</si>
  <si>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</si>
  <si>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</si>
  <si>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</si>
  <si>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</si>
  <si>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</si>
  <si>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</si>
  <si>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</si>
  <si>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</si>
  <si>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</si>
  <si>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</si>
  <si>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</si>
  <si>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</si>
  <si>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</si>
  <si>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</si>
  <si>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</si>
  <si>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</si>
  <si>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</si>
  <si>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</si>
  <si>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</si>
  <si>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</si>
  <si>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</si>
  <si>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</si>
  <si>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</si>
  <si>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</si>
  <si>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</si>
  <si>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</si>
  <si>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</si>
  <si>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</si>
  <si>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</si>
  <si>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</si>
  <si>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</si>
  <si>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</si>
  <si>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</si>
  <si>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</si>
  <si>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</si>
  <si>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</si>
  <si>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</si>
  <si>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</si>
  <si>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</si>
  <si>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</si>
  <si>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</si>
  <si>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</si>
  <si>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</si>
  <si>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</si>
  <si>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</si>
  <si>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</si>
  <si>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</si>
  <si>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</si>
  <si>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</si>
  <si>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</si>
  <si>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</si>
  <si>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</si>
  <si>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</si>
  <si>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</si>
  <si>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</si>
  <si>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</si>
  <si>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</si>
  <si>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</si>
  <si>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</si>
  <si>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</si>
  <si>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</si>
  <si>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</si>
  <si>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</si>
  <si>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</si>
  <si>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</si>
  <si>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</si>
  <si>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</si>
  <si>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</si>
  <si>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</si>
  <si>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</si>
  <si>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</si>
  <si>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</si>
  <si>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</si>
  <si>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</si>
  <si>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</si>
  <si>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</si>
  <si>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</si>
  <si>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</si>
  <si>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</si>
  <si>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</si>
  <si>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</si>
  <si>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</si>
  <si>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</si>
  <si>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</si>
  <si>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</si>
  <si>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</si>
  <si>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</si>
  <si>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</si>
  <si>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</si>
  <si>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</si>
  <si>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</si>
  <si>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</si>
  <si>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</si>
  <si>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</si>
  <si>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</si>
  <si>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</si>
  <si>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</si>
  <si>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</si>
  <si>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</si>
  <si>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</si>
  <si>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</si>
  <si>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</si>
  <si>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</si>
  <si>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</si>
  <si>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</si>
  <si>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</si>
  <si>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</si>
  <si>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</si>
  <si>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</si>
  <si>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</si>
  <si>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</si>
  <si>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</si>
  <si>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</si>
  <si>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</si>
  <si>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</si>
  <si>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</si>
  <si>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</si>
  <si>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</si>
  <si>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</si>
  <si>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</si>
  <si>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</si>
  <si>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</si>
  <si>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</si>
  <si>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</si>
  <si>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</si>
  <si>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</si>
  <si>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</si>
  <si>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</si>
  <si>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</si>
  <si>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</si>
  <si>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</si>
  <si>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</si>
  <si>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</si>
  <si>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</si>
  <si>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</si>
  <si>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</si>
  <si>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</si>
  <si>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</si>
  <si>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</si>
  <si>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</si>
  <si>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</si>
  <si>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</si>
  <si>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</si>
  <si>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</si>
  <si>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</si>
  <si>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</si>
  <si>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</si>
  <si>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</si>
  <si>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</si>
  <si>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</si>
  <si>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</si>
  <si>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</si>
  <si>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</si>
  <si>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</si>
  <si>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</si>
  <si>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</si>
  <si>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</si>
  <si>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</si>
  <si>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</si>
  <si>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</si>
  <si>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</si>
  <si>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</si>
  <si>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</si>
  <si>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</si>
  <si>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</si>
  <si>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</si>
  <si>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</si>
  <si>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</si>
  <si>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</si>
  <si>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</si>
  <si>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</si>
  <si>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</si>
  <si>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</si>
  <si>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</si>
  <si>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</si>
  <si>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</si>
  <si>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</si>
  <si>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</si>
  <si>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</si>
  <si>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</si>
  <si>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</si>
  <si>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</si>
  <si>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</si>
  <si>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</si>
  <si>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</si>
  <si>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</si>
  <si>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</si>
  <si>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</si>
  <si>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</si>
  <si>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</si>
  <si>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</si>
  <si>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</si>
  <si>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</si>
  <si>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</si>
  <si>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</si>
  <si>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</si>
  <si>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</si>
  <si>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</si>
  <si>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</si>
  <si>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</si>
  <si>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</si>
  <si>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</si>
  <si>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</si>
  <si>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</si>
  <si>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</si>
  <si>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</si>
  <si>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</si>
  <si>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</si>
  <si>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</si>
  <si>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</si>
  <si>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</si>
  <si>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</si>
  <si>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</si>
  <si>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</si>
  <si>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</si>
  <si>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</si>
  <si>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</si>
  <si>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</si>
  <si>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</si>
  <si>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</si>
  <si>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</si>
  <si>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</si>
  <si>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</si>
  <si>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</si>
  <si>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</si>
  <si>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</si>
  <si>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</si>
  <si>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</si>
  <si>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</si>
  <si>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</si>
  <si>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</si>
  <si>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</si>
  <si>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</si>
  <si>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</si>
  <si>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</si>
  <si>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</si>
  <si>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</si>
  <si>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</si>
  <si>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</si>
  <si>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</si>
  <si>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</si>
  <si>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</si>
  <si>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</si>
  <si>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</si>
  <si>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</si>
  <si>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</si>
  <si>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</si>
  <si>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</si>
  <si>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</si>
  <si>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</si>
  <si>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</si>
  <si>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</si>
  <si>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</si>
  <si>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</si>
  <si>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</si>
  <si>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</si>
  <si>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</si>
  <si>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</si>
  <si>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</si>
  <si>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</si>
  <si>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</si>
  <si>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</si>
  <si>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</si>
  <si>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</si>
  <si>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</si>
  <si>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</si>
  <si>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</si>
  <si>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</si>
  <si>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</si>
  <si>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</si>
  <si>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</si>
  <si>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</si>
  <si>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</si>
  <si>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</si>
  <si>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</si>
  <si>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</si>
  <si>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</si>
  <si>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</si>
  <si>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</si>
  <si>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</si>
  <si>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</si>
  <si>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</si>
  <si>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</si>
  <si>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</si>
  <si>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</si>
  <si>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</si>
  <si>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</si>
  <si>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</si>
  <si>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</si>
  <si>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</si>
  <si>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</si>
  <si>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</si>
  <si>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</si>
  <si>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</si>
  <si>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</si>
  <si>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</si>
  <si>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</si>
  <si>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</si>
  <si>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</si>
  <si>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</si>
  <si>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</si>
  <si>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</si>
  <si>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</si>
  <si>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</si>
  <si>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</si>
  <si>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</si>
  <si>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</si>
  <si>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</si>
  <si>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</si>
  <si>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</si>
  <si>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</si>
  <si>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</si>
  <si>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</si>
  <si>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</si>
  <si>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</si>
  <si>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</si>
  <si>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</si>
  <si>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</si>
  <si>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</si>
  <si>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</si>
  <si>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</si>
  <si>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</si>
  <si>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</si>
  <si>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</si>
  <si>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</si>
  <si>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</si>
  <si>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</si>
  <si>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</si>
  <si>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</si>
  <si>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</si>
  <si>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</si>
  <si>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</si>
  <si>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</si>
  <si>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</si>
  <si>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</si>
  <si>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</si>
  <si>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</si>
  <si>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</si>
  <si>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</si>
  <si>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</si>
  <si>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</si>
  <si>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</si>
  <si>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</si>
  <si>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</si>
  <si>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</si>
  <si>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</si>
  <si>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</si>
  <si>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</si>
  <si>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</si>
  <si>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</si>
  <si>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</si>
  <si>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</si>
  <si>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</si>
  <si>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</si>
  <si>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</si>
  <si>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</si>
  <si>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</si>
  <si>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</si>
  <si>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</si>
  <si>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</si>
  <si>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</si>
  <si>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</si>
  <si>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</si>
  <si>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</si>
  <si>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</si>
  <si>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</si>
  <si>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</si>
  <si>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</si>
  <si>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</si>
  <si>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</si>
  <si>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</si>
  <si>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</si>
  <si>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</si>
  <si>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</si>
  <si>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</si>
  <si>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</si>
  <si>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</si>
  <si>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</si>
  <si>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</si>
  <si>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</si>
  <si>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</si>
  <si>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</si>
  <si>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</si>
  <si>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</si>
  <si>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</si>
  <si>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</si>
  <si>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</si>
  <si>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</si>
  <si>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</si>
  <si>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</si>
  <si>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</si>
  <si>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</si>
  <si>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</si>
  <si>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</si>
  <si>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</si>
  <si>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</si>
  <si>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</si>
  <si>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</si>
  <si>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</si>
  <si>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</si>
  <si>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</si>
  <si>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</si>
  <si>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</si>
  <si>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</si>
  <si>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</si>
  <si>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</si>
  <si>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</si>
  <si>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</si>
  <si>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</si>
  <si>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</si>
  <si>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</si>
  <si>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</si>
  <si>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</si>
  <si>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</si>
  <si>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</si>
  <si>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</si>
  <si>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</si>
  <si>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</si>
  <si>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</si>
  <si>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</si>
  <si>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</si>
  <si>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</si>
  <si>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</si>
  <si>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</si>
  <si>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</si>
  <si>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</si>
  <si>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</si>
  <si>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</si>
  <si>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</si>
  <si>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</si>
  <si>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</si>
  <si>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</si>
  <si>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</si>
  <si>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</si>
  <si>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</si>
  <si>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</si>
  <si>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</si>
  <si>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</si>
  <si>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</si>
  <si>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</si>
  <si>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</si>
  <si>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</si>
  <si>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</si>
  <si>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</si>
  <si>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</si>
  <si>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</si>
  <si>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</si>
  <si>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</si>
  <si>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</si>
  <si>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</si>
  <si>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</si>
  <si>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</si>
  <si>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</si>
  <si>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</si>
  <si>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</si>
  <si>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</si>
  <si>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</si>
  <si>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</si>
  <si>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</si>
  <si>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</si>
  <si>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</si>
  <si>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</si>
  <si>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</si>
  <si>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</si>
  <si>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</si>
  <si>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</si>
  <si>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</si>
  <si>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</si>
  <si>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</si>
  <si>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</si>
  <si>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</si>
  <si>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</si>
  <si>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</si>
  <si>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</si>
  <si>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</si>
  <si>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</si>
  <si>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</si>
  <si>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</si>
  <si>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</si>
  <si>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</si>
  <si>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</si>
  <si>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</si>
  <si>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</si>
  <si>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</si>
  <si>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</si>
  <si>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</si>
  <si>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</si>
  <si>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</si>
  <si>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</si>
  <si>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</si>
  <si>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</si>
  <si>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</si>
  <si>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</si>
  <si>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</si>
  <si>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</si>
  <si>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</si>
  <si>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</si>
  <si>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</si>
  <si>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</si>
  <si>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</si>
  <si>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</si>
  <si>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</si>
  <si>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</si>
  <si>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</si>
  <si>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</si>
  <si>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</si>
  <si>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</si>
  <si>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</si>
  <si>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</si>
  <si>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</si>
  <si>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</si>
  <si>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</si>
  <si>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</si>
  <si>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</si>
  <si>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</si>
  <si>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</si>
  <si>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</si>
  <si>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</si>
  <si>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</si>
  <si>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</si>
  <si>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</si>
  <si>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</si>
  <si>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</si>
  <si>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</si>
  <si>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</si>
  <si>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</si>
  <si>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</si>
  <si>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</si>
  <si>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</si>
  <si>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</si>
  <si>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</si>
  <si>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</si>
  <si>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</si>
  <si>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</si>
  <si>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</si>
  <si>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</si>
  <si>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</si>
  <si>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</si>
  <si>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</si>
  <si>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</si>
  <si>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</si>
  <si>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</si>
  <si>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</si>
  <si>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</si>
  <si>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</si>
  <si>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</si>
  <si>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</si>
  <si>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</si>
  <si>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</si>
  <si>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</si>
  <si>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</si>
  <si>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</si>
  <si>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</si>
  <si>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</si>
  <si>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</si>
  <si>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</si>
  <si>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</si>
  <si>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</si>
  <si>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</si>
  <si>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</si>
  <si>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</si>
  <si>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</si>
  <si>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</si>
  <si>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</si>
  <si>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</si>
  <si>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</si>
  <si>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</si>
  <si>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</si>
  <si>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</si>
  <si>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</si>
  <si>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</si>
  <si>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</si>
  <si>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</si>
  <si>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</si>
  <si>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</si>
  <si>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</si>
  <si>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</si>
  <si>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</si>
  <si>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</si>
  <si>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</si>
  <si>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</si>
  <si>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</si>
  <si>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</si>
  <si>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</si>
  <si>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</si>
  <si>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</si>
  <si>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</si>
  <si>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</si>
  <si>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</si>
  <si>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</si>
  <si>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</si>
  <si>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</si>
  <si>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</si>
  <si>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</si>
  <si>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</si>
  <si>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</si>
  <si>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</si>
  <si>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</si>
  <si>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</si>
  <si>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</si>
  <si>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</si>
  <si>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</si>
  <si>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</si>
  <si>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</si>
  <si>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</si>
  <si>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</si>
  <si>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</si>
  <si>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</si>
  <si>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</si>
  <si>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</si>
  <si>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</si>
  <si>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</si>
  <si>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</si>
  <si>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</si>
  <si>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</si>
  <si>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</si>
  <si>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</si>
  <si>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</si>
  <si>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</si>
  <si>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</si>
  <si>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</si>
  <si>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</si>
  <si>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</si>
  <si>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</si>
  <si>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</si>
  <si>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</si>
  <si>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</si>
  <si>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</si>
  <si>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</si>
  <si>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</si>
  <si>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</si>
  <si>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</si>
  <si>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</si>
  <si>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</si>
  <si>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</si>
  <si>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</si>
  <si>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</si>
  <si>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</si>
  <si>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</si>
  <si>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</si>
  <si>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</si>
  <si>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</si>
  <si>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</si>
  <si>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</si>
  <si>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</si>
  <si>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</si>
  <si>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</si>
  <si>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</si>
  <si>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</si>
  <si>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</si>
  <si>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</si>
  <si>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</si>
  <si>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</si>
  <si>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</si>
  <si>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</si>
  <si>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</si>
  <si>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</si>
  <si>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</si>
  <si>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</si>
  <si>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</si>
  <si>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</si>
  <si>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</si>
  <si>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</si>
  <si>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</si>
  <si>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</si>
  <si>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</si>
  <si>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</si>
  <si>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</si>
  <si>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</si>
  <si>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</si>
  <si>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</si>
  <si>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</si>
  <si>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</si>
  <si>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</si>
  <si>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</si>
  <si>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</si>
  <si>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</si>
  <si>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</si>
  <si>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</si>
  <si>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</si>
  <si>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</si>
  <si>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</si>
  <si>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</si>
  <si>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</si>
  <si>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</si>
  <si>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</si>
  <si>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</si>
  <si>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</si>
  <si>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</si>
  <si>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</si>
  <si>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</si>
  <si>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</si>
  <si>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</si>
  <si>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</si>
  <si>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</si>
  <si>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</si>
  <si>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</si>
  <si>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</si>
  <si>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</si>
  <si>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</si>
  <si>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</si>
  <si>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</si>
  <si>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</si>
  <si>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</si>
  <si>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</si>
  <si>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</si>
  <si>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</si>
  <si>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</si>
  <si>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</si>
  <si>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</si>
  <si>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</si>
  <si>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</si>
  <si>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</si>
  <si>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</si>
  <si>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</si>
  <si>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</si>
  <si>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</si>
  <si>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</si>
  <si>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</si>
  <si>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</si>
  <si>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</si>
  <si>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</si>
  <si>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</si>
  <si>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</si>
  <si>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</si>
  <si>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</si>
  <si>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</si>
  <si>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</si>
  <si>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</si>
  <si>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</si>
  <si>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</si>
  <si>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</si>
  <si>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</si>
  <si>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</si>
  <si>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</si>
  <si>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</si>
  <si>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</si>
  <si>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</si>
  <si>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</si>
  <si>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</si>
  <si>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</si>
  <si>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</si>
  <si>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</si>
  <si>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</si>
  <si>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</si>
  <si>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</si>
  <si>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</si>
  <si>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</si>
  <si>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</si>
  <si>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</si>
  <si>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</si>
  <si>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</si>
  <si>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</si>
  <si>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</si>
  <si>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</si>
  <si>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</si>
  <si>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</si>
  <si>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</si>
  <si>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</si>
  <si>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</si>
  <si>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</si>
  <si>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</si>
  <si>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</si>
  <si>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</si>
  <si>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</si>
  <si>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</si>
  <si>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</si>
  <si>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</si>
  <si>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</si>
  <si>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</si>
  <si>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</si>
  <si>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</si>
  <si>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</si>
  <si>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</si>
  <si>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</si>
  <si>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</si>
  <si>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</si>
  <si>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</si>
  <si>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</si>
  <si>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</si>
  <si>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</si>
  <si>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</si>
  <si>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</si>
  <si>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</si>
  <si>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</si>
  <si>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</si>
  <si>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</si>
  <si>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</si>
  <si>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</si>
  <si>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</si>
  <si>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</si>
  <si>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</si>
  <si>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</si>
  <si>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</si>
  <si>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</si>
  <si>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</si>
  <si>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</si>
  <si>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</si>
  <si>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</si>
  <si>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</si>
  <si>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</si>
  <si>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</si>
  <si>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</si>
  <si>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</si>
  <si>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</si>
  <si>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</si>
  <si>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</si>
  <si>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</si>
  <si>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</si>
  <si>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</si>
  <si>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</si>
  <si>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</si>
  <si>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</si>
  <si>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</si>
  <si>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</si>
  <si>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</si>
  <si>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</si>
  <si>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</si>
  <si>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</si>
  <si>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</si>
  <si>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</si>
  <si>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</si>
  <si>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</si>
  <si>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</si>
  <si>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</si>
  <si>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</si>
  <si>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</si>
  <si>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</si>
  <si>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</si>
  <si>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</si>
  <si>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</si>
  <si>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</si>
  <si>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</si>
  <si>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</si>
  <si>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</si>
  <si>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</si>
  <si>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</si>
  <si>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</si>
  <si>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</si>
  <si>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</si>
  <si>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</si>
  <si>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</si>
  <si>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</si>
  <si>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</si>
  <si>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</si>
  <si>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</si>
  <si>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</si>
  <si>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</si>
  <si>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</si>
  <si>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</si>
  <si>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</si>
  <si>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</si>
  <si>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</si>
  <si>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</si>
  <si>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</si>
  <si>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</si>
  <si>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</si>
  <si>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</si>
  <si>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</si>
  <si>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</si>
  <si>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</si>
  <si>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</si>
  <si>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</si>
  <si>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</si>
  <si>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</si>
  <si>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</si>
  <si>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</si>
  <si>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</si>
  <si>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</si>
  <si>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</si>
  <si>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</si>
  <si>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</si>
  <si>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</si>
  <si>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</si>
  <si>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</si>
  <si>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</si>
  <si>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</si>
  <si>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</si>
  <si>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</si>
  <si>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</si>
  <si>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</si>
  <si>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</si>
  <si>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</si>
  <si>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</si>
  <si>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</si>
  <si>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</si>
  <si>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</si>
  <si>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</si>
  <si>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</si>
  <si>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</si>
  <si>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</si>
  <si>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</si>
  <si>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</si>
  <si>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</si>
  <si>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</si>
  <si>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</si>
  <si>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</si>
  <si>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</si>
  <si>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</si>
  <si>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</si>
  <si>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</si>
  <si>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</si>
  <si>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</si>
  <si>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</si>
  <si>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</si>
  <si>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</si>
  <si>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</si>
  <si>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</si>
  <si>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</si>
  <si>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</si>
  <si>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</si>
  <si>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</si>
  <si>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</si>
  <si>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</si>
  <si>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</si>
  <si>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</si>
  <si>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</si>
  <si>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</si>
  <si>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</si>
  <si>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</si>
  <si>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</si>
  <si>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</si>
  <si>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</si>
  <si>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</si>
  <si>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</si>
  <si>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</si>
  <si>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</si>
  <si>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</si>
  <si>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</si>
  <si>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</si>
  <si>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</si>
  <si>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</si>
  <si>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</si>
  <si>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</si>
  <si>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</si>
  <si>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</si>
  <si>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</si>
  <si>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</si>
  <si>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</si>
  <si>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</si>
  <si>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</si>
  <si>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</si>
  <si>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</si>
  <si>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</si>
  <si>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</si>
  <si>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</si>
  <si>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</si>
  <si>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</si>
  <si>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</si>
  <si>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</si>
  <si>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</si>
  <si>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</si>
  <si>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</si>
  <si>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</si>
  <si>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</si>
  <si>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</si>
  <si>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</si>
  <si>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</si>
  <si>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</si>
  <si>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</si>
  <si>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</si>
  <si>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</si>
  <si>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</si>
  <si>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</si>
  <si>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</si>
  <si>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</si>
  <si>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</si>
  <si>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</si>
  <si>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</si>
  <si>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</si>
  <si>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</si>
  <si>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</si>
  <si>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</si>
  <si>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</si>
  <si>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</si>
  <si>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</si>
  <si>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</si>
  <si>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</si>
  <si>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</si>
  <si>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</si>
  <si>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</si>
  <si>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</si>
  <si>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</si>
  <si>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</si>
  <si>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</si>
  <si>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</si>
  <si>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</si>
  <si>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</si>
  <si>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</si>
  <si>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</si>
  <si>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</si>
  <si>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</si>
  <si>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</si>
  <si>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</si>
  <si>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</si>
  <si>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</si>
  <si>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</si>
  <si>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</si>
  <si>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</si>
  <si>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</si>
  <si>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</si>
  <si>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</si>
  <si>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</si>
  <si>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</si>
  <si>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</si>
  <si>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</si>
  <si>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</si>
  <si>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</si>
  <si>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</si>
  <si>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</si>
  <si>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</si>
  <si>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</si>
  <si>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</si>
  <si>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</si>
  <si>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</si>
  <si>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</si>
  <si>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</si>
  <si>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</si>
  <si>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</si>
  <si>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</si>
  <si>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</si>
  <si>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</si>
  <si>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</si>
  <si>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</si>
  <si>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</si>
  <si>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</si>
  <si>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</si>
  <si>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</si>
  <si>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</si>
  <si>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</si>
  <si>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</si>
  <si>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</si>
  <si>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</si>
  <si>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</si>
  <si>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</si>
  <si>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</si>
  <si>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</si>
  <si>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</si>
  <si>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</si>
  <si>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</si>
  <si>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</si>
  <si>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</si>
  <si>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</si>
  <si>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</si>
  <si>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</si>
  <si>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</si>
  <si>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</si>
  <si>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</si>
  <si>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</si>
  <si>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</si>
  <si>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</si>
  <si>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</si>
  <si>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</si>
  <si>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</si>
  <si>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</si>
  <si>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</si>
  <si>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</si>
  <si>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</si>
  <si>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</si>
  <si>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</si>
  <si>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</si>
  <si>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</si>
  <si>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</si>
  <si>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</si>
  <si>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</si>
  <si>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</si>
  <si>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</si>
  <si>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</si>
  <si>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</si>
  <si>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</si>
  <si>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</si>
  <si>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</si>
  <si>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</si>
  <si>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</si>
  <si>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</si>
  <si>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</si>
  <si>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</si>
  <si>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</si>
  <si>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</si>
  <si>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</si>
  <si>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</si>
  <si>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</si>
  <si>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</si>
  <si>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</si>
  <si>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</si>
  <si>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</si>
  <si>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</si>
  <si>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</si>
  <si>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</si>
  <si>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</si>
  <si>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</si>
  <si>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</si>
  <si>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</si>
  <si>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</si>
  <si>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</si>
  <si>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</si>
  <si>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</si>
  <si>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</si>
  <si>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</si>
  <si>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</si>
  <si>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</si>
  <si>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</si>
  <si>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</si>
  <si>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</si>
  <si>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</si>
  <si>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</si>
  <si>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</si>
  <si>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</si>
  <si>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</si>
  <si>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</si>
  <si>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</si>
  <si>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</si>
  <si>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</si>
  <si>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</si>
  <si>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</si>
  <si>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</si>
  <si>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</si>
  <si>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</si>
  <si>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</si>
  <si>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</si>
  <si>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</si>
  <si>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</si>
  <si>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</si>
  <si>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</si>
  <si>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</si>
  <si>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</si>
  <si>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</si>
  <si>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</si>
  <si>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</si>
  <si>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</si>
  <si>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</si>
  <si>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</si>
  <si>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</si>
  <si>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</si>
  <si>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</si>
  <si>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</si>
  <si>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</si>
  <si>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</si>
  <si>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</si>
  <si>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</si>
  <si>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</si>
  <si>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</si>
  <si>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</si>
  <si>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</si>
  <si>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</si>
  <si>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</si>
  <si>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</si>
  <si>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</si>
  <si>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</si>
  <si>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</si>
  <si>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</si>
  <si>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</si>
  <si>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</si>
  <si>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</si>
  <si>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</si>
  <si>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</si>
  <si>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</si>
  <si>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</si>
  <si>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</si>
  <si>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</si>
  <si>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</si>
  <si>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</si>
  <si>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</si>
  <si>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</si>
  <si>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</si>
  <si>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</si>
  <si>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</si>
  <si>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</si>
  <si>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</si>
  <si>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</si>
  <si>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</si>
  <si>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</si>
  <si>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</si>
  <si>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</si>
  <si>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</si>
  <si>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</si>
  <si>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</si>
  <si>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</si>
  <si>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</si>
  <si>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</si>
  <si>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</si>
  <si>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</si>
  <si>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</si>
  <si>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</si>
  <si>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</si>
  <si>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</si>
  <si>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</si>
  <si>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</si>
  <si>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</si>
  <si>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</si>
  <si>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</si>
  <si>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</si>
  <si>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</si>
  <si>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</si>
  <si>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</si>
  <si>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</si>
  <si>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</si>
  <si>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</si>
  <si>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</si>
  <si>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</si>
  <si>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</si>
  <si>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</si>
  <si>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</si>
  <si>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</si>
  <si>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</si>
  <si>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</si>
  <si>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</si>
  <si>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</si>
  <si>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</si>
  <si>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</si>
  <si>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</si>
  <si>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</si>
  <si>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</si>
  <si>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</si>
  <si>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</si>
  <si>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</si>
  <si>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</si>
  <si>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</si>
  <si>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</si>
  <si>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</si>
  <si>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</si>
  <si>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</si>
  <si>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</si>
  <si>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</si>
  <si>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</si>
  <si>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</si>
  <si>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</si>
  <si>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</si>
  <si>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</si>
  <si>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</si>
  <si>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</si>
  <si>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</si>
  <si>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</si>
  <si>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</si>
  <si>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</si>
  <si>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</si>
  <si>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</si>
  <si>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</si>
  <si>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</si>
  <si>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</si>
  <si>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</si>
  <si>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</si>
  <si>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</si>
  <si>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</si>
  <si>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</si>
  <si>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</si>
  <si>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</si>
  <si>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</si>
  <si>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</si>
  <si>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</si>
  <si>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</si>
  <si>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</si>
  <si>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</si>
  <si>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</si>
  <si>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</si>
  <si>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</si>
  <si>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</si>
  <si>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</si>
  <si>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</si>
  <si>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</si>
  <si>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</si>
  <si>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</si>
  <si>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</si>
  <si>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</si>
  <si>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</si>
  <si>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</si>
  <si>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</si>
  <si>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</si>
  <si>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</si>
  <si>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</si>
  <si>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</si>
  <si>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</si>
  <si>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</si>
  <si>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</si>
  <si>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</si>
  <si>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</si>
  <si>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</si>
  <si>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</si>
  <si>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</si>
  <si>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</si>
  <si>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</si>
  <si>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</si>
  <si>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</si>
  <si>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</si>
  <si>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</si>
  <si>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</si>
  <si>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</si>
  <si>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</si>
  <si>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</si>
  <si>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</si>
  <si>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</si>
  <si>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</si>
  <si>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</si>
  <si>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</si>
  <si>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</si>
  <si>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</si>
  <si>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</si>
  <si>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</si>
  <si>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</si>
  <si>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</si>
  <si>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</si>
  <si>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</si>
  <si>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</si>
  <si>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</si>
  <si>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</si>
  <si>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</si>
  <si>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</si>
  <si>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</si>
  <si>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</si>
  <si>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</si>
  <si>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</si>
  <si>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</si>
  <si>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</si>
  <si>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</si>
  <si>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</si>
  <si>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</si>
  <si>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</si>
  <si>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</si>
  <si>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</si>
  <si>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</si>
  <si>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</si>
  <si>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</si>
  <si>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</si>
  <si>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</si>
  <si>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</si>
  <si>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</si>
  <si>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</si>
  <si>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</si>
  <si>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</si>
  <si>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</si>
  <si>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</si>
  <si>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</si>
  <si>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</si>
  <si>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</si>
  <si>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</si>
  <si>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</si>
  <si>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</si>
  <si>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</si>
  <si>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</si>
  <si>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</si>
  <si>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</si>
  <si>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</si>
  <si>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</si>
  <si>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</si>
  <si>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</si>
  <si>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</si>
  <si>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</si>
  <si>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</si>
  <si>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</si>
  <si>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</si>
  <si>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</si>
  <si>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</si>
  <si>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</si>
  <si>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</si>
  <si>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</si>
  <si>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</si>
  <si>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</si>
  <si>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</si>
  <si>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</si>
  <si>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</si>
  <si>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</si>
  <si>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</si>
  <si>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</si>
  <si>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</si>
  <si>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</si>
  <si>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</si>
  <si>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</si>
  <si>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</si>
  <si>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</si>
  <si>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</si>
  <si>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</si>
  <si>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</si>
  <si>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</si>
  <si>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</si>
  <si>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</si>
  <si>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</si>
  <si>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</si>
  <si>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</si>
  <si>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</si>
  <si>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</si>
  <si>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</si>
  <si>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</si>
  <si>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</si>
  <si>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</si>
  <si>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</si>
  <si>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</si>
  <si>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</si>
  <si>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</si>
  <si>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</si>
  <si>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</si>
  <si>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</si>
  <si>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</si>
  <si>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</si>
  <si>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</si>
  <si>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</si>
  <si>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</si>
  <si>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</si>
  <si>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</si>
  <si>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</si>
  <si>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</si>
  <si>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</si>
  <si>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</si>
  <si>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</si>
  <si>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</si>
  <si>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</si>
  <si>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</si>
  <si>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</si>
  <si>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</si>
  <si>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</si>
  <si>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</si>
  <si>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</si>
  <si>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</si>
  <si>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</si>
  <si>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</si>
  <si>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</si>
  <si>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</si>
  <si>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</si>
  <si>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</si>
  <si>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</si>
  <si>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</si>
  <si>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</si>
  <si>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</si>
  <si>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</si>
  <si>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</si>
  <si>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</si>
  <si>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</si>
  <si>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</si>
  <si>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</si>
  <si>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</si>
  <si>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</si>
  <si>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</si>
  <si>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</si>
  <si>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</si>
  <si>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</si>
  <si>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</si>
  <si>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</si>
  <si>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</si>
  <si>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</si>
  <si>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</si>
  <si>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</si>
  <si>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</si>
  <si>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</si>
  <si>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</si>
  <si>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</si>
  <si>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</si>
  <si>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</si>
  <si>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</si>
  <si>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</si>
  <si>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</si>
  <si>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</si>
  <si>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</si>
  <si>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</si>
  <si>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</si>
  <si>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</si>
  <si>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</si>
  <si>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</si>
  <si>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</si>
  <si>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</si>
  <si>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</si>
  <si>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</si>
  <si>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</si>
  <si>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</si>
  <si>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</si>
  <si>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</si>
  <si>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</si>
  <si>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</si>
  <si>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</si>
  <si>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</si>
  <si>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</si>
  <si>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</si>
  <si>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</si>
  <si>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</si>
  <si>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</si>
  <si>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</si>
  <si>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</si>
  <si>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</si>
  <si>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</si>
  <si>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</si>
  <si>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</si>
  <si>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</si>
  <si>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</si>
  <si>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</si>
  <si>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</si>
  <si>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</si>
  <si>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</si>
  <si>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</si>
  <si>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</si>
  <si>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</si>
  <si>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</si>
  <si>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</si>
  <si>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</si>
  <si>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</si>
  <si>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</si>
  <si>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</si>
  <si>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</si>
  <si>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</si>
  <si>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</si>
  <si>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</si>
  <si>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</si>
  <si>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</si>
  <si>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</si>
  <si>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</si>
  <si>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</si>
  <si>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</si>
  <si>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</si>
  <si>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</si>
  <si>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</si>
  <si>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</si>
  <si>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</si>
  <si>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</si>
  <si>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</si>
  <si>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</si>
  <si>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</si>
  <si>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</si>
  <si>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</si>
  <si>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</si>
  <si>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</si>
  <si>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</si>
  <si>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</si>
  <si>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</si>
  <si>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</si>
  <si>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</si>
  <si>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</si>
  <si>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</si>
  <si>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</si>
  <si>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</si>
  <si>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</si>
  <si>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</si>
  <si>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</si>
  <si>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</si>
  <si>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</si>
  <si>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</si>
  <si>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</si>
  <si>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</si>
  <si>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</si>
  <si>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</si>
  <si>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</si>
  <si>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</si>
  <si>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</si>
  <si>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</si>
  <si>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</si>
  <si>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</si>
  <si>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</si>
  <si>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</si>
  <si>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</si>
  <si>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</si>
  <si>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</si>
  <si>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</si>
  <si>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</si>
  <si>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</si>
  <si>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</si>
  <si>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</si>
  <si>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</si>
  <si>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</si>
  <si>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</si>
  <si>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</si>
  <si>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</si>
  <si>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</si>
  <si>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</si>
  <si>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</si>
  <si>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</si>
  <si>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</si>
  <si>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</si>
  <si>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</si>
  <si>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</si>
  <si>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</si>
  <si>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</si>
  <si>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</si>
  <si>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</si>
  <si>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</si>
  <si>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</si>
  <si>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</si>
  <si>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</si>
  <si>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</si>
  <si>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</si>
  <si>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</si>
  <si>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</si>
  <si>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</si>
  <si>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</si>
  <si>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</si>
  <si>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</si>
  <si>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</si>
  <si>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</si>
  <si>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</si>
  <si>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</si>
  <si>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</si>
  <si>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</si>
  <si>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</si>
  <si>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</si>
  <si>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</si>
  <si>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</si>
  <si>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</si>
  <si>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</si>
  <si>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</si>
  <si>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</si>
  <si>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</si>
  <si>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</si>
  <si>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</si>
  <si>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</si>
  <si>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</si>
  <si>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</si>
  <si>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</si>
  <si>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</si>
  <si>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</si>
  <si>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</si>
  <si>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</si>
  <si>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</si>
  <si>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</si>
  <si>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</si>
  <si>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</si>
  <si>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</si>
  <si>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</si>
  <si>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</si>
  <si>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</si>
  <si>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</si>
  <si>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</si>
  <si>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</si>
  <si>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</si>
  <si>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</si>
  <si>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</si>
  <si>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</si>
  <si>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</si>
  <si>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</si>
  <si>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</si>
  <si>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</si>
  <si>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</si>
  <si>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</si>
  <si>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</si>
  <si>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</si>
  <si>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</si>
  <si>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</si>
  <si>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</si>
  <si>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</si>
  <si>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</si>
  <si>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</si>
  <si>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</si>
  <si>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</si>
  <si>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</si>
  <si>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</si>
  <si>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</si>
  <si>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</si>
  <si>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</si>
  <si>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</si>
  <si>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</si>
  <si>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</si>
  <si>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</si>
  <si>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</si>
  <si>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</si>
  <si>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</si>
  <si>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</si>
  <si>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</si>
  <si>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</si>
  <si>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</si>
  <si>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</si>
  <si>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</si>
  <si>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</si>
  <si>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</si>
  <si>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</si>
  <si>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</si>
  <si>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</si>
  <si>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</si>
  <si>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</si>
  <si>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</si>
  <si>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</si>
  <si>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</si>
  <si>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</si>
  <si>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</si>
  <si>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</si>
  <si>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</si>
  <si>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</si>
  <si>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</si>
  <si>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</si>
  <si>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</si>
  <si>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</si>
  <si>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</si>
  <si>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</si>
  <si>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</si>
  <si>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</si>
  <si>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</si>
  <si>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</si>
  <si>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</si>
  <si>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</si>
  <si>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</si>
  <si>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</si>
  <si>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</si>
  <si>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</si>
  <si>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</si>
  <si>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</si>
  <si>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</si>
  <si>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</si>
  <si>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</si>
  <si>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</si>
  <si>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</si>
  <si>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</si>
  <si>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</si>
  <si>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</si>
  <si>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</si>
  <si>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</si>
  <si>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</si>
  <si>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</si>
  <si>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</si>
  <si>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</si>
  <si>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</si>
  <si>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</si>
  <si>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</si>
  <si>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</si>
  <si>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</si>
  <si>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</si>
  <si>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</si>
  <si>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</si>
  <si>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</si>
  <si>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</si>
  <si>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</si>
  <si>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</si>
  <si>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</si>
  <si>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</si>
  <si>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</si>
  <si>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</si>
  <si>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</si>
  <si>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</si>
  <si>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</si>
  <si>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</si>
  <si>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</si>
  <si>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</si>
  <si>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</si>
  <si>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</si>
  <si>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</si>
  <si>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</si>
  <si>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</si>
  <si>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</si>
  <si>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</si>
  <si>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</si>
  <si>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</si>
  <si>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</si>
  <si>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</si>
  <si>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</si>
  <si>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</si>
  <si>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</si>
  <si>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</si>
  <si>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</si>
  <si>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</si>
  <si>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</si>
  <si>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</si>
  <si>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</si>
  <si>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</si>
  <si>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</si>
  <si>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</si>
  <si>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</si>
  <si>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</si>
  <si>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</si>
  <si>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</si>
  <si>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</si>
  <si>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</si>
  <si>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</si>
  <si>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</si>
  <si>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</si>
  <si>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</si>
  <si>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</si>
  <si>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</si>
  <si>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</si>
  <si>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</si>
  <si>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</si>
  <si>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</si>
  <si>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</si>
  <si>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</si>
  <si>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</si>
  <si>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</si>
  <si>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</si>
  <si>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</si>
  <si>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</si>
  <si>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</si>
  <si>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</si>
  <si>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</si>
  <si>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</si>
  <si>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</si>
  <si>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</si>
  <si>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</si>
  <si>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</si>
  <si>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</si>
  <si>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</si>
  <si>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</si>
  <si>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</si>
  <si>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</si>
  <si>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</si>
  <si>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</si>
  <si>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</si>
  <si>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</si>
  <si>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</si>
  <si>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</si>
  <si>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</si>
  <si>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</si>
  <si>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</si>
  <si>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</si>
  <si>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</si>
  <si>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</si>
  <si>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</si>
  <si>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</si>
  <si>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</si>
  <si>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</si>
  <si>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</si>
  <si>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</si>
  <si>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</si>
  <si>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</si>
  <si>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</si>
  <si>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</si>
  <si>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</si>
  <si>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</si>
  <si>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</si>
  <si>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</si>
  <si>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</si>
  <si>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</si>
  <si>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</si>
  <si>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</si>
  <si>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</si>
  <si>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</si>
  <si>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</si>
  <si>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</si>
  <si>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</si>
  <si>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</si>
  <si>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</si>
  <si>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</si>
  <si>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</si>
  <si>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</si>
  <si>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</si>
  <si>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</si>
  <si>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</si>
  <si>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</si>
  <si>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</si>
  <si>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</si>
  <si>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</si>
  <si>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</si>
  <si>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</si>
  <si>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</si>
  <si>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</si>
  <si>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</si>
  <si>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</si>
  <si>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</si>
  <si>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</si>
  <si>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</si>
  <si>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</si>
  <si>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</si>
  <si>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</si>
  <si>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</si>
  <si>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</si>
  <si>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</si>
  <si>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</si>
  <si>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</si>
  <si>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</si>
  <si>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</si>
  <si>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</si>
  <si>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</si>
  <si>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</si>
  <si>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</si>
  <si>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</si>
  <si>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</si>
  <si>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</si>
  <si>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</si>
  <si>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</si>
  <si>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</si>
  <si>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</si>
  <si>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</si>
  <si>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</si>
  <si>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</si>
  <si>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</si>
  <si>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</si>
  <si>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</si>
  <si>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</si>
  <si>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</si>
  <si>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</si>
  <si>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</si>
  <si>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</si>
  <si>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</si>
  <si>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</si>
  <si>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</si>
  <si>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</si>
  <si>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</si>
  <si>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</si>
  <si>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</si>
  <si>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</si>
  <si>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</si>
  <si>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</si>
  <si>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</si>
  <si>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</si>
  <si>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</si>
  <si>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</si>
  <si>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</si>
  <si>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</si>
  <si>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</si>
  <si>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</si>
  <si>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</si>
  <si>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</si>
  <si>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</si>
  <si>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</si>
  <si>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</si>
  <si>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</si>
  <si>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</si>
  <si>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</si>
  <si>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</si>
  <si>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</si>
  <si>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</si>
  <si>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</si>
  <si>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</si>
  <si>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</si>
  <si>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</si>
  <si>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</si>
  <si>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</si>
  <si>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</si>
  <si>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</si>
  <si>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</si>
  <si>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</si>
  <si>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</si>
  <si>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</si>
  <si>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</si>
  <si>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</si>
  <si>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</si>
  <si>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</si>
  <si>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</si>
  <si>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</si>
  <si>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</si>
  <si>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</si>
  <si>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</si>
  <si>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</si>
  <si>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</si>
  <si>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</si>
  <si>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</si>
  <si>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</si>
  <si>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</si>
  <si>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</si>
  <si>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</si>
  <si>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</si>
  <si>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</si>
  <si>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</si>
  <si>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</si>
  <si>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</si>
  <si>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</si>
  <si>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</si>
  <si>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</si>
  <si>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</si>
  <si>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</si>
  <si>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</si>
  <si>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</si>
  <si>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</si>
  <si>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</si>
  <si>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</si>
  <si>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</si>
  <si>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</si>
  <si>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</si>
  <si>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</si>
  <si>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</si>
  <si>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</si>
  <si>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</si>
  <si>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</si>
  <si>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</si>
  <si>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</si>
  <si>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</si>
  <si>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</si>
  <si>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</si>
  <si>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</si>
  <si>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</si>
  <si>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</si>
  <si>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</si>
  <si>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</si>
  <si>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</si>
  <si>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</si>
  <si>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</si>
  <si>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</si>
  <si>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</si>
  <si>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</si>
  <si>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</si>
  <si>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</si>
  <si>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</si>
  <si>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</si>
  <si>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</si>
  <si>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</si>
  <si>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</si>
  <si>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</si>
  <si>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</si>
  <si>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</si>
  <si>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</si>
  <si>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</si>
  <si>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</si>
  <si>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</si>
  <si>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</si>
  <si>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</si>
  <si>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</si>
  <si>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</si>
  <si>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</si>
  <si>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</si>
  <si>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</si>
  <si>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</si>
  <si>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</si>
  <si>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</si>
  <si>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</si>
  <si>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</si>
  <si>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</si>
  <si>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</si>
  <si>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</si>
  <si>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</si>
  <si>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</si>
  <si>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</si>
  <si>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</si>
  <si>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</si>
  <si>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</si>
  <si>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</si>
  <si>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</si>
  <si>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</si>
  <si>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</si>
  <si>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</si>
  <si>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</si>
  <si>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</si>
  <si>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</si>
  <si>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</si>
  <si>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</si>
  <si>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</si>
  <si>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</si>
  <si>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</si>
  <si>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</si>
  <si>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</si>
  <si>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</si>
  <si>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</si>
  <si>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</si>
  <si>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</si>
  <si>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</si>
  <si>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</si>
  <si>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</si>
  <si>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</si>
  <si>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</si>
  <si>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</si>
  <si>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</si>
  <si>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</si>
  <si>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</si>
  <si>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</si>
  <si>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</si>
  <si>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</si>
  <si>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</si>
  <si>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</si>
  <si>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</si>
  <si>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</si>
  <si>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</si>
  <si>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</si>
  <si>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</si>
  <si>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</si>
  <si>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</si>
  <si>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</si>
  <si>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</si>
  <si>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</si>
  <si>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</si>
  <si>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</si>
  <si>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</si>
  <si>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</si>
  <si>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</si>
  <si>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</si>
  <si>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</si>
  <si>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</si>
  <si>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</si>
  <si>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</si>
  <si>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</si>
  <si>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</si>
  <si>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</si>
  <si>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</si>
  <si>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</si>
  <si>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</si>
  <si>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</si>
  <si>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</si>
  <si>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</si>
  <si>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</si>
  <si>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</si>
  <si>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</si>
  <si>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</si>
  <si>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</si>
  <si>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</si>
  <si>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</si>
  <si>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</si>
  <si>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</si>
  <si>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</si>
  <si>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</si>
  <si>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</si>
  <si>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</si>
  <si>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</si>
  <si>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</si>
  <si>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</si>
  <si>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</si>
  <si>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</si>
  <si>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</si>
  <si>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</si>
  <si>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</si>
  <si>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</si>
  <si>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</si>
  <si>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</si>
  <si>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</si>
  <si>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</si>
  <si>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</si>
  <si>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</si>
  <si>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</si>
  <si>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</si>
  <si>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</si>
  <si>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</si>
  <si>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</si>
  <si>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</si>
  <si>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</si>
  <si>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</si>
  <si>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</si>
  <si>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</si>
  <si>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</si>
  <si>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</si>
  <si>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</si>
  <si>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</si>
  <si>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</si>
  <si>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</si>
  <si>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</si>
  <si>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</si>
  <si>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</si>
  <si>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</si>
  <si>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</si>
  <si>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</si>
  <si>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</si>
  <si>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</si>
  <si>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</si>
  <si>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</si>
  <si>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</si>
  <si>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</si>
  <si>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</si>
  <si>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</si>
  <si>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</si>
  <si>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</si>
  <si>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</si>
  <si>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</si>
  <si>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</si>
  <si>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</si>
  <si>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</si>
  <si>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</si>
  <si>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</si>
  <si>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</si>
  <si>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</si>
  <si>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</si>
  <si>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</si>
  <si>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</si>
  <si>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</si>
  <si>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</si>
  <si>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</si>
  <si>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</si>
  <si>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</si>
  <si>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</si>
  <si>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</si>
  <si>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</si>
  <si>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</si>
  <si>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</si>
  <si>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</si>
  <si>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</si>
  <si>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</si>
  <si>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</si>
  <si>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</si>
  <si>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</si>
  <si>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</si>
  <si>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</si>
  <si>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</si>
  <si>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</si>
  <si>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</si>
  <si>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</si>
  <si>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</si>
  <si>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</si>
  <si>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</si>
  <si>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</si>
  <si>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</si>
  <si>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</si>
  <si>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</si>
  <si>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</si>
  <si>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</si>
  <si>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</si>
  <si>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</si>
  <si>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</si>
  <si>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</si>
  <si>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</si>
  <si>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</si>
  <si>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</si>
  <si>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</si>
  <si>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</si>
  <si>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</si>
  <si>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</si>
  <si>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</si>
  <si>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</si>
  <si>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</si>
  <si>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</si>
  <si>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</si>
  <si>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</si>
  <si>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</si>
  <si>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</si>
  <si>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</si>
  <si>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</si>
  <si>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</si>
  <si>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</si>
  <si>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</si>
  <si>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</si>
  <si>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</si>
  <si>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</si>
  <si>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</si>
  <si>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</si>
  <si>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</si>
  <si>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</si>
  <si>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</si>
  <si>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</si>
  <si>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</si>
  <si>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</si>
  <si>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</si>
  <si>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</si>
  <si>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</si>
  <si>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</si>
  <si>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</si>
  <si>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</si>
  <si>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</si>
  <si>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</si>
  <si>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</si>
  <si>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</si>
  <si>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</si>
  <si>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</si>
  <si>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</si>
  <si>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</si>
  <si>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</si>
  <si>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</si>
  <si>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</si>
  <si>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</si>
  <si>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</si>
  <si>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</si>
  <si>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</si>
  <si>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</si>
  <si>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</si>
  <si>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</si>
  <si>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</si>
  <si>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</si>
  <si>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</si>
  <si>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</si>
  <si>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</si>
  <si>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</si>
  <si>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</si>
  <si>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</si>
  <si>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</si>
  <si>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</si>
  <si>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</si>
  <si>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</si>
  <si>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</si>
  <si>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</si>
  <si>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</si>
  <si>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</si>
  <si>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</si>
  <si>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</si>
  <si>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</si>
  <si>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</si>
  <si>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</si>
  <si>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</si>
  <si>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</si>
  <si>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</si>
  <si>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</si>
  <si>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</si>
  <si>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</si>
  <si>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</si>
  <si>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</si>
  <si>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</si>
  <si>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</si>
  <si>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</si>
  <si>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</si>
  <si>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</si>
  <si>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</si>
  <si>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</si>
  <si>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</si>
  <si>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</si>
  <si>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</si>
  <si>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</si>
  <si>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</si>
  <si>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</si>
  <si>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</si>
  <si>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</si>
  <si>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</si>
  <si>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</si>
  <si>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</si>
  <si>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</si>
  <si>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</si>
  <si>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</si>
  <si>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</si>
  <si>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</si>
  <si>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</si>
  <si>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</si>
  <si>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</si>
  <si>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</si>
  <si>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</si>
  <si>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</si>
  <si>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</si>
  <si>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</si>
  <si>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</si>
  <si>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</si>
  <si>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</si>
  <si>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</si>
  <si>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</si>
  <si>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</si>
  <si>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</si>
  <si>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</si>
  <si>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</si>
  <si>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</si>
  <si>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</si>
  <si>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</si>
  <si>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</si>
  <si>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</si>
  <si>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</si>
  <si>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</si>
  <si>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</si>
  <si>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</si>
  <si>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</si>
  <si>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</si>
  <si>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</si>
  <si>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</si>
  <si>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</si>
  <si>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</si>
  <si>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</si>
  <si>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</si>
  <si>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</si>
  <si>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</si>
  <si>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</si>
  <si>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</si>
  <si>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</si>
  <si>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</si>
  <si>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</si>
  <si>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</si>
  <si>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</si>
  <si>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</si>
  <si>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</si>
  <si>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</si>
  <si>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</si>
  <si>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</si>
  <si>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</si>
  <si>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</si>
  <si>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</si>
  <si>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</si>
  <si>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</si>
  <si>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</si>
  <si>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</si>
  <si>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</si>
  <si>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</si>
  <si>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</si>
  <si>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</si>
  <si>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</si>
  <si>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</si>
  <si>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</si>
  <si>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</si>
  <si>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</si>
  <si>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</si>
  <si>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</si>
  <si>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</si>
  <si>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</si>
  <si>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</si>
  <si>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</si>
  <si>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</si>
  <si>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</si>
  <si>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</si>
  <si>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</si>
  <si>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</si>
  <si>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</si>
  <si>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</si>
  <si>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</si>
  <si>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</si>
  <si>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</si>
  <si>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</si>
  <si>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</si>
  <si>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</si>
  <si>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</si>
  <si>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</si>
  <si>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</si>
  <si>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</si>
  <si>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</si>
  <si>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</si>
  <si>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</si>
  <si>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</si>
  <si>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</si>
  <si>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</si>
  <si>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</si>
  <si>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</si>
  <si>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</si>
  <si>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</si>
  <si>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</si>
  <si>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</si>
  <si>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</si>
  <si>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</si>
  <si>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</si>
  <si>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</si>
  <si>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</si>
  <si>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</si>
  <si>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</si>
  <si>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</si>
  <si>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</si>
  <si>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</si>
  <si>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</si>
  <si>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</si>
  <si>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</si>
  <si>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</si>
  <si>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</si>
  <si>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</si>
  <si>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</si>
  <si>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</si>
  <si>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</si>
  <si>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</si>
  <si>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</si>
  <si>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</si>
  <si>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</si>
  <si>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</si>
  <si>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</si>
  <si>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</si>
  <si>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</si>
  <si>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</si>
  <si>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</si>
  <si>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</si>
  <si>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</si>
  <si>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</si>
  <si>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</si>
  <si>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</si>
  <si>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</si>
  <si>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</si>
  <si>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</si>
  <si>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</si>
  <si>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</si>
  <si>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</si>
  <si>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</si>
  <si>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</si>
  <si>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</si>
  <si>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</si>
  <si>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</si>
  <si>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</si>
  <si>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</si>
  <si>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</si>
  <si>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</si>
  <si>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</si>
  <si>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</si>
  <si>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</si>
  <si>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</si>
  <si>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</si>
  <si>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</si>
  <si>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</si>
  <si>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</si>
  <si>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</si>
  <si>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</si>
  <si>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</si>
  <si>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</si>
  <si>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</si>
  <si>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</si>
  <si>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</si>
  <si>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</si>
  <si>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</si>
  <si>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</si>
  <si>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</si>
  <si>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</si>
  <si>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</si>
  <si>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</si>
  <si>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</si>
  <si>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</si>
  <si>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</si>
  <si>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</si>
  <si>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</si>
  <si>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</si>
  <si>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</si>
  <si>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</si>
  <si>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</si>
  <si>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</si>
  <si>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</si>
  <si>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</si>
  <si>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</si>
  <si>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</si>
  <si>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</si>
  <si>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</si>
  <si>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</si>
  <si>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</si>
  <si>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</si>
  <si>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</si>
  <si>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</si>
  <si>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</si>
  <si>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</si>
  <si>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</si>
  <si>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</si>
  <si>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</si>
  <si>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</si>
  <si>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</si>
  <si>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</si>
  <si>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</si>
  <si>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</si>
  <si>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</si>
  <si>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</si>
  <si>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</si>
  <si>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</si>
  <si>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</si>
  <si>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</si>
  <si>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</si>
  <si>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</si>
  <si>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</si>
  <si>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</si>
  <si>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</si>
  <si>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</si>
  <si>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</si>
  <si>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</si>
  <si>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</si>
  <si>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</si>
  <si>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</si>
  <si>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</si>
  <si>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</si>
  <si>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</si>
  <si>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</si>
  <si>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</si>
  <si>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</si>
  <si>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</si>
  <si>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</si>
  <si>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</si>
  <si>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</si>
  <si>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</si>
  <si>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</si>
  <si>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</si>
  <si>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</si>
  <si>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</si>
  <si>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</si>
  <si>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</si>
  <si>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</si>
  <si>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</si>
  <si>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</si>
  <si>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</si>
  <si>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</si>
  <si>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</si>
  <si>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</si>
  <si>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</si>
  <si>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</si>
  <si>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</si>
  <si>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</si>
  <si>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</si>
  <si>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</si>
  <si>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</si>
  <si>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</si>
  <si>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</si>
  <si>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</si>
  <si>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</si>
  <si>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</si>
  <si>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</si>
  <si>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</si>
  <si>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</si>
  <si>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</si>
  <si>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</si>
  <si>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</si>
  <si>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</si>
  <si>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</si>
  <si>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</si>
  <si>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</si>
  <si>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</si>
  <si>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</si>
  <si>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</si>
  <si>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</si>
  <si>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</si>
  <si>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</si>
  <si>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</si>
  <si>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</si>
  <si>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</si>
  <si>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</si>
  <si>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</si>
  <si>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</si>
  <si>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</si>
  <si>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</si>
  <si>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</si>
  <si>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</si>
  <si>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</si>
  <si>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</si>
  <si>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</si>
  <si>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</si>
  <si>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</si>
  <si>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</si>
  <si>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</si>
  <si>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</si>
  <si>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</si>
  <si>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</si>
  <si>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</si>
  <si>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</si>
  <si>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</si>
  <si>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</si>
  <si>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</si>
  <si>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</si>
  <si>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</si>
  <si>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</si>
  <si>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</si>
  <si>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</si>
  <si>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</si>
  <si>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</si>
  <si>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</si>
  <si>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</si>
  <si>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</si>
  <si>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</si>
  <si>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</si>
  <si>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</si>
  <si>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</si>
  <si>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</si>
  <si>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</si>
  <si>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</si>
  <si>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</si>
  <si>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</si>
  <si>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</si>
  <si>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</si>
  <si>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</si>
  <si>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</si>
  <si>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</si>
  <si>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</si>
  <si>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</si>
  <si>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</si>
  <si>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</si>
  <si>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</si>
  <si>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</si>
  <si>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</si>
  <si>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</si>
  <si>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</si>
  <si>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</si>
  <si>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</si>
  <si>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</si>
  <si>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</si>
  <si>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</si>
  <si>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</si>
  <si>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</si>
  <si>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</si>
  <si>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</si>
  <si>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</si>
  <si>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</si>
  <si>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</si>
  <si>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</si>
  <si>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</si>
  <si>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</si>
  <si>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</si>
  <si>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</si>
  <si>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</si>
  <si>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</si>
  <si>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</si>
  <si>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</si>
  <si>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</si>
  <si>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</si>
  <si>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</si>
  <si>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</si>
  <si>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</si>
  <si>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</si>
  <si>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</si>
  <si>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</si>
  <si>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</si>
  <si>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</si>
  <si>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</si>
  <si>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</si>
  <si>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</si>
  <si>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</si>
  <si>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</si>
  <si>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</si>
  <si>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</si>
  <si>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</si>
  <si>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</si>
  <si>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</si>
  <si>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</si>
  <si>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</si>
  <si>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</si>
  <si>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</si>
  <si>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</si>
  <si>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</si>
  <si>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</si>
  <si>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</si>
  <si>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</si>
  <si>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</si>
  <si>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</si>
  <si>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</si>
  <si>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</si>
  <si>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</si>
  <si>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</si>
  <si>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</si>
  <si>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</si>
  <si>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</si>
  <si>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</si>
  <si>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</si>
  <si>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</si>
  <si>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</si>
  <si>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</si>
  <si>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</si>
  <si>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</si>
  <si>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</si>
  <si>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</si>
  <si>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</si>
  <si>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</si>
  <si>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</si>
  <si>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</si>
  <si>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</si>
  <si>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</si>
  <si>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</si>
  <si>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</si>
  <si>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</si>
  <si>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</si>
  <si>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</si>
  <si>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</si>
  <si>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</si>
  <si>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</si>
  <si>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</si>
  <si>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</si>
  <si>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</si>
  <si>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</si>
  <si>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</si>
  <si>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</si>
  <si>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</si>
  <si>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</si>
  <si>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</si>
  <si>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</si>
  <si>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</si>
  <si>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</si>
  <si>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</si>
  <si>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</si>
  <si>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</si>
  <si>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</si>
  <si>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</si>
  <si>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</si>
  <si>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</si>
  <si>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</si>
  <si>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</si>
  <si>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</si>
  <si>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</si>
  <si>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</si>
  <si>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</si>
  <si>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</si>
  <si>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</si>
  <si>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</si>
  <si>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</si>
  <si>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</si>
  <si>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</si>
  <si>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</si>
  <si>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</si>
  <si>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</si>
  <si>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</si>
  <si>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</si>
  <si>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</si>
  <si>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</si>
  <si>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</si>
  <si>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</si>
  <si>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</si>
  <si>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</si>
  <si>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</si>
  <si>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</si>
  <si>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</si>
  <si>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</si>
  <si>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</si>
  <si>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</si>
  <si>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</si>
  <si>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</si>
  <si>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</si>
  <si>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</si>
  <si>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</si>
  <si>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</si>
  <si>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</si>
  <si>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</si>
  <si>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</si>
  <si>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</si>
  <si>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</si>
  <si>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</si>
  <si>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</si>
  <si>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</si>
  <si>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</si>
  <si>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</si>
  <si>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</si>
  <si>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</si>
  <si>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</si>
  <si>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</si>
  <si>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</si>
  <si>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</si>
  <si>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</si>
  <si>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</si>
  <si>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</si>
  <si>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</si>
  <si>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</si>
  <si>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</si>
  <si>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</si>
  <si>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</si>
  <si>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</si>
  <si>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</si>
  <si>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</si>
  <si>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</si>
  <si>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</si>
  <si>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</si>
  <si>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</si>
  <si>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</si>
  <si>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</si>
  <si>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</si>
  <si>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</si>
  <si>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</si>
  <si>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</si>
  <si>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</si>
  <si>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</si>
  <si>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</si>
  <si>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</si>
  <si>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</si>
  <si>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</si>
  <si>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</si>
  <si>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</si>
  <si>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</si>
  <si>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</si>
  <si>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</si>
  <si>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</si>
  <si>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</si>
  <si>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</si>
  <si>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</si>
  <si>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</si>
  <si>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</si>
  <si>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</si>
  <si>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</si>
  <si>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</si>
  <si>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</si>
  <si>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</si>
  <si>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</si>
  <si>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</si>
  <si>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</si>
  <si>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</si>
  <si>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</si>
  <si>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</si>
  <si>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</si>
  <si>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</si>
  <si>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</si>
  <si>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</si>
  <si>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</si>
  <si>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</si>
  <si>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</si>
  <si>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</si>
  <si>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</si>
  <si>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</si>
  <si>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</si>
  <si>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</si>
  <si>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</si>
  <si>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</si>
  <si>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</si>
  <si>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</si>
  <si>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</si>
  <si>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</si>
  <si>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</si>
  <si>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</si>
  <si>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</si>
  <si>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</si>
  <si>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</si>
  <si>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</si>
  <si>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</si>
  <si>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</si>
  <si>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</si>
  <si>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</si>
  <si>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</si>
  <si>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</si>
  <si>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</si>
  <si>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</si>
  <si>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</si>
  <si>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</si>
  <si>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</si>
  <si>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</si>
  <si>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</si>
  <si>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</si>
  <si>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</si>
  <si>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</si>
  <si>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</si>
  <si>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</si>
  <si>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</si>
  <si>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</si>
  <si>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</si>
  <si>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</si>
  <si>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</si>
  <si>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</si>
  <si>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</si>
  <si>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</si>
  <si>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</si>
  <si>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</si>
  <si>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</si>
  <si>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</si>
  <si>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</si>
  <si>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</si>
  <si>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</si>
  <si>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</si>
  <si>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</si>
  <si>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</si>
  <si>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</si>
  <si>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</si>
  <si>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</si>
  <si>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</si>
  <si>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</si>
  <si>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</si>
  <si>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</si>
  <si>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</si>
  <si>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</si>
  <si>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</si>
  <si>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</si>
  <si>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</si>
  <si>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</si>
  <si>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</si>
  <si>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</si>
  <si>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</si>
  <si>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</si>
  <si>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</si>
  <si>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</si>
  <si>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</si>
  <si>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</si>
  <si>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</si>
  <si>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</si>
  <si>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</si>
  <si>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</si>
  <si>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</si>
  <si>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</si>
  <si>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</si>
  <si>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</si>
  <si>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</si>
  <si>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</si>
  <si>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</si>
  <si>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</si>
  <si>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</si>
  <si>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</si>
  <si>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</si>
  <si>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</si>
  <si>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</si>
  <si>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</si>
  <si>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</si>
  <si>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</si>
  <si>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</si>
  <si>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</si>
  <si>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</si>
  <si>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</si>
  <si>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</si>
  <si>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</si>
  <si>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</si>
  <si>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</si>
  <si>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</si>
  <si>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</si>
  <si>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</si>
  <si>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</si>
  <si>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</si>
  <si>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</si>
  <si>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</si>
  <si>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</si>
  <si>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</si>
  <si>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</si>
  <si>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</si>
  <si>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</si>
  <si>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</si>
  <si>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</si>
  <si>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</si>
  <si>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</si>
  <si>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</si>
  <si>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</si>
  <si>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</si>
  <si>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</si>
  <si>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</si>
  <si>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</si>
  <si>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</si>
  <si>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</si>
  <si>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</si>
  <si>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</si>
  <si>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</si>
  <si>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</si>
  <si>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</si>
  <si>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</si>
  <si>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</si>
  <si>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</si>
  <si>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</si>
  <si>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</si>
  <si>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</si>
  <si>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</si>
  <si>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</si>
  <si>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</si>
  <si>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</si>
  <si>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</si>
  <si>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</si>
  <si>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</si>
  <si>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</si>
  <si>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</si>
  <si>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</si>
  <si>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</si>
  <si>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</si>
  <si>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</si>
  <si>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</si>
  <si>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</si>
  <si>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</si>
  <si>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</si>
  <si>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</si>
  <si>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</si>
  <si>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</si>
  <si>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</si>
  <si>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</si>
  <si>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</si>
  <si>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</si>
  <si>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</si>
  <si>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</si>
  <si>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</si>
  <si>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</si>
  <si>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</si>
  <si>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</si>
  <si>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</si>
  <si>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</si>
  <si>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</si>
  <si>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</si>
  <si>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</si>
  <si>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</si>
  <si>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</si>
  <si>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</si>
  <si>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</si>
  <si>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一般</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</si>
  <si>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</si>
  <si>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</si>
  <si>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</si>
  <si>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</si>
  <si>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</si>
  <si>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</si>
  <si>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</si>
  <si>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</si>
  <si>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</si>
  <si>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</si>
  <si>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</si>
  <si>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t>【16图】D房山良乡镇旭辉城邻里中心商业补招中餐烤鸭火锅涮肉,北京房山良乡商铺租售/生意转让出租-北京58同城</t>
  </si>
  <si>
    <t>【8图】B238224房山美甲美睫护肤店转让,北京房山窦店商铺租售/生意转让转让-北京58同城</t>
  </si>
  <si>
    <t>【11图】房山窦店小区口好位置底商出租 适合餐饮烤肉美容 周边满没空铺,北京房山窦店山水汇豪苑(北区)商铺商铺租售/生意转让出租-北京58同城</t>
  </si>
  <si>
    <t>【4图】窦店万科幸福汇临街商铺，门面宽敞明亮，周边小区密集，人流量大,北京房山窦店商铺租售/生意转让出租-北京58同城</t>
  </si>
  <si>
    <t>旭辉邻里</t>
    <phoneticPr fontId="135" type="noConversion"/>
  </si>
  <si>
    <r>
      <t>挑高6</t>
    </r>
    <r>
      <rPr>
        <sz val="11"/>
        <color theme="1"/>
        <rFont val="宋体"/>
        <family val="3"/>
        <charset val="134"/>
        <scheme val="minor"/>
      </rPr>
      <t>.3</t>
    </r>
    <phoneticPr fontId="135" type="noConversion"/>
  </si>
  <si>
    <t>田家园小区</t>
    <phoneticPr fontId="135" type="noConversion"/>
  </si>
  <si>
    <t>山水汇豪苑</t>
    <phoneticPr fontId="135" type="noConversion"/>
  </si>
  <si>
    <t>万科幸福汇</t>
    <phoneticPr fontId="135" type="noConversion"/>
  </si>
  <si>
    <t>临次干道</t>
  </si>
  <si>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</si>
  <si>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</si>
  <si>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</si>
  <si>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大于6米</t>
  </si>
  <si>
    <t>商业中心</t>
  </si>
  <si>
    <t>商业中心</t>
    <phoneticPr fontId="31" type="noConversion"/>
  </si>
  <si>
    <t>住宅底商</t>
  </si>
  <si>
    <t>住宅底商</t>
    <phoneticPr fontId="31" type="noConversion"/>
  </si>
  <si>
    <t>不含物业费</t>
    <phoneticPr fontId="31" type="noConversion"/>
  </si>
  <si>
    <t>毛坯</t>
  </si>
  <si>
    <t>含物业费</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</si>
</sst>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xf numFmtId="0" fontId="271" fillId="0" borderId="0" applyNumberFormat="0" applyFill="0" applyBorder="0" applyAlignment="0" applyProtection="0">
      <alignment vertical="center"/>
    </xf>
  </cellStyleXfs>
  <cellXfs count="331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271" fillId="0" borderId="0" xfId="2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273"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xf numFmtId="0" fontId="274"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466726</xdr:colOff>
      <xdr:row>1</xdr:row>
      <xdr:rowOff>113378</xdr:rowOff>
    </xdr:from>
    <xdr:to>
      <xdr:col>15</xdr:col>
      <xdr:colOff>466726</xdr:colOff>
      <xdr:row>30</xdr:row>
      <xdr:rowOff>94517</xdr:rowOff>
    </xdr:to>
    <xdr:pic>
      <xdr:nvPicPr>
        <xdr:cNvPr id="2" name="图片 1">
          <a:extLst>
            <a:ext uri="{FF2B5EF4-FFF2-40B4-BE49-F238E27FC236}">
              <a16:creationId xmlns:a16="http://schemas.microsoft.com/office/drawing/2014/main" id="{6C70E1F6-0F64-1E75-FA2C-92C178E63526}"/>
            </a:ext>
          </a:extLst>
        </xdr:cNvPr>
        <xdr:cNvPicPr>
          <a:picLocks noChangeAspect="1"/>
        </xdr:cNvPicPr>
      </xdr:nvPicPr>
      <xdr:blipFill>
        <a:blip xmlns:r="http://schemas.openxmlformats.org/officeDocument/2006/relationships" r:embed="rId1"/>
        <a:stretch>
          <a:fillRect/>
        </a:stretch>
      </xdr:blipFill>
      <xdr:spPr>
        <a:xfrm>
          <a:off x="1152526" y="284828"/>
          <a:ext cx="9753600" cy="4953189"/>
        </a:xfrm>
        <a:prstGeom prst="rect">
          <a:avLst/>
        </a:prstGeom>
      </xdr:spPr>
    </xdr:pic>
    <xdr:clientData/>
  </xdr:twoCellAnchor>
  <xdr:twoCellAnchor editAs="oneCell">
    <xdr:from>
      <xdr:col>1</xdr:col>
      <xdr:colOff>295275</xdr:colOff>
      <xdr:row>29</xdr:row>
      <xdr:rowOff>104775</xdr:rowOff>
    </xdr:from>
    <xdr:to>
      <xdr:col>11</xdr:col>
      <xdr:colOff>284894</xdr:colOff>
      <xdr:row>71</xdr:row>
      <xdr:rowOff>113399</xdr:rowOff>
    </xdr:to>
    <xdr:pic>
      <xdr:nvPicPr>
        <xdr:cNvPr id="3" name="图片 2">
          <a:extLst>
            <a:ext uri="{FF2B5EF4-FFF2-40B4-BE49-F238E27FC236}">
              <a16:creationId xmlns:a16="http://schemas.microsoft.com/office/drawing/2014/main" id="{707F4AFD-5D8A-6C58-18B1-9784EAF7BE88}"/>
            </a:ext>
          </a:extLst>
        </xdr:cNvPr>
        <xdr:cNvPicPr>
          <a:picLocks noChangeAspect="1"/>
        </xdr:cNvPicPr>
      </xdr:nvPicPr>
      <xdr:blipFill>
        <a:blip xmlns:r="http://schemas.openxmlformats.org/officeDocument/2006/relationships" r:embed="rId2"/>
        <a:stretch>
          <a:fillRect/>
        </a:stretch>
      </xdr:blipFill>
      <xdr:spPr>
        <a:xfrm>
          <a:off x="981075" y="5076825"/>
          <a:ext cx="6847619" cy="7209524"/>
        </a:xfrm>
        <a:prstGeom prst="rect">
          <a:avLst/>
        </a:prstGeom>
      </xdr:spPr>
    </xdr:pic>
    <xdr:clientData/>
  </xdr:twoCellAnchor>
  <xdr:twoCellAnchor editAs="oneCell">
    <xdr:from>
      <xdr:col>18</xdr:col>
      <xdr:colOff>104774</xdr:colOff>
      <xdr:row>1</xdr:row>
      <xdr:rowOff>123600</xdr:rowOff>
    </xdr:from>
    <xdr:to>
      <xdr:col>30</xdr:col>
      <xdr:colOff>665235</xdr:colOff>
      <xdr:row>25</xdr:row>
      <xdr:rowOff>113593</xdr:rowOff>
    </xdr:to>
    <xdr:pic>
      <xdr:nvPicPr>
        <xdr:cNvPr id="4" name="图片 3">
          <a:extLst>
            <a:ext uri="{FF2B5EF4-FFF2-40B4-BE49-F238E27FC236}">
              <a16:creationId xmlns:a16="http://schemas.microsoft.com/office/drawing/2014/main" id="{FB1D8FBA-5258-D0D1-E706-E93A7B1E23F8}"/>
            </a:ext>
          </a:extLst>
        </xdr:cNvPr>
        <xdr:cNvPicPr>
          <a:picLocks noChangeAspect="1"/>
        </xdr:cNvPicPr>
      </xdr:nvPicPr>
      <xdr:blipFill>
        <a:blip xmlns:r="http://schemas.openxmlformats.org/officeDocument/2006/relationships" r:embed="rId3"/>
        <a:stretch>
          <a:fillRect/>
        </a:stretch>
      </xdr:blipFill>
      <xdr:spPr>
        <a:xfrm>
          <a:off x="12449174" y="295050"/>
          <a:ext cx="8790061" cy="4104793"/>
        </a:xfrm>
        <a:prstGeom prst="rect">
          <a:avLst/>
        </a:prstGeom>
      </xdr:spPr>
    </xdr:pic>
    <xdr:clientData/>
  </xdr:twoCellAnchor>
  <xdr:twoCellAnchor editAs="oneCell">
    <xdr:from>
      <xdr:col>19</xdr:col>
      <xdr:colOff>28575</xdr:colOff>
      <xdr:row>25</xdr:row>
      <xdr:rowOff>38100</xdr:rowOff>
    </xdr:from>
    <xdr:to>
      <xdr:col>28</xdr:col>
      <xdr:colOff>618280</xdr:colOff>
      <xdr:row>57</xdr:row>
      <xdr:rowOff>8843</xdr:rowOff>
    </xdr:to>
    <xdr:pic>
      <xdr:nvPicPr>
        <xdr:cNvPr id="5" name="图片 4">
          <a:extLst>
            <a:ext uri="{FF2B5EF4-FFF2-40B4-BE49-F238E27FC236}">
              <a16:creationId xmlns:a16="http://schemas.microsoft.com/office/drawing/2014/main" id="{A756589E-25C3-9EB5-92BE-F7897704A8B4}"/>
            </a:ext>
          </a:extLst>
        </xdr:cNvPr>
        <xdr:cNvPicPr>
          <a:picLocks noChangeAspect="1"/>
        </xdr:cNvPicPr>
      </xdr:nvPicPr>
      <xdr:blipFill>
        <a:blip xmlns:r="http://schemas.openxmlformats.org/officeDocument/2006/relationships" r:embed="rId4"/>
        <a:stretch>
          <a:fillRect/>
        </a:stretch>
      </xdr:blipFill>
      <xdr:spPr>
        <a:xfrm>
          <a:off x="13058775" y="4324350"/>
          <a:ext cx="6761905" cy="5457143"/>
        </a:xfrm>
        <a:prstGeom prst="rect">
          <a:avLst/>
        </a:prstGeom>
      </xdr:spPr>
    </xdr:pic>
    <xdr:clientData/>
  </xdr:twoCellAnchor>
  <xdr:twoCellAnchor editAs="oneCell">
    <xdr:from>
      <xdr:col>1</xdr:col>
      <xdr:colOff>276226</xdr:colOff>
      <xdr:row>73</xdr:row>
      <xdr:rowOff>157636</xdr:rowOff>
    </xdr:from>
    <xdr:to>
      <xdr:col>16</xdr:col>
      <xdr:colOff>85726</xdr:colOff>
      <xdr:row>102</xdr:row>
      <xdr:rowOff>56430</xdr:rowOff>
    </xdr:to>
    <xdr:pic>
      <xdr:nvPicPr>
        <xdr:cNvPr id="6" name="图片 5">
          <a:extLst>
            <a:ext uri="{FF2B5EF4-FFF2-40B4-BE49-F238E27FC236}">
              <a16:creationId xmlns:a16="http://schemas.microsoft.com/office/drawing/2014/main" id="{9F0DF8E9-0011-188A-22A7-5152E1885A24}"/>
            </a:ext>
          </a:extLst>
        </xdr:cNvPr>
        <xdr:cNvPicPr>
          <a:picLocks noChangeAspect="1"/>
        </xdr:cNvPicPr>
      </xdr:nvPicPr>
      <xdr:blipFill>
        <a:blip xmlns:r="http://schemas.openxmlformats.org/officeDocument/2006/relationships" r:embed="rId5"/>
        <a:stretch>
          <a:fillRect/>
        </a:stretch>
      </xdr:blipFill>
      <xdr:spPr>
        <a:xfrm>
          <a:off x="962026" y="12673486"/>
          <a:ext cx="10248900" cy="4870844"/>
        </a:xfrm>
        <a:prstGeom prst="rect">
          <a:avLst/>
        </a:prstGeom>
      </xdr:spPr>
    </xdr:pic>
    <xdr:clientData/>
  </xdr:twoCellAnchor>
  <xdr:twoCellAnchor editAs="oneCell">
    <xdr:from>
      <xdr:col>3</xdr:col>
      <xdr:colOff>0</xdr:colOff>
      <xdr:row>103</xdr:row>
      <xdr:rowOff>0</xdr:rowOff>
    </xdr:from>
    <xdr:to>
      <xdr:col>13</xdr:col>
      <xdr:colOff>27714</xdr:colOff>
      <xdr:row>156</xdr:row>
      <xdr:rowOff>122674</xdr:rowOff>
    </xdr:to>
    <xdr:pic>
      <xdr:nvPicPr>
        <xdr:cNvPr id="7" name="图片 6">
          <a:extLst>
            <a:ext uri="{FF2B5EF4-FFF2-40B4-BE49-F238E27FC236}">
              <a16:creationId xmlns:a16="http://schemas.microsoft.com/office/drawing/2014/main" id="{6975C423-D13C-0F8F-9DCB-2E2E08D7805D}"/>
            </a:ext>
          </a:extLst>
        </xdr:cNvPr>
        <xdr:cNvPicPr>
          <a:picLocks noChangeAspect="1"/>
        </xdr:cNvPicPr>
      </xdr:nvPicPr>
      <xdr:blipFill>
        <a:blip xmlns:r="http://schemas.openxmlformats.org/officeDocument/2006/relationships" r:embed="rId6"/>
        <a:stretch>
          <a:fillRect/>
        </a:stretch>
      </xdr:blipFill>
      <xdr:spPr>
        <a:xfrm>
          <a:off x="2057400" y="17659350"/>
          <a:ext cx="6885714" cy="9209524"/>
        </a:xfrm>
        <a:prstGeom prst="rect">
          <a:avLst/>
        </a:prstGeom>
      </xdr:spPr>
    </xdr:pic>
    <xdr:clientData/>
  </xdr:twoCellAnchor>
  <xdr:twoCellAnchor editAs="oneCell">
    <xdr:from>
      <xdr:col>21</xdr:col>
      <xdr:colOff>0</xdr:colOff>
      <xdr:row>73</xdr:row>
      <xdr:rowOff>0</xdr:rowOff>
    </xdr:from>
    <xdr:to>
      <xdr:col>38</xdr:col>
      <xdr:colOff>665209</xdr:colOff>
      <xdr:row>105</xdr:row>
      <xdr:rowOff>85029</xdr:rowOff>
    </xdr:to>
    <xdr:pic>
      <xdr:nvPicPr>
        <xdr:cNvPr id="8" name="图片 7">
          <a:extLst>
            <a:ext uri="{FF2B5EF4-FFF2-40B4-BE49-F238E27FC236}">
              <a16:creationId xmlns:a16="http://schemas.microsoft.com/office/drawing/2014/main" id="{907F91C0-783C-8461-20DD-A03101D1E644}"/>
            </a:ext>
          </a:extLst>
        </xdr:cNvPr>
        <xdr:cNvPicPr>
          <a:picLocks noChangeAspect="1"/>
        </xdr:cNvPicPr>
      </xdr:nvPicPr>
      <xdr:blipFill>
        <a:blip xmlns:r="http://schemas.openxmlformats.org/officeDocument/2006/relationships" r:embed="rId7"/>
        <a:stretch>
          <a:fillRect/>
        </a:stretch>
      </xdr:blipFill>
      <xdr:spPr>
        <a:xfrm>
          <a:off x="14401800" y="12515850"/>
          <a:ext cx="12323809" cy="5571429"/>
        </a:xfrm>
        <a:prstGeom prst="rect">
          <a:avLst/>
        </a:prstGeom>
      </xdr:spPr>
    </xdr:pic>
    <xdr:clientData/>
  </xdr:twoCellAnchor>
  <xdr:twoCellAnchor editAs="oneCell">
    <xdr:from>
      <xdr:col>22</xdr:col>
      <xdr:colOff>485775</xdr:colOff>
      <xdr:row>105</xdr:row>
      <xdr:rowOff>95250</xdr:rowOff>
    </xdr:from>
    <xdr:to>
      <xdr:col>32</xdr:col>
      <xdr:colOff>523013</xdr:colOff>
      <xdr:row>148</xdr:row>
      <xdr:rowOff>170519</xdr:rowOff>
    </xdr:to>
    <xdr:pic>
      <xdr:nvPicPr>
        <xdr:cNvPr id="9" name="图片 8">
          <a:extLst>
            <a:ext uri="{FF2B5EF4-FFF2-40B4-BE49-F238E27FC236}">
              <a16:creationId xmlns:a16="http://schemas.microsoft.com/office/drawing/2014/main" id="{898F9244-39BF-9F54-D77A-F93847702ABE}"/>
            </a:ext>
          </a:extLst>
        </xdr:cNvPr>
        <xdr:cNvPicPr>
          <a:picLocks noChangeAspect="1"/>
        </xdr:cNvPicPr>
      </xdr:nvPicPr>
      <xdr:blipFill>
        <a:blip xmlns:r="http://schemas.openxmlformats.org/officeDocument/2006/relationships" r:embed="rId8"/>
        <a:stretch>
          <a:fillRect/>
        </a:stretch>
      </xdr:blipFill>
      <xdr:spPr>
        <a:xfrm>
          <a:off x="15573375" y="18097500"/>
          <a:ext cx="6895238" cy="7447619"/>
        </a:xfrm>
        <a:prstGeom prst="rect">
          <a:avLst/>
        </a:prstGeom>
      </xdr:spPr>
    </xdr:pic>
    <xdr:clientData/>
  </xdr:twoCellAnchor>
  <xdr:twoCellAnchor editAs="oneCell">
    <xdr:from>
      <xdr:col>12</xdr:col>
      <xdr:colOff>104775</xdr:colOff>
      <xdr:row>43</xdr:row>
      <xdr:rowOff>33887</xdr:rowOff>
    </xdr:from>
    <xdr:to>
      <xdr:col>28</xdr:col>
      <xdr:colOff>217180</xdr:colOff>
      <xdr:row>85</xdr:row>
      <xdr:rowOff>103548</xdr:rowOff>
    </xdr:to>
    <xdr:pic>
      <xdr:nvPicPr>
        <xdr:cNvPr id="10" name="图片 9">
          <a:extLst>
            <a:ext uri="{FF2B5EF4-FFF2-40B4-BE49-F238E27FC236}">
              <a16:creationId xmlns:a16="http://schemas.microsoft.com/office/drawing/2014/main" id="{5866A17E-2A19-7F86-7835-DF6B7F046470}"/>
            </a:ext>
          </a:extLst>
        </xdr:cNvPr>
        <xdr:cNvPicPr>
          <a:picLocks noChangeAspect="1"/>
        </xdr:cNvPicPr>
      </xdr:nvPicPr>
      <xdr:blipFill>
        <a:blip xmlns:r="http://schemas.openxmlformats.org/officeDocument/2006/relationships" r:embed="rId9"/>
        <a:stretch>
          <a:fillRect/>
        </a:stretch>
      </xdr:blipFill>
      <xdr:spPr>
        <a:xfrm>
          <a:off x="8334375" y="7406237"/>
          <a:ext cx="11237605" cy="72705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hyperlink" Target="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TargetMode="External"/><Relationship Id="rId2" Type="http://schemas.openxmlformats.org/officeDocument/2006/relationships/hyperlink" Target="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TargetMode="External"/><Relationship Id="rId1" Type="http://schemas.openxmlformats.org/officeDocument/2006/relationships/hyperlink" Target="https://bj.58.com/shangpu/85374604718685x.shtml?PGTID=0d006b31-0000-0bb2-846d-b2ff124ec25a&amp;ClickID=3" TargetMode="External"/><Relationship Id="rId5" Type="http://schemas.openxmlformats.org/officeDocument/2006/relationships/drawing" Target="../drawings/drawing1.xml"/><Relationship Id="rId4" Type="http://schemas.openxmlformats.org/officeDocument/2006/relationships/hyperlink" Target="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2026年1月9日</v>
      </c>
    </row>
    <row r="13" spans="1:2">
      <c r="A13" s="1029" t="s">
        <v>524</v>
      </c>
      <c r="B13" s="1030"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39"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9"/>
      <c r="B54" s="1334" t="s">
        <v>380</v>
      </c>
      <c r="C54" s="1332" t="s">
        <v>578</v>
      </c>
    </row>
    <row r="55" spans="1:4">
      <c r="A55" s="3039"/>
      <c r="B55" s="1334" t="s">
        <v>381</v>
      </c>
      <c r="C55" s="1332" t="s">
        <v>579</v>
      </c>
    </row>
    <row r="56" spans="1:4">
      <c r="A56" s="3039"/>
      <c r="B56" s="1334" t="s">
        <v>382</v>
      </c>
      <c r="C56" s="1332" t="s">
        <v>583</v>
      </c>
    </row>
    <row r="57" spans="1:4">
      <c r="A57" s="3039"/>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0" t="s">
        <v>2482</v>
      </c>
      <c r="J2" s="3040"/>
      <c r="K2" s="3040"/>
      <c r="L2" s="3040"/>
      <c r="M2" s="3040"/>
      <c r="N2" s="3040"/>
      <c r="O2" s="3040"/>
      <c r="P2" s="3040"/>
      <c r="Q2" s="3040"/>
      <c r="R2" s="3040"/>
    </row>
    <row r="3" spans="1:18">
      <c r="A3" s="2582" t="s">
        <v>2403</v>
      </c>
      <c r="B3" s="2583">
        <f>项目基本情况!D3</f>
        <v>46031</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0.94</v>
      </c>
      <c r="D5" s="2587">
        <f>IF(ISERROR(ROUND(POWER(1+E5,A5-C5)*(POWER(1+E5,C5)-1)/(POWER(1+E5,A5)-1),3)),0,ROUND(POWER(1+E5,A5-C5)*(POWER(1+E5,C5)-1)/(POWER(1+E5,A5)-1),4))</f>
        <v>4.5699999999999998E-2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10.95</v>
      </c>
      <c r="D6" s="2587">
        <f>IF(ISERROR(ROUND(POWER(1+E6,A6-C6)*(POWER(1+E6,C6)-1)/(POWER(1+E6,A6)-1),3)),0,ROUND(POWER(1+E6,A6-C6)*(POWER(1+E6,C6)-1)/(POWER(1+E6,A6)-1),4))</f>
        <v>0.40629999999999999</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30.96</v>
      </c>
      <c r="D7" s="2587">
        <f>IF(ISERROR(ROUND(POWER(1+E7,A7-C7)*(POWER(1+E7,C7)-1)/(POWER(1+E7,A7)-1),3)),0,ROUND(POWER(1+E7,A7-C7)*(POWER(1+E7,C7)-1)/(POWER(1+E7,A7)-1),4))</f>
        <v>0.75129999999999997</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Q15" sqref="Q15"/>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48" t="str">
        <f>IF(B10="北京市","北京市",C10)&amp;F10&amp;IF(结果表!G1="在建","出让国有建设用地使用权及在建建筑物",IF(结果表!G1="土地","出让国有建设用地使用权",))&amp;B9&amp;"预评估"</f>
        <v>北京市预评估</v>
      </c>
      <c r="C1" s="3049"/>
      <c r="D1" s="3049"/>
      <c r="E1" s="3049"/>
      <c r="F1" s="3049"/>
      <c r="G1" s="3049"/>
      <c r="H1" s="3049"/>
      <c r="I1" s="3050"/>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45967</v>
      </c>
      <c r="C3" s="2010" t="s">
        <v>2073</v>
      </c>
      <c r="D3" s="2009">
        <v>46031</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1" t="s">
        <v>2079</v>
      </c>
      <c r="E8" s="2026"/>
      <c r="F8" s="2027"/>
      <c r="G8" s="2266"/>
      <c r="H8" s="2266"/>
      <c r="I8" s="2266"/>
      <c r="J8" s="2069"/>
      <c r="K8" s="2224"/>
      <c r="L8" s="2223"/>
      <c r="M8" s="2223"/>
      <c r="N8" s="2069"/>
      <c r="O8" s="1557"/>
      <c r="P8" s="2069"/>
      <c r="Q8" s="2069"/>
      <c r="R8" s="2069"/>
    </row>
    <row r="9" spans="1:30" ht="13.5" thickBot="1">
      <c r="A9" s="2028" t="s">
        <v>2080</v>
      </c>
      <c r="B9" s="2029"/>
      <c r="C9" s="2030"/>
      <c r="D9" s="3052"/>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31.18611111111111</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58"/>
      <c r="C16" s="3059"/>
      <c r="D16" s="3060"/>
      <c r="E16" s="2046" t="s">
        <v>2096</v>
      </c>
      <c r="F16" s="3061"/>
      <c r="G16" s="3062"/>
      <c r="H16" s="3062"/>
      <c r="I16" s="3063"/>
      <c r="J16" s="2069"/>
      <c r="K16" s="2227"/>
      <c r="L16" s="1557"/>
      <c r="M16" s="1557"/>
      <c r="N16" s="2069"/>
      <c r="O16" s="1557"/>
      <c r="P16" s="2069"/>
      <c r="Q16" s="2069"/>
      <c r="R16" s="2069"/>
    </row>
    <row r="17" spans="1:28">
      <c r="A17" s="303" t="s">
        <v>2097</v>
      </c>
      <c r="B17" s="292" t="s">
        <v>2098</v>
      </c>
      <c r="C17" s="8">
        <f>'数据-汇总表'!E3</f>
        <v>495.26</v>
      </c>
      <c r="D17" s="1143" t="s">
        <v>2099</v>
      </c>
      <c r="E17" s="3064" t="s">
        <v>2100</v>
      </c>
      <c r="F17" s="3065"/>
      <c r="G17" s="3065"/>
      <c r="H17" s="3065"/>
      <c r="I17" s="3066"/>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7" t="s">
        <v>2104</v>
      </c>
      <c r="F18" s="3068"/>
      <c r="G18" s="3068"/>
      <c r="H18" s="3068"/>
      <c r="I18" s="3069"/>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4" t="s">
        <v>2108</v>
      </c>
      <c r="C20" s="3055"/>
      <c r="D20" s="3056" t="s">
        <v>2109</v>
      </c>
      <c r="E20" s="3057"/>
      <c r="F20" s="2254" t="s">
        <v>1050</v>
      </c>
      <c r="G20" s="2266"/>
      <c r="H20" s="2266"/>
      <c r="I20" s="2266"/>
      <c r="J20" s="2069"/>
      <c r="K20" s="3053"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3"/>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3"/>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2"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2"/>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2"/>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3"/>
      <c r="B30" s="292" t="s">
        <v>2120</v>
      </c>
      <c r="C30" s="3044"/>
      <c r="D30" s="3045"/>
      <c r="E30" s="2266"/>
      <c r="F30" s="2266"/>
      <c r="G30" s="2266"/>
      <c r="H30" s="2266"/>
      <c r="I30" s="2266"/>
      <c r="J30" s="2069"/>
      <c r="K30" s="2226"/>
      <c r="L30" s="2223"/>
      <c r="M30" s="2223"/>
      <c r="N30" s="2069"/>
      <c r="O30" s="1557"/>
      <c r="P30" s="2069"/>
      <c r="Q30" s="2069"/>
      <c r="R30" s="2069"/>
      <c r="S30" s="2069"/>
      <c r="T30" s="2069"/>
      <c r="U30" s="2069"/>
      <c r="V30" s="2069"/>
    </row>
    <row r="31" spans="1:28">
      <c r="A31" s="3046"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7"/>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7"/>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1" t="s">
        <v>2130</v>
      </c>
      <c r="T34" s="313" t="str">
        <f>NUMBERSTRING(7-K34,1)&amp;"通"</f>
        <v>七通</v>
      </c>
      <c r="U34" s="2069"/>
      <c r="V34" s="2069"/>
    </row>
    <row r="35" spans="1:30">
      <c r="A35" s="2060"/>
      <c r="B35" s="3041" t="s">
        <v>2131</v>
      </c>
      <c r="C35" s="3041"/>
      <c r="D35" s="3041"/>
      <c r="E35" s="3041"/>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1"/>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79" t="s">
        <v>1125</v>
      </c>
      <c r="B2" s="3079"/>
      <c r="C2" s="3079"/>
      <c r="D2" s="726" t="s">
        <v>1101</v>
      </c>
      <c r="E2" s="1410" t="s">
        <v>1102</v>
      </c>
      <c r="F2" s="2263"/>
      <c r="G2" s="2256"/>
      <c r="H2" s="2257"/>
      <c r="I2" s="1970" t="s">
        <v>1126</v>
      </c>
      <c r="J2" s="2263"/>
      <c r="K2" s="2263"/>
      <c r="L2" s="2263"/>
      <c r="M2" s="2263"/>
      <c r="N2" s="2264"/>
      <c r="O2" s="2263"/>
      <c r="P2" s="2263"/>
    </row>
    <row r="3" spans="1:16" ht="15.75" thickBot="1">
      <c r="A3" s="3080" t="s">
        <v>1099</v>
      </c>
      <c r="B3" s="3080"/>
      <c r="C3" s="3080"/>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1"/>
      <c r="B4" s="3082"/>
      <c r="C4" s="3083"/>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4" t="s">
        <v>1104</v>
      </c>
      <c r="C5" s="3084"/>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4" t="s">
        <v>1105</v>
      </c>
      <c r="C6" s="3084"/>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6"/>
      <c r="B7" s="3077"/>
      <c r="C7" s="3078"/>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3" t="s">
        <v>1129</v>
      </c>
      <c r="L16" s="3074"/>
      <c r="M16" s="3074"/>
      <c r="N16" s="3074"/>
      <c r="O16" s="3074"/>
      <c r="P16" s="3075"/>
    </row>
    <row r="17" spans="1:19" ht="15">
      <c r="A17" s="1420" t="s">
        <v>1130</v>
      </c>
      <c r="B17" s="1421" t="s">
        <v>1131</v>
      </c>
      <c r="C17" s="1422" t="s">
        <v>1132</v>
      </c>
      <c r="D17" s="1423" t="s">
        <v>1120</v>
      </c>
      <c r="E17" s="1424" t="s">
        <v>1121</v>
      </c>
      <c r="F17" s="1425"/>
      <c r="G17" s="1426"/>
      <c r="H17" s="1427" t="s">
        <v>1133</v>
      </c>
      <c r="I17" s="1428" t="s">
        <v>1118</v>
      </c>
      <c r="J17" s="984"/>
      <c r="K17" s="3070" t="s">
        <v>1134</v>
      </c>
      <c r="L17" s="3071"/>
      <c r="M17" s="3072"/>
      <c r="N17" s="3070" t="s">
        <v>1135</v>
      </c>
      <c r="O17" s="3071"/>
      <c r="P17" s="3072"/>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46031</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5" t="s">
        <v>2188</v>
      </c>
      <c r="B1" s="3086"/>
      <c r="C1" s="3086"/>
      <c r="D1" s="3086"/>
      <c r="E1" s="3086"/>
      <c r="F1" s="3086"/>
      <c r="G1" s="3086"/>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46031</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928</v>
      </c>
      <c r="C10" s="2124" t="s">
        <v>3256</v>
      </c>
      <c r="D10" s="2124" t="s">
        <v>3257</v>
      </c>
      <c r="E10" s="2955">
        <f>'比较法-商业'!C48</f>
        <v>3.8</v>
      </c>
      <c r="F10" s="2959" t="s">
        <v>3258</v>
      </c>
      <c r="G10" s="2956">
        <v>6.5000000000000002E-2</v>
      </c>
      <c r="H10" s="2287"/>
      <c r="I10" s="2287"/>
      <c r="J10" s="2287"/>
      <c r="K10" s="2287"/>
    </row>
    <row r="11" spans="1:11" ht="16.5">
      <c r="A11" s="2124" t="s">
        <v>665</v>
      </c>
      <c r="B11" s="1135">
        <f>ROUND(E10*365/G10,0)</f>
        <v>21338</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1" t="str">
        <f>项目基本情况!S2</f>
        <v>北京市房地产</v>
      </c>
      <c r="B2" s="3122"/>
      <c r="C2" s="3122"/>
      <c r="D2" s="3122"/>
      <c r="E2" s="3122"/>
      <c r="F2" s="3122"/>
      <c r="G2" s="3122"/>
      <c r="H2" s="3122"/>
      <c r="I2" s="3123"/>
    </row>
    <row r="3" spans="1:12" ht="12.75">
      <c r="A3" s="3125" t="s">
        <v>1256</v>
      </c>
      <c r="B3" s="3126"/>
      <c r="C3" s="3126"/>
      <c r="D3" s="3126"/>
      <c r="E3" s="3126"/>
      <c r="F3" s="3126"/>
      <c r="G3" s="3126"/>
      <c r="H3" s="3126"/>
      <c r="I3" s="3126"/>
    </row>
    <row r="4" spans="1:12" ht="14.25">
      <c r="A4" s="1511" t="s">
        <v>1257</v>
      </c>
      <c r="B4" s="1512" t="s">
        <v>1258</v>
      </c>
      <c r="C4" s="1513"/>
      <c r="D4" s="1513"/>
      <c r="E4" s="3127" t="s">
        <v>1259</v>
      </c>
      <c r="F4" s="3128"/>
      <c r="G4" s="3128"/>
      <c r="H4" s="3128"/>
      <c r="I4" s="3129"/>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1" t="s">
        <v>1260</v>
      </c>
      <c r="B5" s="3088">
        <v>25</v>
      </c>
      <c r="C5" s="3104"/>
      <c r="D5" s="3124"/>
      <c r="E5" s="122" t="s">
        <v>1261</v>
      </c>
      <c r="F5" s="1514"/>
      <c r="G5" s="1514"/>
      <c r="H5" s="1514"/>
      <c r="I5" s="1168"/>
    </row>
    <row r="6" spans="1:12" ht="12.75">
      <c r="A6" s="3101"/>
      <c r="B6" s="3088"/>
      <c r="C6" s="3105"/>
      <c r="D6" s="3124"/>
      <c r="E6" s="122" t="s">
        <v>1262</v>
      </c>
      <c r="F6" s="1514"/>
      <c r="G6" s="1514"/>
      <c r="H6" s="1514"/>
      <c r="I6" s="1168"/>
    </row>
    <row r="7" spans="1:12" ht="12.75">
      <c r="A7" s="3101"/>
      <c r="B7" s="3088"/>
      <c r="C7" s="3106"/>
      <c r="D7" s="3124"/>
      <c r="E7" s="122" t="s">
        <v>1263</v>
      </c>
      <c r="F7" s="1514"/>
      <c r="G7" s="1514"/>
      <c r="H7" s="1514"/>
      <c r="I7" s="1168"/>
    </row>
    <row r="8" spans="1:12" ht="12.75">
      <c r="A8" s="3101" t="s">
        <v>1264</v>
      </c>
      <c r="B8" s="3088">
        <v>15</v>
      </c>
      <c r="C8" s="3104"/>
      <c r="D8" s="3124"/>
      <c r="E8" s="122" t="s">
        <v>1265</v>
      </c>
      <c r="F8" s="1514"/>
      <c r="G8" s="1514"/>
      <c r="H8" s="1514"/>
      <c r="I8" s="1168"/>
    </row>
    <row r="9" spans="1:12" ht="12.75">
      <c r="A9" s="3101"/>
      <c r="B9" s="3088"/>
      <c r="C9" s="3106"/>
      <c r="D9" s="3124"/>
      <c r="E9" s="122" t="s">
        <v>1266</v>
      </c>
      <c r="F9" s="1514"/>
      <c r="G9" s="1514"/>
      <c r="H9" s="1514"/>
      <c r="I9" s="1168"/>
    </row>
    <row r="10" spans="1:12" ht="12.75">
      <c r="A10" s="3101" t="s">
        <v>1267</v>
      </c>
      <c r="B10" s="3088">
        <v>15</v>
      </c>
      <c r="C10" s="3104"/>
      <c r="D10" s="3124"/>
      <c r="E10" s="122" t="s">
        <v>1268</v>
      </c>
      <c r="F10" s="1514"/>
      <c r="G10" s="1514"/>
      <c r="H10" s="1514"/>
      <c r="I10" s="1168"/>
    </row>
    <row r="11" spans="1:12" ht="12.75">
      <c r="A11" s="3101"/>
      <c r="B11" s="3088"/>
      <c r="C11" s="3106"/>
      <c r="D11" s="3124"/>
      <c r="E11" s="122" t="s">
        <v>1269</v>
      </c>
      <c r="F11" s="1514"/>
      <c r="G11" s="1514"/>
      <c r="H11" s="1514"/>
      <c r="I11" s="1168"/>
    </row>
    <row r="12" spans="1:12" ht="12.75">
      <c r="A12" s="3101" t="s">
        <v>1270</v>
      </c>
      <c r="B12" s="3088">
        <v>15</v>
      </c>
      <c r="C12" s="3104"/>
      <c r="D12" s="3124"/>
      <c r="E12" s="122" t="s">
        <v>1271</v>
      </c>
      <c r="F12" s="1514"/>
      <c r="G12" s="1514"/>
      <c r="H12" s="1514"/>
      <c r="I12" s="1168"/>
    </row>
    <row r="13" spans="1:12" ht="12.75">
      <c r="A13" s="3101"/>
      <c r="B13" s="3088"/>
      <c r="C13" s="3106"/>
      <c r="D13" s="3124"/>
      <c r="E13" s="122" t="s">
        <v>1272</v>
      </c>
      <c r="F13" s="1514"/>
      <c r="G13" s="1514"/>
      <c r="H13" s="1514"/>
      <c r="I13" s="1168"/>
    </row>
    <row r="14" spans="1:12" ht="12.75">
      <c r="A14" s="3101" t="s">
        <v>1273</v>
      </c>
      <c r="B14" s="3088">
        <v>30</v>
      </c>
      <c r="C14" s="3104"/>
      <c r="D14" s="3124"/>
      <c r="E14" s="122" t="s">
        <v>1274</v>
      </c>
      <c r="F14" s="1514"/>
      <c r="G14" s="1514"/>
      <c r="H14" s="1514"/>
      <c r="I14" s="1168"/>
    </row>
    <row r="15" spans="1:12" ht="12.75">
      <c r="A15" s="3101"/>
      <c r="B15" s="3088"/>
      <c r="C15" s="3105"/>
      <c r="D15" s="3124"/>
      <c r="E15" s="122" t="s">
        <v>1275</v>
      </c>
      <c r="F15" s="1514"/>
      <c r="G15" s="1514"/>
      <c r="H15" s="1514"/>
      <c r="I15" s="1168"/>
    </row>
    <row r="16" spans="1:12" ht="12.75">
      <c r="A16" s="3101"/>
      <c r="B16" s="3088"/>
      <c r="C16" s="3106"/>
      <c r="D16" s="3124"/>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1" t="s">
        <v>2033</v>
      </c>
      <c r="F18" s="3112"/>
      <c r="G18" s="3112"/>
      <c r="H18" s="3112"/>
      <c r="I18" s="3112"/>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5" t="s">
        <v>1291</v>
      </c>
      <c r="B24" s="1518" t="s">
        <v>1283</v>
      </c>
      <c r="C24" s="127">
        <f>IF(B30=0,0,D30)</f>
        <v>0</v>
      </c>
      <c r="D24" s="1524"/>
      <c r="E24" s="120"/>
      <c r="F24" s="120"/>
      <c r="G24" s="120"/>
      <c r="H24" s="120"/>
      <c r="I24" s="120"/>
    </row>
    <row r="25" spans="1:36" ht="14.25">
      <c r="A25" s="3096"/>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5" t="s">
        <v>1304</v>
      </c>
      <c r="B36" s="1539" t="s">
        <v>1305</v>
      </c>
      <c r="C36" s="136"/>
      <c r="D36" s="1540"/>
      <c r="E36" s="1454"/>
      <c r="F36" s="1541"/>
      <c r="G36" s="120"/>
      <c r="H36" s="120"/>
      <c r="I36" s="120"/>
    </row>
    <row r="37" spans="1:15" ht="15.75" thickBot="1">
      <c r="A37" s="3116"/>
      <c r="B37" s="1442" t="s">
        <v>1306</v>
      </c>
      <c r="C37" s="138"/>
      <c r="D37" s="984"/>
      <c r="E37" s="984"/>
      <c r="F37" s="1541"/>
      <c r="G37" s="120"/>
      <c r="H37" s="120"/>
      <c r="I37" s="120"/>
    </row>
    <row r="38" spans="1:15" ht="15.75" thickBot="1">
      <c r="A38" s="3117"/>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2" t="s">
        <v>1318</v>
      </c>
      <c r="B45" s="3093"/>
      <c r="C45" s="3094"/>
      <c r="D45" s="146" t="e">
        <f ca="1">ROUND(H101*F45,0)</f>
        <v>#REF!</v>
      </c>
      <c r="E45" s="147" t="s">
        <v>1319</v>
      </c>
      <c r="F45" s="148">
        <v>1</v>
      </c>
      <c r="G45" s="149" t="s">
        <v>1320</v>
      </c>
      <c r="H45" s="120"/>
      <c r="I45" s="120"/>
      <c r="J45" s="3170" t="s">
        <v>1321</v>
      </c>
      <c r="K45" s="3170"/>
      <c r="L45" s="3170"/>
      <c r="M45" s="3170"/>
      <c r="N45" s="3170"/>
      <c r="O45" s="3170"/>
    </row>
    <row r="46" spans="1:15" ht="14.25" customHeight="1">
      <c r="A46" s="3089" t="s">
        <v>1322</v>
      </c>
      <c r="B46" s="3090"/>
      <c r="C46" s="3090"/>
      <c r="D46" s="3090"/>
      <c r="E46" s="3090"/>
      <c r="F46" s="3090"/>
      <c r="G46" s="3091"/>
      <c r="H46" s="1555"/>
      <c r="I46" s="150"/>
      <c r="J46" s="2134">
        <v>1</v>
      </c>
      <c r="K46" s="3151" t="s">
        <v>1323</v>
      </c>
      <c r="L46" s="3151"/>
      <c r="M46" s="3171"/>
      <c r="N46" s="3171"/>
      <c r="O46" s="3171"/>
    </row>
    <row r="47" spans="1:15" ht="12" customHeight="1">
      <c r="A47" s="151" t="s">
        <v>1324</v>
      </c>
      <c r="B47" s="152"/>
      <c r="C47" s="153"/>
      <c r="D47" s="937" t="s">
        <v>1325</v>
      </c>
      <c r="E47" s="292" t="s">
        <v>1326</v>
      </c>
      <c r="F47" s="154" t="s">
        <v>1327</v>
      </c>
      <c r="G47" s="2157" t="s">
        <v>1328</v>
      </c>
      <c r="H47" s="2158"/>
      <c r="I47" s="150"/>
      <c r="J47" s="2134">
        <v>2</v>
      </c>
      <c r="K47" s="3151" t="s">
        <v>1329</v>
      </c>
      <c r="L47" s="3151"/>
      <c r="M47" s="3172">
        <f>'数据-取费表'!B2</f>
        <v>46031</v>
      </c>
      <c r="N47" s="3172"/>
      <c r="O47" s="3172"/>
    </row>
    <row r="48" spans="1:15" ht="25.5">
      <c r="A48" s="3120" t="s">
        <v>1330</v>
      </c>
      <c r="B48" s="3103"/>
      <c r="C48" s="3103"/>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1" t="s">
        <v>1332</v>
      </c>
      <c r="L48" s="3151"/>
      <c r="M48" s="3173" t="e">
        <f ca="1">H101</f>
        <v>#REF!</v>
      </c>
      <c r="N48" s="3173"/>
      <c r="O48" s="3173"/>
    </row>
    <row r="49" spans="1:35" ht="25.5" customHeight="1">
      <c r="A49" s="1976" t="s">
        <v>1333</v>
      </c>
      <c r="B49" s="3087" t="s">
        <v>1334</v>
      </c>
      <c r="C49" s="3087"/>
      <c r="D49" s="1365">
        <v>0</v>
      </c>
      <c r="E49" s="314" t="s">
        <v>1335</v>
      </c>
      <c r="F49" s="2057" t="s">
        <v>23</v>
      </c>
      <c r="G49" s="3157"/>
      <c r="H49" s="1959" t="s">
        <v>2036</v>
      </c>
      <c r="I49" s="1960"/>
      <c r="J49" s="2134">
        <v>4</v>
      </c>
      <c r="K49" s="3151" t="str">
        <f>IF(项目基本情况!E8="房地产抵押价值","房地产抵押价值","抵押担保权已注销时的房地产抵押价值")</f>
        <v>抵押担保权已注销时的房地产抵押价值</v>
      </c>
      <c r="L49" s="3151"/>
      <c r="M49" s="3173" t="str">
        <f>IF(项目基本情况!E8="房地产抵押价值",H107,H109)</f>
        <v>——</v>
      </c>
      <c r="N49" s="3173"/>
      <c r="O49" s="3173"/>
    </row>
    <row r="50" spans="1:35" ht="25.5" customHeight="1">
      <c r="A50" s="2162"/>
      <c r="B50" s="3087" t="s">
        <v>1336</v>
      </c>
      <c r="C50" s="3087"/>
      <c r="D50" s="2013"/>
      <c r="E50" s="321"/>
      <c r="F50" s="2057"/>
      <c r="G50" s="3158"/>
      <c r="H50" s="1961" t="s">
        <v>2037</v>
      </c>
      <c r="I50" s="1960"/>
      <c r="J50" s="3170" t="s">
        <v>1337</v>
      </c>
      <c r="K50" s="3170"/>
      <c r="L50" s="3170"/>
      <c r="M50" s="3170"/>
      <c r="N50" s="3170"/>
      <c r="O50" s="3170"/>
    </row>
    <row r="51" spans="1:35" ht="20.45" customHeight="1">
      <c r="A51" s="2163"/>
      <c r="B51" s="3087" t="s">
        <v>1338</v>
      </c>
      <c r="C51" s="3087"/>
      <c r="D51" s="937"/>
      <c r="E51" s="317"/>
      <c r="F51" s="2057"/>
      <c r="G51" s="3159"/>
      <c r="H51" s="1961" t="s">
        <v>2038</v>
      </c>
      <c r="I51" s="1960"/>
      <c r="J51" s="2135" t="s">
        <v>1339</v>
      </c>
      <c r="K51" s="3151" t="s">
        <v>1340</v>
      </c>
      <c r="L51" s="3151"/>
      <c r="M51" s="2135" t="s">
        <v>1341</v>
      </c>
      <c r="N51" s="2135" t="s">
        <v>1342</v>
      </c>
      <c r="O51" s="2135" t="s">
        <v>1343</v>
      </c>
    </row>
    <row r="52" spans="1:35" ht="24" customHeight="1">
      <c r="A52" s="1977" t="s">
        <v>1344</v>
      </c>
      <c r="B52" s="3087" t="s">
        <v>1345</v>
      </c>
      <c r="C52" s="3087"/>
      <c r="D52" s="937" t="e">
        <f ca="1">ROUND(D45*'数据-取费表'!B41/(1+'数据-取费表'!C42),0)</f>
        <v>#REF!</v>
      </c>
      <c r="E52" s="1143" t="s">
        <v>1346</v>
      </c>
      <c r="F52" s="2164">
        <f>'数据-取费表'!B41</f>
        <v>0</v>
      </c>
      <c r="G52" s="2165"/>
      <c r="H52" s="2155"/>
      <c r="I52" s="1556"/>
      <c r="J52" s="2134">
        <v>1</v>
      </c>
      <c r="K52" s="3152" t="s">
        <v>1347</v>
      </c>
      <c r="L52" s="3152"/>
      <c r="M52" s="2136" t="b">
        <f>D48</f>
        <v>0</v>
      </c>
      <c r="N52" s="2134" t="str">
        <f>E48</f>
        <v>销售额×税（费）率</v>
      </c>
      <c r="O52" s="2137">
        <f>F48</f>
        <v>0</v>
      </c>
    </row>
    <row r="53" spans="1:35" ht="12" customHeight="1">
      <c r="A53" s="1977" t="s">
        <v>1348</v>
      </c>
      <c r="B53" s="3113" t="s">
        <v>2193</v>
      </c>
      <c r="C53" s="3114"/>
      <c r="D53" s="937" t="e">
        <f ca="1">ROUND(D45*'数据-取费表'!B41/(1+'数据-取费表'!C42),0)</f>
        <v>#REF!</v>
      </c>
      <c r="E53" s="1143" t="s">
        <v>1346</v>
      </c>
      <c r="F53" s="2164">
        <f>'数据-取费表'!B41</f>
        <v>0</v>
      </c>
      <c r="G53" s="2165"/>
      <c r="H53" s="2155"/>
      <c r="I53" s="1556"/>
      <c r="J53" s="2134">
        <v>2</v>
      </c>
      <c r="K53" s="3152" t="s">
        <v>1349</v>
      </c>
      <c r="L53" s="3152"/>
      <c r="M53" s="2136" t="e">
        <f t="shared" ref="M53:O54" ca="1" si="0">D55</f>
        <v>#REF!</v>
      </c>
      <c r="N53" s="2134" t="str">
        <f t="shared" si="0"/>
        <v>销售额×税（费）率</v>
      </c>
      <c r="O53" s="2137" t="str">
        <f t="shared" si="0"/>
        <v>免征</v>
      </c>
    </row>
    <row r="54" spans="1:35" ht="12" customHeight="1">
      <c r="A54" s="1977" t="s">
        <v>1350</v>
      </c>
      <c r="B54" s="3113" t="s">
        <v>2194</v>
      </c>
      <c r="C54" s="3114"/>
      <c r="D54" s="937" t="e">
        <f ca="1">C68</f>
        <v>#REF!</v>
      </c>
      <c r="E54" s="317" t="s">
        <v>1351</v>
      </c>
      <c r="F54" s="2164">
        <f>'数据-取费表'!B41</f>
        <v>0</v>
      </c>
      <c r="G54" s="2165"/>
      <c r="H54" s="2166"/>
      <c r="I54" s="1556"/>
      <c r="J54" s="2134">
        <v>3</v>
      </c>
      <c r="K54" s="3152" t="s">
        <v>1352</v>
      </c>
      <c r="L54" s="3152"/>
      <c r="M54" s="2136" t="e">
        <f t="shared" ca="1" si="0"/>
        <v>#REF!</v>
      </c>
      <c r="N54" s="2134" t="str">
        <f t="shared" si="0"/>
        <v>增值额×税（费）率</v>
      </c>
      <c r="O54" s="2138" t="str">
        <f t="shared" si="0"/>
        <v>免征</v>
      </c>
    </row>
    <row r="55" spans="1:35" ht="24" customHeight="1">
      <c r="A55" s="3102" t="s">
        <v>1353</v>
      </c>
      <c r="B55" s="3103"/>
      <c r="C55" s="3103"/>
      <c r="D55" s="12" t="e">
        <f ca="1">IF(H55="个人住宅",0,ROUND(D45*I55,0))</f>
        <v>#REF!</v>
      </c>
      <c r="E55" s="1143" t="s">
        <v>1354</v>
      </c>
      <c r="F55" s="2164" t="str">
        <f>IF(H55="正常",I55,"免征")</f>
        <v>免征</v>
      </c>
      <c r="G55" s="2165"/>
      <c r="H55" s="2161"/>
      <c r="I55" s="156">
        <f>'数据-取费表'!B49</f>
        <v>0</v>
      </c>
      <c r="J55" s="2134">
        <f>IF(H59="非个人房产","",4)</f>
        <v>4</v>
      </c>
      <c r="K55" s="3152" t="str">
        <f>IF(H59="非个人房产","——","个人所得税")</f>
        <v>个人所得税</v>
      </c>
      <c r="L55" s="3152"/>
      <c r="M55" s="2139" t="e">
        <f ca="1">D59</f>
        <v>#REF!</v>
      </c>
      <c r="N55" s="1713" t="str">
        <f>E59</f>
        <v>差额计税</v>
      </c>
      <c r="O55" s="2140">
        <f>F59</f>
        <v>0.01</v>
      </c>
    </row>
    <row r="56" spans="1:35" ht="24.75">
      <c r="A56" s="3102" t="s">
        <v>1355</v>
      </c>
      <c r="B56" s="3103"/>
      <c r="C56" s="3103"/>
      <c r="D56" s="12" t="e">
        <f ca="1">IF(H56="个人住宅",D57,D58)</f>
        <v>#REF!</v>
      </c>
      <c r="E56" s="1143" t="s">
        <v>1356</v>
      </c>
      <c r="F56" s="2164" t="str">
        <f>IF(H56="正常",F58,"免征")</f>
        <v>免征</v>
      </c>
      <c r="G56" s="2167" t="s">
        <v>1357</v>
      </c>
      <c r="H56" s="2168"/>
      <c r="I56" s="1557"/>
      <c r="J56" s="2134" t="str">
        <f>IF(项目基本情况!K6="上海银行",IF(J55="",4,J55+1),"")</f>
        <v/>
      </c>
      <c r="K56" s="3175" t="str">
        <f>IF(项目基本情况!K6="上海银行","其他处置费用","")</f>
        <v/>
      </c>
      <c r="L56" s="3176"/>
      <c r="M56" s="2136" t="str">
        <f>IF(项目基本情况!K6="上海银行",M69,"")</f>
        <v/>
      </c>
      <c r="N56" s="3175" t="str">
        <f>IF(项目基本情况!K6="上海银行","包含处置中涉及的律师、诉讼、拍卖、评估等费用","")</f>
        <v/>
      </c>
      <c r="O56" s="3178"/>
    </row>
    <row r="57" spans="1:35" ht="12.75">
      <c r="A57" s="1977" t="s">
        <v>1333</v>
      </c>
      <c r="B57" s="3113" t="s">
        <v>1358</v>
      </c>
      <c r="C57" s="3114"/>
      <c r="D57" s="1365">
        <v>0</v>
      </c>
      <c r="E57" s="314" t="s">
        <v>1335</v>
      </c>
      <c r="F57" s="292"/>
      <c r="G57" s="2165"/>
      <c r="H57" s="2169"/>
      <c r="I57" s="1557"/>
      <c r="J57" s="3152">
        <f>IF(AND(J55="",J56=""),4,IF(项目基本情况!K6="上海银行",结果表!J56+1,结果表!J55+1))</f>
        <v>5</v>
      </c>
      <c r="K57" s="3152" t="s">
        <v>1359</v>
      </c>
      <c r="L57" s="2141" t="s">
        <v>1360</v>
      </c>
      <c r="M57" s="2142"/>
      <c r="N57" s="2143">
        <f ca="1">SUMIF(M52:M56,"&lt;9e307")</f>
        <v>0</v>
      </c>
      <c r="O57" s="2144"/>
      <c r="P57" s="2289" t="e">
        <f ca="1">N57/M49</f>
        <v>#VALUE!</v>
      </c>
    </row>
    <row r="58" spans="1:35" ht="24.75">
      <c r="A58" s="1977" t="s">
        <v>1344</v>
      </c>
      <c r="B58" s="3113" t="s">
        <v>1361</v>
      </c>
      <c r="C58" s="3087"/>
      <c r="D58" s="12" t="e">
        <f ca="1">IF(H58="转让取得",C81,C97)</f>
        <v>#REF!</v>
      </c>
      <c r="E58" s="1143" t="s">
        <v>1356</v>
      </c>
      <c r="F58" s="292" t="s">
        <v>23</v>
      </c>
      <c r="G58" s="2165"/>
      <c r="H58" s="2168"/>
      <c r="I58" s="1557"/>
      <c r="J58" s="3152"/>
      <c r="K58" s="3152"/>
      <c r="L58" s="2141" t="s">
        <v>1362</v>
      </c>
      <c r="M58" s="2145"/>
      <c r="N58" s="2146" t="str">
        <f ca="1">NUMBERSTRING(INT(N57*10000),2)&amp;"元整"</f>
        <v>零元整</v>
      </c>
      <c r="O58" s="2147"/>
    </row>
    <row r="59" spans="1:35" ht="24.75" thickBot="1">
      <c r="A59" s="3155" t="s">
        <v>1363</v>
      </c>
      <c r="B59" s="3156"/>
      <c r="C59" s="3156"/>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3">
        <f>J57+1</f>
        <v>6</v>
      </c>
      <c r="K59" s="3152" t="s">
        <v>1364</v>
      </c>
      <c r="L59" s="2134" t="s">
        <v>1360</v>
      </c>
      <c r="M59" s="2148"/>
      <c r="N59" s="2149" t="e">
        <f ca="1">M49-N57</f>
        <v>#VALUE!</v>
      </c>
      <c r="O59" s="2150"/>
    </row>
    <row r="60" spans="1:35" ht="12" customHeight="1">
      <c r="A60" s="1558"/>
      <c r="B60" s="626"/>
      <c r="C60" s="626"/>
      <c r="D60" s="626"/>
      <c r="E60" s="1353"/>
      <c r="F60" s="1557"/>
      <c r="G60" s="1557"/>
      <c r="H60" s="150"/>
      <c r="I60" s="120"/>
      <c r="J60" s="3154"/>
      <c r="K60" s="3152"/>
      <c r="L60" s="2141" t="s">
        <v>1362</v>
      </c>
      <c r="M60" s="2145"/>
      <c r="N60" s="2146" t="e">
        <f ca="1">NUMBERSTRING(INT(N59*10000),2)&amp;"元整"</f>
        <v>#VALUE!</v>
      </c>
      <c r="O60" s="2147"/>
    </row>
    <row r="61" spans="1:35" ht="13.5" thickBot="1">
      <c r="A61" s="3100" t="s">
        <v>1365</v>
      </c>
      <c r="B61" s="3100"/>
      <c r="C61" s="3100"/>
      <c r="D61" s="3100"/>
      <c r="E61" s="3100"/>
      <c r="F61" s="1557"/>
      <c r="G61" s="1557"/>
      <c r="H61" s="150"/>
      <c r="I61" s="120"/>
      <c r="J61" s="2134">
        <f>J59+1</f>
        <v>7</v>
      </c>
      <c r="K61" s="3152" t="s">
        <v>1366</v>
      </c>
      <c r="L61" s="3152"/>
      <c r="M61" s="2151"/>
      <c r="N61" s="2152" t="e">
        <f ca="1">ROUND(N59*10000/'数据-汇总表'!E3,0)</f>
        <v>#VALUE!</v>
      </c>
      <c r="O61" s="2153"/>
    </row>
    <row r="62" spans="1:35" ht="12.75">
      <c r="A62" s="3118" t="s">
        <v>1367</v>
      </c>
      <c r="B62" s="3119"/>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7"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7"/>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7"/>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7"/>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7"/>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7"/>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7"/>
      <c r="K69" s="1136" t="s">
        <v>1385</v>
      </c>
      <c r="L69" s="1136"/>
      <c r="M69" s="292" t="e">
        <f>ROUND(SUM(M63:M68),0)</f>
        <v>#VALUE!</v>
      </c>
      <c r="N69" s="2156" t="e">
        <f>M69/M49</f>
        <v>#VALUE!</v>
      </c>
      <c r="Z69" s="1510"/>
      <c r="AI69" s="1448"/>
    </row>
    <row r="70" spans="1:35" s="622" customFormat="1" ht="15" thickBot="1">
      <c r="A70" s="3139" t="s">
        <v>1386</v>
      </c>
      <c r="B70" s="3140"/>
      <c r="C70" s="3140"/>
      <c r="D70" s="3140"/>
      <c r="E70" s="3140"/>
      <c r="F70" s="3140"/>
      <c r="G70" s="3140"/>
      <c r="H70" s="3140"/>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18" t="s">
        <v>1367</v>
      </c>
      <c r="B71" s="3119"/>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3" t="s">
        <v>1394</v>
      </c>
      <c r="F76" s="3087"/>
      <c r="G76" s="3087"/>
      <c r="H76" s="3138"/>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7" t="s">
        <v>1398</v>
      </c>
      <c r="F78" s="3098"/>
      <c r="G78" s="3098"/>
      <c r="H78" s="3107"/>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39" t="s">
        <v>1402</v>
      </c>
      <c r="B83" s="3140"/>
      <c r="C83" s="3140"/>
      <c r="D83" s="3140"/>
      <c r="E83" s="3140"/>
      <c r="F83" s="3140"/>
      <c r="G83" s="3140"/>
      <c r="H83" s="3140"/>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18" t="s">
        <v>1367</v>
      </c>
      <c r="B84" s="3119"/>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79" t="s">
        <v>2031</v>
      </c>
      <c r="H90" s="3180"/>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7" t="s">
        <v>1411</v>
      </c>
      <c r="F91" s="3098"/>
      <c r="G91" s="3098"/>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7" t="s">
        <v>1414</v>
      </c>
      <c r="F92" s="3098"/>
      <c r="G92" s="3098"/>
      <c r="H92" s="3107"/>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7" t="s">
        <v>1398</v>
      </c>
      <c r="F93" s="3098"/>
      <c r="G93" s="3098"/>
      <c r="H93" s="3107"/>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08" t="s">
        <v>1418</v>
      </c>
      <c r="F94" s="3109"/>
      <c r="G94" s="3109"/>
      <c r="H94" s="3110"/>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1" t="s">
        <v>1420</v>
      </c>
      <c r="B100" s="3082"/>
      <c r="C100" s="3082"/>
      <c r="D100" s="3099"/>
      <c r="E100" s="3082" t="s">
        <v>1421</v>
      </c>
      <c r="F100" s="3082"/>
      <c r="G100" s="3082"/>
      <c r="H100" s="3099"/>
      <c r="I100" s="120"/>
    </row>
    <row r="101" spans="1:35" ht="18.75" customHeight="1">
      <c r="A101" s="3160" t="s">
        <v>1422</v>
      </c>
      <c r="B101" s="3161"/>
      <c r="C101" s="2195">
        <f>C4</f>
        <v>0</v>
      </c>
      <c r="D101" s="2196">
        <f>D4</f>
        <v>0</v>
      </c>
      <c r="E101" s="3174" t="s">
        <v>1423</v>
      </c>
      <c r="F101" s="3131"/>
      <c r="G101" s="1574" t="s">
        <v>1424</v>
      </c>
      <c r="H101" s="2205" t="e">
        <f ca="1">H118</f>
        <v>#REF!</v>
      </c>
      <c r="I101" s="120"/>
    </row>
    <row r="102" spans="1:35" ht="18.75" customHeight="1">
      <c r="A102" s="3133" t="s">
        <v>1425</v>
      </c>
      <c r="B102" s="2194" t="s">
        <v>1424</v>
      </c>
      <c r="C102" s="2195" t="e">
        <f ca="1">IF(D32="楼面单价",ROUND(C19,0),C19)</f>
        <v>#REF!</v>
      </c>
      <c r="D102" s="2196" t="e">
        <f ca="1">IF(D32="楼面单价",ROUND(D19,0),D19)</f>
        <v>#REF!</v>
      </c>
      <c r="E102" s="3174"/>
      <c r="F102" s="3131"/>
      <c r="G102" s="1574" t="s">
        <v>1426</v>
      </c>
      <c r="H102" s="2165" t="e">
        <f ca="1">I118</f>
        <v>#REF!</v>
      </c>
      <c r="I102" s="120"/>
    </row>
    <row r="103" spans="1:35" ht="42.75" customHeight="1">
      <c r="A103" s="3133"/>
      <c r="B103" s="2194" t="s">
        <v>1426</v>
      </c>
      <c r="C103" s="2197" t="e">
        <f ca="1">C20</f>
        <v>#REF!</v>
      </c>
      <c r="D103" s="2198" t="e">
        <f ca="1">D20</f>
        <v>#REF!</v>
      </c>
      <c r="E103" s="3168" t="s">
        <v>1427</v>
      </c>
      <c r="F103" s="3169"/>
      <c r="G103" s="1575" t="s">
        <v>1428</v>
      </c>
      <c r="H103" s="2205">
        <f>IF(D36="正常操作",H104+H105+H106,H105+H106)</f>
        <v>0</v>
      </c>
      <c r="I103" s="120"/>
    </row>
    <row r="104" spans="1:35" ht="18.75" customHeight="1">
      <c r="A104" s="3133"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4"/>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30" t="str">
        <f>IF(项目基本情况!E8="已注销","——","3.房地产抵押价值")</f>
        <v>3.房地产抵押价值</v>
      </c>
      <c r="F107" s="3131"/>
      <c r="G107" s="1574" t="s">
        <v>1424</v>
      </c>
      <c r="H107" s="2205" t="e">
        <f ca="1">IF(E107="——","——",H101-H103)</f>
        <v>#REF!</v>
      </c>
      <c r="I107" s="120"/>
    </row>
    <row r="108" spans="1:35" ht="18.75" customHeight="1">
      <c r="A108" s="120"/>
      <c r="B108" s="120"/>
      <c r="C108" s="120"/>
      <c r="D108" s="120"/>
      <c r="E108" s="3130"/>
      <c r="F108" s="3131"/>
      <c r="G108" s="1574" t="s">
        <v>1426</v>
      </c>
      <c r="H108" s="2165">
        <f ca="1">IF(H107=H101,H102,ROUND(H107*10000/'数据-汇总表'!E3,0))</f>
        <v>0</v>
      </c>
      <c r="I108" s="120"/>
    </row>
    <row r="109" spans="1:35" ht="18.75" customHeight="1">
      <c r="A109" s="120"/>
      <c r="B109" s="120"/>
      <c r="C109" s="120"/>
      <c r="D109" s="120"/>
      <c r="E109" s="3130" t="str">
        <f>IF(项目基本情况!E8="已注销及未注销","4.抵押担保权已注销时的房地产抵押价值",IF(项目基本情况!E8="已注销","3.抵押担保权已注销时的房地产抵押价值","——"))</f>
        <v>——</v>
      </c>
      <c r="F109" s="3131"/>
      <c r="G109" s="1574" t="s">
        <v>1424</v>
      </c>
      <c r="H109" s="2208" t="str">
        <f>IF(E109="——","——",H101-H105-H106)</f>
        <v>——</v>
      </c>
      <c r="I109" s="120"/>
    </row>
    <row r="110" spans="1:35" ht="18.75" customHeight="1">
      <c r="A110" s="120"/>
      <c r="B110" s="120"/>
      <c r="C110" s="120"/>
      <c r="D110" s="120"/>
      <c r="E110" s="3130"/>
      <c r="F110" s="3131"/>
      <c r="G110" s="1574" t="s">
        <v>1426</v>
      </c>
      <c r="H110" s="2165" t="str">
        <f>IF(H109="——","——",ROUND(H109*10000/'数据-汇总表'!E3,0))</f>
        <v>——</v>
      </c>
      <c r="I110" s="120"/>
    </row>
    <row r="111" spans="1:35" ht="18.75" customHeight="1">
      <c r="A111" s="120"/>
      <c r="B111" s="120"/>
      <c r="C111" s="120"/>
      <c r="D111" s="120"/>
      <c r="E111" s="3162" t="str">
        <f>IF(项目基本情况!E9="抵押净值",IF(OR(项目基本情况!E8="已注销",项目基本情况!E8="房地产抵押价值"),"4.抵押净值","5.抵押净值"),"——")</f>
        <v>——</v>
      </c>
      <c r="F111" s="3132"/>
      <c r="G111" s="1574" t="s">
        <v>1424</v>
      </c>
      <c r="H111" s="2205" t="str">
        <f>IF(E111="——","——",N59)</f>
        <v>——</v>
      </c>
      <c r="I111" s="120"/>
    </row>
    <row r="112" spans="1:35" ht="18.75" customHeight="1" thickBot="1">
      <c r="A112" s="120"/>
      <c r="B112" s="120"/>
      <c r="C112" s="120"/>
      <c r="D112" s="120"/>
      <c r="E112" s="3163"/>
      <c r="F112" s="3164"/>
      <c r="G112" s="1577" t="s">
        <v>1426</v>
      </c>
      <c r="H112" s="2209" t="str">
        <f>IF(E111="——","——",N61)</f>
        <v>——</v>
      </c>
      <c r="I112" s="120"/>
    </row>
    <row r="113" spans="1:27" ht="18.75" customHeight="1">
      <c r="A113" s="120"/>
      <c r="B113" s="120"/>
      <c r="C113" s="120"/>
      <c r="D113" s="120"/>
      <c r="E113" s="3135" t="s">
        <v>1432</v>
      </c>
      <c r="F113" s="3135"/>
      <c r="G113" s="3135"/>
      <c r="H113" s="3135"/>
      <c r="I113" s="120"/>
    </row>
    <row r="114" spans="1:27" ht="3.75" customHeight="1">
      <c r="A114" s="626"/>
      <c r="B114" s="626"/>
      <c r="C114" s="626"/>
      <c r="D114" s="626"/>
      <c r="E114" s="1558"/>
      <c r="F114" s="1558"/>
      <c r="G114" s="1558"/>
      <c r="H114" s="1558"/>
      <c r="I114" s="626"/>
    </row>
    <row r="115" spans="1:27" ht="18.75" customHeight="1">
      <c r="A115" s="3145" t="s">
        <v>1434</v>
      </c>
      <c r="B115" s="3146"/>
      <c r="C115" s="3146"/>
      <c r="D115" s="3146"/>
      <c r="E115" s="3146"/>
      <c r="F115" s="3146"/>
      <c r="G115" s="3146"/>
      <c r="H115" s="3146"/>
      <c r="I115" s="3147"/>
    </row>
    <row r="116" spans="1:27" ht="27" customHeight="1">
      <c r="A116" s="3101" t="s">
        <v>1435</v>
      </c>
      <c r="B116" s="3136" t="s">
        <v>1436</v>
      </c>
      <c r="C116" s="3136" t="s">
        <v>1437</v>
      </c>
      <c r="D116" s="3149" t="s">
        <v>1438</v>
      </c>
      <c r="E116" s="3150"/>
      <c r="F116" s="3144" t="s">
        <v>1439</v>
      </c>
      <c r="G116" s="3144"/>
      <c r="H116" s="3101" t="s">
        <v>1440</v>
      </c>
      <c r="I116" s="3101"/>
    </row>
    <row r="117" spans="1:27" ht="18.75" customHeight="1">
      <c r="A117" s="3101"/>
      <c r="B117" s="3137"/>
      <c r="C117" s="3137"/>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1" t="s">
        <v>1444</v>
      </c>
      <c r="B119" s="3101"/>
      <c r="C119" s="3101"/>
      <c r="D119" s="3141" t="e">
        <f ca="1">NUMBERSTRING(INT(D118*10000),2)&amp;"元整"</f>
        <v>#REF!</v>
      </c>
      <c r="E119" s="3143"/>
      <c r="F119" s="3141" t="e">
        <f ca="1">NUMBERSTRING(INT(F118*10000),2)&amp;"元整"</f>
        <v>#REF!</v>
      </c>
      <c r="G119" s="3143"/>
      <c r="H119" s="3141" t="e">
        <f ca="1">NUMBERSTRING(INT(H118*10000),2)&amp;"元整"</f>
        <v>#REF!</v>
      </c>
      <c r="I119" s="3143"/>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1" t="s">
        <v>1444</v>
      </c>
      <c r="B121" s="3142"/>
      <c r="C121" s="3143"/>
      <c r="D121" s="3141" t="str">
        <f>IF(D120=0,"零元整",NUMBERSTRING(INT(D120*10000),2)&amp;"元整")</f>
        <v>零元整</v>
      </c>
      <c r="E121" s="3142"/>
      <c r="F121" s="3142"/>
      <c r="G121" s="3142"/>
      <c r="H121" s="3142"/>
      <c r="I121" s="3143"/>
      <c r="AA121" s="664"/>
    </row>
    <row r="122" spans="1:27" ht="18.75" customHeight="1">
      <c r="A122" s="3132" t="str">
        <f>IF(项目基本情况!B9="房地产市场价值","",MID(E107,3,LEN(E107)-2))</f>
        <v>房地产抵押价值</v>
      </c>
      <c r="B122" s="3132"/>
      <c r="C122" s="3132"/>
      <c r="D122" s="3165" t="e">
        <f ca="1">H107</f>
        <v>#REF!</v>
      </c>
      <c r="E122" s="3166"/>
      <c r="F122" s="3166"/>
      <c r="G122" s="3166"/>
      <c r="H122" s="3166"/>
      <c r="I122" s="3167"/>
      <c r="AA122" s="664"/>
    </row>
    <row r="123" spans="1:27" ht="18.75" customHeight="1">
      <c r="A123" s="3101" t="s">
        <v>1444</v>
      </c>
      <c r="B123" s="3101"/>
      <c r="C123" s="3101"/>
      <c r="D123" s="3141" t="e">
        <f ca="1">NUMBERSTRING(INT(D122*10000),2)&amp;"元整"</f>
        <v>#REF!</v>
      </c>
      <c r="E123" s="3142"/>
      <c r="F123" s="3142"/>
      <c r="G123" s="3142"/>
      <c r="H123" s="3142"/>
      <c r="I123" s="3143"/>
      <c r="AA123" s="664"/>
    </row>
    <row r="124" spans="1:27" ht="18.75" customHeight="1">
      <c r="A124" s="3132" t="str">
        <f>IF(项目基本情况!B9="房地产市场价值","",MID(E109,3,LEN(E109)-2))</f>
        <v/>
      </c>
      <c r="B124" s="3132"/>
      <c r="C124" s="3132"/>
      <c r="D124" s="3165" t="str">
        <f>H109</f>
        <v>——</v>
      </c>
      <c r="E124" s="3166"/>
      <c r="F124" s="3166"/>
      <c r="G124" s="3166"/>
      <c r="H124" s="3166"/>
      <c r="I124" s="3167"/>
      <c r="AA124" s="664"/>
    </row>
    <row r="125" spans="1:27" ht="18.75" customHeight="1">
      <c r="A125" s="3101" t="s">
        <v>1444</v>
      </c>
      <c r="B125" s="3101"/>
      <c r="C125" s="3101"/>
      <c r="D125" s="3141" t="e">
        <f>NUMBERSTRING(INT(D124*10000),2)&amp;"元整"</f>
        <v>#VALUE!</v>
      </c>
      <c r="E125" s="3142"/>
      <c r="F125" s="3142"/>
      <c r="G125" s="3142"/>
      <c r="H125" s="3142"/>
      <c r="I125" s="3143"/>
      <c r="AA125" s="664"/>
    </row>
    <row r="126" spans="1:27" ht="18.75" customHeight="1">
      <c r="A126" s="3132" t="str">
        <f>IF(项目基本情况!B9="房地产市场价值","",MID(E111,3,LEN(E111)-2))</f>
        <v/>
      </c>
      <c r="B126" s="3132"/>
      <c r="C126" s="3132"/>
      <c r="D126" s="3165" t="str">
        <f>H111</f>
        <v>——</v>
      </c>
      <c r="E126" s="3166"/>
      <c r="F126" s="3166"/>
      <c r="G126" s="3166"/>
      <c r="H126" s="3166"/>
      <c r="I126" s="3167"/>
      <c r="AA126" s="664"/>
    </row>
    <row r="127" spans="1:27" ht="18.75" customHeight="1">
      <c r="A127" s="3101" t="s">
        <v>1444</v>
      </c>
      <c r="B127" s="3101"/>
      <c r="C127" s="3101"/>
      <c r="D127" s="3141" t="e">
        <f>NUMBERSTRING(INT(D126*10000),2)&amp;"元整"</f>
        <v>#VALUE!</v>
      </c>
      <c r="E127" s="3142"/>
      <c r="F127" s="3142"/>
      <c r="G127" s="3142"/>
      <c r="H127" s="3142"/>
      <c r="I127" s="3143"/>
      <c r="AA127" s="664"/>
    </row>
    <row r="128" spans="1:27" ht="21.75" customHeight="1">
      <c r="A128" s="3148" t="s">
        <v>1445</v>
      </c>
      <c r="B128" s="3148"/>
      <c r="C128" s="3148"/>
      <c r="D128" s="3148"/>
      <c r="E128" s="3148"/>
      <c r="F128" s="3148"/>
      <c r="G128" s="3148"/>
      <c r="H128" s="3148"/>
      <c r="I128" s="3148"/>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1" t="s">
        <v>1536</v>
      </c>
    </row>
    <row r="43" spans="1:7" ht="13.5" customHeight="1">
      <c r="A43" s="712" t="s">
        <v>342</v>
      </c>
      <c r="B43" s="206" t="s">
        <v>1537</v>
      </c>
      <c r="C43" s="229" t="e">
        <f ca="1">ROUND(IF('数据-取费表'!B22&lt;=1,C39*F22*'数据-取费表'!B21/2,C39*(POWER((1+F22),'数据-取费表'!B21/2)-1)),0)</f>
        <v>#VALUE!</v>
      </c>
      <c r="D43" s="229"/>
      <c r="E43" s="229"/>
      <c r="F43" s="230"/>
      <c r="G43" s="3182"/>
    </row>
    <row r="44" spans="1:7" ht="13.5" customHeight="1">
      <c r="A44" s="712" t="s">
        <v>343</v>
      </c>
      <c r="B44" s="206" t="s">
        <v>1538</v>
      </c>
      <c r="C44" s="229" t="e">
        <f ca="1">ROUND(IF('数据-取费表'!B22&lt;=1,C40*F22*'数据-取费表'!B21/2,C40*(POWER((1+F22),'数据-取费表'!B21/2)-1)),4)</f>
        <v>#VALUE!</v>
      </c>
      <c r="D44" s="229"/>
      <c r="E44" s="229"/>
      <c r="F44" s="230"/>
      <c r="G44" s="3183"/>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2999" t="str">
        <f>项目基本情况!B1</f>
        <v>北京市预评估</v>
      </c>
      <c r="C37" s="2999"/>
      <c r="D37" s="2999"/>
      <c r="E37" s="2999"/>
      <c r="F37" s="2999"/>
      <c r="G37" s="2999"/>
      <c r="H37" s="2999"/>
      <c r="I37" s="2999"/>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1" t="s">
        <v>1583</v>
      </c>
    </row>
    <row r="43" spans="1:7" ht="13.5" customHeight="1">
      <c r="A43" s="712" t="s">
        <v>342</v>
      </c>
      <c r="B43" s="206" t="s">
        <v>1537</v>
      </c>
      <c r="C43" s="229" t="e">
        <f ca="1">ROUND(IF('数据-取费表'!B22&lt;=1,C39*F22*'数据-取费表'!B20/2,C39*(POWER((1+F22),'数据-取费表'!B20/2)-1)),0)</f>
        <v>#VALUE!</v>
      </c>
      <c r="D43" s="229"/>
      <c r="E43" s="229"/>
      <c r="F43" s="230"/>
      <c r="G43" s="3182"/>
    </row>
    <row r="44" spans="1:7" ht="13.5" customHeight="1">
      <c r="A44" s="712" t="s">
        <v>343</v>
      </c>
      <c r="B44" s="206" t="s">
        <v>1538</v>
      </c>
      <c r="C44" s="229" t="e">
        <f ca="1">ROUND(IF('数据-取费表'!B22&lt;=1,C40*F22*'数据-取费表'!B20/2,C40*(POWER((1+F22),'数据-取费表'!B20/2)-1)),4)</f>
        <v>#VALUE!</v>
      </c>
      <c r="D44" s="229"/>
      <c r="E44" s="229"/>
      <c r="F44" s="230"/>
      <c r="G44" s="3183"/>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6" t="s">
        <v>688</v>
      </c>
      <c r="C6" s="924">
        <f ca="1">ROUND(F6*F8*F7*(1-F9)/10000,0)</f>
        <v>0</v>
      </c>
      <c r="D6" s="146" t="s">
        <v>2011</v>
      </c>
      <c r="E6" s="292" t="s">
        <v>690</v>
      </c>
      <c r="F6" s="293">
        <f ca="1">INDIRECT("'数据-取费表'!u"&amp;$G$1)</f>
        <v>0</v>
      </c>
      <c r="G6" s="1179"/>
      <c r="H6" s="919" t="s">
        <v>393</v>
      </c>
      <c r="I6" s="3186" t="s">
        <v>688</v>
      </c>
      <c r="J6" s="291">
        <f ca="1">ROUND(M6*M8*M7*(1-M9)/10000,0)</f>
        <v>0</v>
      </c>
      <c r="K6" s="146" t="s">
        <v>2010</v>
      </c>
      <c r="L6" s="292" t="s">
        <v>690</v>
      </c>
      <c r="M6" s="293">
        <f ca="1">INDIRECT("'数据-取费表'!z"&amp;$G$1)</f>
        <v>0</v>
      </c>
    </row>
    <row r="7" spans="1:37" ht="18" customHeight="1">
      <c r="A7" s="923"/>
      <c r="B7" s="3187"/>
      <c r="C7" s="925"/>
      <c r="D7" s="297"/>
      <c r="E7" s="926" t="s">
        <v>691</v>
      </c>
      <c r="F7" s="293">
        <f ca="1">IF(INDIRECT("'数据-取费表'!ah"&amp;$G$1)="",INDIRECT("'数据-取费表'!k"&amp;$G$1),INDIRECT("'数据-取费表'!ah"&amp;$G$1))</f>
        <v>0</v>
      </c>
      <c r="G7" s="1179"/>
      <c r="H7" s="294"/>
      <c r="I7" s="3187"/>
      <c r="J7" s="296"/>
      <c r="K7" s="297"/>
      <c r="L7" s="292" t="s">
        <v>691</v>
      </c>
      <c r="M7" s="293">
        <f ca="1">F7</f>
        <v>0</v>
      </c>
    </row>
    <row r="8" spans="1:37" ht="18" customHeight="1">
      <c r="A8" s="294"/>
      <c r="B8" s="3187"/>
      <c r="C8" s="296"/>
      <c r="D8" s="297"/>
      <c r="E8" s="292" t="s">
        <v>692</v>
      </c>
      <c r="F8" s="293">
        <f ca="1">INDIRECT("'数据-取费表'!ai"&amp;$G$1)</f>
        <v>0</v>
      </c>
      <c r="G8" s="1179"/>
      <c r="H8" s="294"/>
      <c r="I8" s="3187"/>
      <c r="J8" s="296"/>
      <c r="K8" s="297"/>
      <c r="L8" s="292" t="s">
        <v>692</v>
      </c>
      <c r="M8" s="293">
        <f ca="1">INDIRECT("'数据-取费表'!ai"&amp;$G$1)</f>
        <v>0</v>
      </c>
    </row>
    <row r="9" spans="1:37" ht="18" customHeight="1">
      <c r="A9" s="294"/>
      <c r="B9" s="3188"/>
      <c r="C9" s="296"/>
      <c r="D9" s="297"/>
      <c r="E9" s="292" t="s">
        <v>693</v>
      </c>
      <c r="F9" s="302">
        <f ca="1">INDIRECT("'数据-取费表'!w"&amp;$G$1)</f>
        <v>0</v>
      </c>
      <c r="G9" s="1179"/>
      <c r="H9" s="294"/>
      <c r="I9" s="3188"/>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4" t="s">
        <v>831</v>
      </c>
      <c r="L53" s="3185"/>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6" t="s">
        <v>688</v>
      </c>
      <c r="C6" s="924">
        <f ca="1">ROUND(F6*F8*F7*(1-F9),0)</f>
        <v>0</v>
      </c>
      <c r="D6" s="146" t="s">
        <v>2008</v>
      </c>
      <c r="E6" s="292" t="s">
        <v>690</v>
      </c>
      <c r="F6" s="293">
        <f ca="1">INDIRECT("'数据-取费表'!u"&amp;$G$1)</f>
        <v>0</v>
      </c>
      <c r="G6" s="1179"/>
      <c r="H6" s="919" t="s">
        <v>393</v>
      </c>
      <c r="I6" s="3186" t="s">
        <v>688</v>
      </c>
      <c r="J6" s="291">
        <f ca="1">ROUND(M6*M8*M7*(1-M9),0)</f>
        <v>0</v>
      </c>
      <c r="K6" s="1171" t="s">
        <v>2009</v>
      </c>
      <c r="L6" s="292" t="s">
        <v>690</v>
      </c>
      <c r="M6" s="293">
        <f ca="1">INDIRECT("'数据-取费表'!z"&amp;$G$1)</f>
        <v>0</v>
      </c>
    </row>
    <row r="7" spans="1:37" ht="18" customHeight="1">
      <c r="A7" s="923"/>
      <c r="B7" s="3187"/>
      <c r="C7" s="925"/>
      <c r="D7" s="297"/>
      <c r="E7" s="926" t="s">
        <v>691</v>
      </c>
      <c r="F7" s="293">
        <f ca="1">IF(INDIRECT("'数据-取费表'!ah"&amp;$G$1)="",INDIRECT("'数据-取费表'!k"&amp;$G$1),INDIRECT("'数据-取费表'!ah"&amp;$G$1))</f>
        <v>0</v>
      </c>
      <c r="G7" s="1179"/>
      <c r="H7" s="294"/>
      <c r="I7" s="3187"/>
      <c r="J7" s="296"/>
      <c r="K7" s="297"/>
      <c r="L7" s="292" t="s">
        <v>691</v>
      </c>
      <c r="M7" s="293">
        <f ca="1">F7</f>
        <v>0</v>
      </c>
    </row>
    <row r="8" spans="1:37" ht="18" customHeight="1">
      <c r="A8" s="294"/>
      <c r="B8" s="3187"/>
      <c r="C8" s="296"/>
      <c r="D8" s="297"/>
      <c r="E8" s="292" t="s">
        <v>692</v>
      </c>
      <c r="F8" s="293">
        <f ca="1">INDIRECT("'数据-取费表'!ai"&amp;$G$1)</f>
        <v>0</v>
      </c>
      <c r="G8" s="1179"/>
      <c r="H8" s="294"/>
      <c r="I8" s="3187"/>
      <c r="J8" s="296"/>
      <c r="K8" s="297"/>
      <c r="L8" s="292" t="s">
        <v>692</v>
      </c>
      <c r="M8" s="293">
        <f ca="1">INDIRECT("'数据-取费表'!ai"&amp;$G$1)</f>
        <v>0</v>
      </c>
    </row>
    <row r="9" spans="1:37" ht="18" customHeight="1">
      <c r="A9" s="294"/>
      <c r="B9" s="3188"/>
      <c r="C9" s="296"/>
      <c r="D9" s="297"/>
      <c r="E9" s="292" t="s">
        <v>693</v>
      </c>
      <c r="F9" s="302">
        <f ca="1">INDIRECT("'数据-取费表'!w"&amp;$G$1)</f>
        <v>0</v>
      </c>
      <c r="G9" s="1179"/>
      <c r="H9" s="294"/>
      <c r="I9" s="3188"/>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4" t="s">
        <v>831</v>
      </c>
      <c r="L53" s="3185"/>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5" t="s">
        <v>2219</v>
      </c>
      <c r="K2" s="3196"/>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7" t="s">
        <v>2229</v>
      </c>
      <c r="K3" s="3198"/>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7" t="s">
        <v>2231</v>
      </c>
      <c r="K4" s="3198"/>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3" t="s">
        <v>2235</v>
      </c>
      <c r="B6" s="3204"/>
      <c r="C6" s="3205"/>
      <c r="D6" s="2441"/>
      <c r="E6" s="2442"/>
      <c r="F6" s="2443"/>
      <c r="G6" s="2444"/>
      <c r="H6" s="2419"/>
      <c r="I6" s="2420"/>
      <c r="J6" s="3189">
        <v>1</v>
      </c>
      <c r="K6" s="3190"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89"/>
      <c r="K7" s="3191"/>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6" t="s">
        <v>2249</v>
      </c>
      <c r="C8" s="3207"/>
      <c r="D8" s="2460" t="s">
        <v>2250</v>
      </c>
      <c r="E8" s="2461" t="s">
        <v>2251</v>
      </c>
      <c r="F8" s="2462" t="s">
        <v>2252</v>
      </c>
      <c r="G8" s="2463"/>
      <c r="H8" s="2419"/>
      <c r="I8" s="2420"/>
      <c r="J8" s="3189"/>
      <c r="K8" s="3191"/>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6" t="s">
        <v>2255</v>
      </c>
      <c r="C9" s="3207"/>
      <c r="D9" s="2460">
        <f>ROUND(D6*E9,0)</f>
        <v>0</v>
      </c>
      <c r="E9" s="2464"/>
      <c r="F9" s="2465" t="s">
        <v>2256</v>
      </c>
      <c r="G9" s="2444"/>
      <c r="H9" s="2419"/>
      <c r="I9" s="2420"/>
      <c r="J9" s="3189"/>
      <c r="K9" s="3191"/>
      <c r="L9" s="2454" t="s">
        <v>2257</v>
      </c>
      <c r="M9" s="2455"/>
      <c r="N9" s="2431"/>
      <c r="O9" s="2456"/>
      <c r="P9" s="2456"/>
      <c r="Q9" s="2457">
        <v>365</v>
      </c>
      <c r="R9" s="2458">
        <f t="shared" si="0"/>
        <v>0</v>
      </c>
      <c r="S9" s="2412"/>
      <c r="T9" s="2412"/>
      <c r="U9" s="2412"/>
      <c r="V9" s="2420"/>
    </row>
    <row r="10" spans="1:22" s="2424" customFormat="1" ht="13.15" customHeight="1">
      <c r="A10" s="2459">
        <v>2</v>
      </c>
      <c r="B10" s="3206" t="s">
        <v>2258</v>
      </c>
      <c r="C10" s="3207"/>
      <c r="D10" s="2460">
        <f>ROUND(D6*E10,0)</f>
        <v>0</v>
      </c>
      <c r="E10" s="2464"/>
      <c r="F10" s="2465" t="s">
        <v>2259</v>
      </c>
      <c r="G10" s="2444"/>
      <c r="H10" s="2419"/>
      <c r="I10" s="2420"/>
      <c r="J10" s="3189"/>
      <c r="K10" s="3191"/>
      <c r="L10" s="2454" t="s">
        <v>2260</v>
      </c>
      <c r="M10" s="2455"/>
      <c r="N10" s="2431"/>
      <c r="O10" s="2456"/>
      <c r="P10" s="2456"/>
      <c r="Q10" s="2457">
        <v>365</v>
      </c>
      <c r="R10" s="2458">
        <f t="shared" si="0"/>
        <v>0</v>
      </c>
      <c r="S10" s="2412"/>
      <c r="T10" s="2412"/>
      <c r="U10" s="2412"/>
      <c r="V10" s="2420"/>
    </row>
    <row r="11" spans="1:22" s="2424" customFormat="1" ht="13.15" customHeight="1">
      <c r="A11" s="2459">
        <v>3</v>
      </c>
      <c r="B11" s="3206" t="s">
        <v>2261</v>
      </c>
      <c r="C11" s="3207"/>
      <c r="D11" s="2460">
        <f>D12+D14+D15+D16</f>
        <v>0</v>
      </c>
      <c r="E11" s="2466" t="e">
        <f>D11/D6</f>
        <v>#DIV/0!</v>
      </c>
      <c r="F11" s="2462"/>
      <c r="G11" s="2463"/>
      <c r="H11" s="2419"/>
      <c r="I11" s="2420"/>
      <c r="J11" s="3189"/>
      <c r="K11" s="3191"/>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199" t="s">
        <v>2264</v>
      </c>
      <c r="C12" s="3200"/>
      <c r="D12" s="2468">
        <f>ROUND(D13*1.2%*(1-30%),0)</f>
        <v>0</v>
      </c>
      <c r="E12" s="2469">
        <v>1.2E-2</v>
      </c>
      <c r="F12" s="2462" t="s">
        <v>2265</v>
      </c>
      <c r="G12" s="2463"/>
      <c r="H12" s="2419"/>
      <c r="I12" s="2420"/>
      <c r="J12" s="3189"/>
      <c r="K12" s="3191"/>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89"/>
      <c r="K13" s="3191"/>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199" t="s">
        <v>2270</v>
      </c>
      <c r="C14" s="3200"/>
      <c r="D14" s="2468">
        <f>ROUND(E14*B5/10000,0)</f>
        <v>0</v>
      </c>
      <c r="E14" s="2457"/>
      <c r="F14" s="2462" t="s">
        <v>2271</v>
      </c>
      <c r="G14" s="2463"/>
      <c r="H14" s="2419"/>
      <c r="I14" s="2420"/>
      <c r="J14" s="3189"/>
      <c r="K14" s="3192"/>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199" t="s">
        <v>2274</v>
      </c>
      <c r="C15" s="3200"/>
      <c r="D15" s="2468">
        <f>ROUND(D6*E15,0)</f>
        <v>0</v>
      </c>
      <c r="E15" s="2469">
        <v>5.5E-2</v>
      </c>
      <c r="F15" s="2462" t="s">
        <v>2275</v>
      </c>
      <c r="G15" s="2444"/>
      <c r="H15" s="2419"/>
      <c r="I15" s="2420"/>
      <c r="J15" s="3189">
        <v>2</v>
      </c>
      <c r="K15" s="3190"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199" t="s">
        <v>2283</v>
      </c>
      <c r="C16" s="3200"/>
      <c r="D16" s="2479">
        <f>D6*E16</f>
        <v>0</v>
      </c>
      <c r="E16" s="2480"/>
      <c r="F16" s="2465" t="s">
        <v>2284</v>
      </c>
      <c r="G16" s="2444"/>
      <c r="H16" s="2419"/>
      <c r="I16" s="2420"/>
      <c r="J16" s="3189"/>
      <c r="K16" s="3191"/>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1" t="s">
        <v>2286</v>
      </c>
      <c r="C17" s="3202"/>
      <c r="D17" s="2482">
        <f>ROUND(D6*E17,0)</f>
        <v>0</v>
      </c>
      <c r="E17" s="2483"/>
      <c r="F17" s="2484" t="s">
        <v>2287</v>
      </c>
      <c r="G17" s="2444"/>
      <c r="H17" s="2419"/>
      <c r="I17" s="2420"/>
      <c r="J17" s="3189"/>
      <c r="K17" s="3191"/>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89"/>
      <c r="K18" s="3191"/>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89"/>
      <c r="K19" s="3192"/>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89">
        <v>3</v>
      </c>
      <c r="K20" s="3190"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89"/>
      <c r="K21" s="3191"/>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89"/>
      <c r="K22" s="3191"/>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89"/>
      <c r="K23" s="3191"/>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89"/>
      <c r="K24" s="3192"/>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3">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4"/>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5" t="s">
        <v>2219</v>
      </c>
      <c r="K32" s="3196"/>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7" t="s">
        <v>2229</v>
      </c>
      <c r="K33" s="3198"/>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7" t="s">
        <v>2231</v>
      </c>
      <c r="K34" s="3198"/>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89">
        <v>1</v>
      </c>
      <c r="K36" s="3190"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89"/>
      <c r="K37" s="3191"/>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89"/>
      <c r="K38" s="3191"/>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89"/>
      <c r="K39" s="3191"/>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89"/>
      <c r="K40" s="3192"/>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3">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4"/>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08" t="s">
        <v>1646</v>
      </c>
      <c r="C5" s="3209"/>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3" t="s">
        <v>1702</v>
      </c>
      <c r="D4" s="3224"/>
      <c r="E4" s="3225" t="s">
        <v>1703</v>
      </c>
      <c r="F4" s="3226"/>
      <c r="G4" s="3223" t="s">
        <v>1704</v>
      </c>
      <c r="H4" s="3224"/>
      <c r="I4" s="3223" t="s">
        <v>1705</v>
      </c>
      <c r="J4" s="3224"/>
      <c r="K4" s="530" t="s">
        <v>1706</v>
      </c>
      <c r="L4" s="811"/>
      <c r="M4" s="812"/>
      <c r="N4" s="812"/>
      <c r="O4" s="812"/>
      <c r="P4" s="3227" t="s">
        <v>1707</v>
      </c>
      <c r="Q4" s="3228"/>
      <c r="R4" s="3233" t="s">
        <v>1703</v>
      </c>
      <c r="S4" s="3234"/>
      <c r="T4" s="3233" t="s">
        <v>1704</v>
      </c>
      <c r="U4" s="3234"/>
      <c r="V4" s="3211" t="s">
        <v>1705</v>
      </c>
      <c r="W4" s="3211"/>
      <c r="X4" s="1152"/>
      <c r="Y4" s="3233" t="s">
        <v>1707</v>
      </c>
      <c r="Z4" s="3234"/>
      <c r="AA4" s="3220" t="s">
        <v>1703</v>
      </c>
      <c r="AB4" s="3221" t="s">
        <v>1704</v>
      </c>
      <c r="AC4" s="3220" t="s">
        <v>1705</v>
      </c>
    </row>
    <row r="5" spans="1:29" ht="15">
      <c r="A5" s="345"/>
      <c r="B5" s="346"/>
      <c r="C5" s="3241" t="s">
        <v>1654</v>
      </c>
      <c r="D5" s="3242"/>
      <c r="E5" s="3248" t="s">
        <v>1655</v>
      </c>
      <c r="F5" s="3249"/>
      <c r="G5" s="3241" t="s">
        <v>1656</v>
      </c>
      <c r="H5" s="3242"/>
      <c r="I5" s="3241" t="s">
        <v>1657</v>
      </c>
      <c r="J5" s="3242"/>
      <c r="K5" s="530"/>
      <c r="L5" s="811"/>
      <c r="M5" s="812"/>
      <c r="N5" s="812"/>
      <c r="O5" s="812"/>
      <c r="P5" s="3229"/>
      <c r="Q5" s="3230"/>
      <c r="R5" s="3235"/>
      <c r="S5" s="3236"/>
      <c r="T5" s="3235"/>
      <c r="U5" s="3236"/>
      <c r="V5" s="3211"/>
      <c r="W5" s="3211"/>
      <c r="X5" s="1152"/>
      <c r="Y5" s="3235"/>
      <c r="Z5" s="3236"/>
      <c r="AA5" s="3221"/>
      <c r="AB5" s="3221"/>
      <c r="AC5" s="3221"/>
    </row>
    <row r="6" spans="1:29" ht="15.75" thickBot="1">
      <c r="A6" s="347"/>
      <c r="B6" s="348"/>
      <c r="C6" s="3239" t="s">
        <v>1658</v>
      </c>
      <c r="D6" s="3240"/>
      <c r="E6" s="3246" t="s">
        <v>1658</v>
      </c>
      <c r="F6" s="3247"/>
      <c r="G6" s="3239" t="s">
        <v>1658</v>
      </c>
      <c r="H6" s="3240"/>
      <c r="I6" s="3239" t="s">
        <v>1658</v>
      </c>
      <c r="J6" s="3240"/>
      <c r="K6" s="530" t="s">
        <v>1659</v>
      </c>
      <c r="L6" s="811"/>
      <c r="M6" s="812"/>
      <c r="N6" s="812"/>
      <c r="O6" s="812"/>
      <c r="P6" s="3231"/>
      <c r="Q6" s="3232"/>
      <c r="R6" s="3235"/>
      <c r="S6" s="3236"/>
      <c r="T6" s="3237"/>
      <c r="U6" s="3238"/>
      <c r="V6" s="3211"/>
      <c r="W6" s="3211"/>
      <c r="X6" s="1152"/>
      <c r="Y6" s="3237"/>
      <c r="Z6" s="3238"/>
      <c r="AA6" s="3222"/>
      <c r="AB6" s="3222"/>
      <c r="AC6" s="3222"/>
    </row>
    <row r="7" spans="1:29" s="101" customFormat="1" ht="15.75" thickBot="1">
      <c r="A7" s="349" t="s">
        <v>1660</v>
      </c>
      <c r="B7" s="350"/>
      <c r="C7" s="351">
        <f>'数据-取费表'!B2</f>
        <v>46031</v>
      </c>
      <c r="D7" s="352">
        <v>100</v>
      </c>
      <c r="E7" s="353"/>
      <c r="F7" s="354">
        <f>SUMIF(52:52,YEAR(E7)&amp;"-"&amp;MONTH(E7),53:53)</f>
        <v>0</v>
      </c>
      <c r="G7" s="353"/>
      <c r="H7" s="352">
        <f>SUMIF(52:52,YEAR(G7)&amp;"-"&amp;MONTH(G7),53:53)</f>
        <v>0</v>
      </c>
      <c r="I7" s="353"/>
      <c r="J7" s="352">
        <f>SUMIF(52:52,YEAR(I7)&amp;"-"&amp;MONTH(I7),53:53)</f>
        <v>0</v>
      </c>
      <c r="K7" s="38"/>
      <c r="L7" s="813"/>
      <c r="M7" s="814"/>
      <c r="N7" s="814"/>
      <c r="O7" s="814"/>
      <c r="P7" s="3243" t="s">
        <v>1661</v>
      </c>
      <c r="Q7" s="3245"/>
      <c r="R7" s="644" t="s">
        <v>14</v>
      </c>
      <c r="S7" s="645">
        <f t="shared" ref="S7:S15" si="0">F7</f>
        <v>0</v>
      </c>
      <c r="T7" s="644" t="s">
        <v>14</v>
      </c>
      <c r="U7" s="645">
        <f t="shared" ref="U7:U15" si="1">H7</f>
        <v>0</v>
      </c>
      <c r="V7" s="644" t="s">
        <v>14</v>
      </c>
      <c r="W7" s="645">
        <f t="shared" ref="W7:W15" si="2">J7</f>
        <v>0</v>
      </c>
      <c r="X7" s="646"/>
      <c r="Y7" s="3243" t="s">
        <v>1661</v>
      </c>
      <c r="Z7" s="3244"/>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3" t="s">
        <v>1664</v>
      </c>
      <c r="Q8" s="3244"/>
      <c r="R8" s="644" t="s">
        <v>14</v>
      </c>
      <c r="S8" s="645">
        <f t="shared" si="0"/>
        <v>100</v>
      </c>
      <c r="T8" s="644" t="s">
        <v>14</v>
      </c>
      <c r="U8" s="645">
        <f t="shared" si="1"/>
        <v>100</v>
      </c>
      <c r="V8" s="644" t="s">
        <v>14</v>
      </c>
      <c r="W8" s="645">
        <f t="shared" si="2"/>
        <v>100</v>
      </c>
      <c r="X8" s="646"/>
      <c r="Y8" s="3243" t="s">
        <v>1664</v>
      </c>
      <c r="Z8" s="3244"/>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10" t="s">
        <v>1667</v>
      </c>
      <c r="Q9" s="525" t="str">
        <f t="shared" ref="Q9:Q15" si="6">B9</f>
        <v>用途</v>
      </c>
      <c r="R9" s="644" t="s">
        <v>14</v>
      </c>
      <c r="S9" s="645">
        <f t="shared" si="0"/>
        <v>100</v>
      </c>
      <c r="T9" s="644" t="s">
        <v>14</v>
      </c>
      <c r="U9" s="645">
        <f t="shared" si="1"/>
        <v>100</v>
      </c>
      <c r="V9" s="644" t="s">
        <v>14</v>
      </c>
      <c r="W9" s="645">
        <f t="shared" si="2"/>
        <v>100</v>
      </c>
      <c r="X9" s="646"/>
      <c r="Y9" s="308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10"/>
      <c r="Q10" s="525" t="str">
        <f t="shared" si="6"/>
        <v>土地使用年限（年）</v>
      </c>
      <c r="R10" s="644" t="s">
        <v>14</v>
      </c>
      <c r="S10" s="645">
        <f t="shared" si="0"/>
        <v>100</v>
      </c>
      <c r="T10" s="644" t="s">
        <v>14</v>
      </c>
      <c r="U10" s="645">
        <f t="shared" si="1"/>
        <v>100</v>
      </c>
      <c r="V10" s="644" t="s">
        <v>14</v>
      </c>
      <c r="W10" s="645">
        <f t="shared" si="2"/>
        <v>100</v>
      </c>
      <c r="X10" s="646"/>
      <c r="Y10" s="3088"/>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10"/>
      <c r="Q11" s="525" t="str">
        <f t="shared" si="6"/>
        <v>容积率</v>
      </c>
      <c r="R11" s="644" t="s">
        <v>14</v>
      </c>
      <c r="S11" s="645">
        <f t="shared" si="0"/>
        <v>100</v>
      </c>
      <c r="T11" s="644" t="s">
        <v>14</v>
      </c>
      <c r="U11" s="645">
        <f t="shared" si="1"/>
        <v>100</v>
      </c>
      <c r="V11" s="644" t="s">
        <v>14</v>
      </c>
      <c r="W11" s="645">
        <f t="shared" si="2"/>
        <v>100</v>
      </c>
      <c r="X11" s="646"/>
      <c r="Y11" s="3088"/>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10"/>
      <c r="Q12" s="525">
        <f t="shared" si="6"/>
        <v>111</v>
      </c>
      <c r="R12" s="644" t="s">
        <v>14</v>
      </c>
      <c r="S12" s="645">
        <f t="shared" si="0"/>
        <v>100</v>
      </c>
      <c r="T12" s="644" t="s">
        <v>14</v>
      </c>
      <c r="U12" s="645">
        <f t="shared" si="1"/>
        <v>100</v>
      </c>
      <c r="V12" s="644" t="s">
        <v>14</v>
      </c>
      <c r="W12" s="645">
        <f t="shared" si="2"/>
        <v>100</v>
      </c>
      <c r="X12" s="646"/>
      <c r="Y12" s="3088"/>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10"/>
      <c r="Q13" s="525">
        <f t="shared" si="6"/>
        <v>111</v>
      </c>
      <c r="R13" s="644" t="s">
        <v>14</v>
      </c>
      <c r="S13" s="645">
        <f t="shared" si="0"/>
        <v>100</v>
      </c>
      <c r="T13" s="644" t="s">
        <v>14</v>
      </c>
      <c r="U13" s="645">
        <f t="shared" si="1"/>
        <v>100</v>
      </c>
      <c r="V13" s="644" t="s">
        <v>14</v>
      </c>
      <c r="W13" s="645">
        <f t="shared" si="2"/>
        <v>100</v>
      </c>
      <c r="X13" s="646"/>
      <c r="Y13" s="3088"/>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10"/>
      <c r="Q14" s="525">
        <f t="shared" si="6"/>
        <v>111</v>
      </c>
      <c r="R14" s="644" t="s">
        <v>14</v>
      </c>
      <c r="S14" s="645">
        <f t="shared" si="0"/>
        <v>100</v>
      </c>
      <c r="T14" s="644" t="s">
        <v>14</v>
      </c>
      <c r="U14" s="645">
        <f t="shared" si="1"/>
        <v>100</v>
      </c>
      <c r="V14" s="644" t="s">
        <v>14</v>
      </c>
      <c r="W14" s="645">
        <f t="shared" si="2"/>
        <v>100</v>
      </c>
      <c r="X14" s="646"/>
      <c r="Y14" s="3088"/>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5" t="s">
        <v>1672</v>
      </c>
      <c r="Q15" s="1150" t="str">
        <f t="shared" si="6"/>
        <v>产业集聚程度</v>
      </c>
      <c r="R15" s="647" t="s">
        <v>14</v>
      </c>
      <c r="S15" s="648">
        <f t="shared" si="0"/>
        <v>100</v>
      </c>
      <c r="T15" s="647" t="s">
        <v>14</v>
      </c>
      <c r="U15" s="648">
        <f t="shared" si="1"/>
        <v>100</v>
      </c>
      <c r="V15" s="647" t="s">
        <v>14</v>
      </c>
      <c r="W15" s="648">
        <f t="shared" si="2"/>
        <v>100</v>
      </c>
      <c r="X15" s="1152"/>
      <c r="Y15" s="3215"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6"/>
      <c r="Q16" s="1150"/>
      <c r="R16" s="647"/>
      <c r="S16" s="648"/>
      <c r="T16" s="647"/>
      <c r="U16" s="648"/>
      <c r="V16" s="647"/>
      <c r="W16" s="648"/>
      <c r="X16" s="1152"/>
      <c r="Y16" s="3216"/>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6"/>
      <c r="Q17" s="1150" t="str">
        <f>B17</f>
        <v>交通便捷度</v>
      </c>
      <c r="R17" s="647" t="s">
        <v>14</v>
      </c>
      <c r="S17" s="648">
        <f>F17</f>
        <v>100</v>
      </c>
      <c r="T17" s="647" t="s">
        <v>14</v>
      </c>
      <c r="U17" s="648">
        <f>H17</f>
        <v>100</v>
      </c>
      <c r="V17" s="647" t="s">
        <v>14</v>
      </c>
      <c r="W17" s="648">
        <f>J17</f>
        <v>100</v>
      </c>
      <c r="X17" s="1152"/>
      <c r="Y17" s="3216"/>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6"/>
      <c r="Q18" s="1150"/>
      <c r="R18" s="647"/>
      <c r="S18" s="648"/>
      <c r="T18" s="647"/>
      <c r="U18" s="648"/>
      <c r="V18" s="647"/>
      <c r="W18" s="648"/>
      <c r="X18" s="1152"/>
      <c r="Y18" s="3216"/>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6"/>
      <c r="Q19" s="1150" t="str">
        <f>B19</f>
        <v>公共配套设施</v>
      </c>
      <c r="R19" s="647" t="s">
        <v>14</v>
      </c>
      <c r="S19" s="648">
        <f>F19</f>
        <v>100</v>
      </c>
      <c r="T19" s="647" t="s">
        <v>14</v>
      </c>
      <c r="U19" s="648">
        <f>H19</f>
        <v>100</v>
      </c>
      <c r="V19" s="647" t="s">
        <v>14</v>
      </c>
      <c r="W19" s="648">
        <f>J19</f>
        <v>100</v>
      </c>
      <c r="X19" s="1152"/>
      <c r="Y19" s="3216"/>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6"/>
      <c r="Q20" s="1150"/>
      <c r="R20" s="647"/>
      <c r="S20" s="648"/>
      <c r="T20" s="647"/>
      <c r="U20" s="648"/>
      <c r="V20" s="647"/>
      <c r="W20" s="648"/>
      <c r="X20" s="1152"/>
      <c r="Y20" s="3216"/>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6"/>
      <c r="Q21" s="1150" t="str">
        <f>B21</f>
        <v>基础设施水平</v>
      </c>
      <c r="R21" s="647" t="s">
        <v>14</v>
      </c>
      <c r="S21" s="648">
        <f>F21</f>
        <v>100</v>
      </c>
      <c r="T21" s="647" t="s">
        <v>14</v>
      </c>
      <c r="U21" s="648">
        <f>H21</f>
        <v>100</v>
      </c>
      <c r="V21" s="647" t="s">
        <v>14</v>
      </c>
      <c r="W21" s="648">
        <f>J21</f>
        <v>100</v>
      </c>
      <c r="X21" s="1152"/>
      <c r="Y21" s="3216"/>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6"/>
      <c r="Q22" s="1150"/>
      <c r="R22" s="647"/>
      <c r="S22" s="648"/>
      <c r="T22" s="647"/>
      <c r="U22" s="648"/>
      <c r="V22" s="647"/>
      <c r="W22" s="648"/>
      <c r="X22" s="1152"/>
      <c r="Y22" s="3216"/>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6"/>
      <c r="Q23" s="1150" t="str">
        <f>B23</f>
        <v>环境质量</v>
      </c>
      <c r="R23" s="647" t="s">
        <v>14</v>
      </c>
      <c r="S23" s="648">
        <f>F23</f>
        <v>100</v>
      </c>
      <c r="T23" s="647" t="s">
        <v>14</v>
      </c>
      <c r="U23" s="648">
        <f>H23</f>
        <v>100</v>
      </c>
      <c r="V23" s="647" t="s">
        <v>14</v>
      </c>
      <c r="W23" s="648">
        <f>J23</f>
        <v>100</v>
      </c>
      <c r="X23" s="1152"/>
      <c r="Y23" s="3216"/>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6"/>
      <c r="Q24" s="1150"/>
      <c r="R24" s="647"/>
      <c r="S24" s="648"/>
      <c r="T24" s="647"/>
      <c r="U24" s="648"/>
      <c r="V24" s="647"/>
      <c r="W24" s="648"/>
      <c r="X24" s="1152"/>
      <c r="Y24" s="3216"/>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6"/>
      <c r="Q25" s="1150">
        <f>B25</f>
        <v>111</v>
      </c>
      <c r="R25" s="647" t="s">
        <v>14</v>
      </c>
      <c r="S25" s="648">
        <f>F25</f>
        <v>100</v>
      </c>
      <c r="T25" s="647" t="s">
        <v>14</v>
      </c>
      <c r="U25" s="648">
        <f>H25</f>
        <v>100</v>
      </c>
      <c r="V25" s="647" t="s">
        <v>14</v>
      </c>
      <c r="W25" s="648">
        <f>J25</f>
        <v>100</v>
      </c>
      <c r="X25" s="1152"/>
      <c r="Y25" s="3216"/>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6"/>
      <c r="Q26" s="1150">
        <f t="shared" ref="Q26:Q40" si="11">B26</f>
        <v>111</v>
      </c>
      <c r="R26" s="647" t="s">
        <v>14</v>
      </c>
      <c r="S26" s="648">
        <f>F26</f>
        <v>100</v>
      </c>
      <c r="T26" s="647" t="s">
        <v>14</v>
      </c>
      <c r="U26" s="648">
        <f>H26</f>
        <v>100</v>
      </c>
      <c r="V26" s="647" t="s">
        <v>14</v>
      </c>
      <c r="W26" s="648">
        <f>J26</f>
        <v>100</v>
      </c>
      <c r="X26" s="1152"/>
      <c r="Y26" s="3216"/>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6"/>
      <c r="Q27" s="525">
        <f t="shared" si="11"/>
        <v>111</v>
      </c>
      <c r="R27" s="644" t="s">
        <v>14</v>
      </c>
      <c r="S27" s="645">
        <f>F27</f>
        <v>100</v>
      </c>
      <c r="T27" s="644" t="s">
        <v>14</v>
      </c>
      <c r="U27" s="645">
        <f>H27</f>
        <v>100</v>
      </c>
      <c r="V27" s="644" t="s">
        <v>14</v>
      </c>
      <c r="W27" s="645">
        <f>J27</f>
        <v>100</v>
      </c>
      <c r="X27" s="646"/>
      <c r="Y27" s="3216"/>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6"/>
      <c r="Q28" s="1150">
        <f t="shared" si="11"/>
        <v>111</v>
      </c>
      <c r="R28" s="647" t="s">
        <v>14</v>
      </c>
      <c r="S28" s="648">
        <f t="shared" ref="S28:S40" si="12">F28</f>
        <v>100</v>
      </c>
      <c r="T28" s="647" t="s">
        <v>14</v>
      </c>
      <c r="U28" s="648">
        <f t="shared" ref="U28:U40" si="13">H28</f>
        <v>100</v>
      </c>
      <c r="V28" s="647" t="s">
        <v>14</v>
      </c>
      <c r="W28" s="648">
        <f t="shared" ref="W28:W40" si="14">J28</f>
        <v>100</v>
      </c>
      <c r="X28" s="1152"/>
      <c r="Y28" s="3216"/>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7" t="s">
        <v>1674</v>
      </c>
      <c r="Q29" s="1150" t="str">
        <f t="shared" si="11"/>
        <v>建筑类型</v>
      </c>
      <c r="R29" s="647" t="s">
        <v>14</v>
      </c>
      <c r="S29" s="648">
        <f t="shared" si="12"/>
        <v>100</v>
      </c>
      <c r="T29" s="647" t="s">
        <v>14</v>
      </c>
      <c r="U29" s="648">
        <f t="shared" si="13"/>
        <v>100</v>
      </c>
      <c r="V29" s="647" t="s">
        <v>14</v>
      </c>
      <c r="W29" s="648">
        <f t="shared" si="14"/>
        <v>100</v>
      </c>
      <c r="X29" s="1152"/>
      <c r="Y29" s="3218"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18"/>
      <c r="Q30" s="526" t="str">
        <f t="shared" si="11"/>
        <v>项目建筑规模</v>
      </c>
      <c r="R30" s="649" t="s">
        <v>14</v>
      </c>
      <c r="S30" s="650" t="e">
        <f t="shared" si="12"/>
        <v>#N/A</v>
      </c>
      <c r="T30" s="649" t="s">
        <v>14</v>
      </c>
      <c r="U30" s="650" t="e">
        <f t="shared" si="13"/>
        <v>#N/A</v>
      </c>
      <c r="V30" s="649" t="s">
        <v>14</v>
      </c>
      <c r="W30" s="650" t="e">
        <f t="shared" si="14"/>
        <v>#N/A</v>
      </c>
      <c r="X30" s="651"/>
      <c r="Y30" s="3218"/>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18"/>
      <c r="Q31" s="1150" t="str">
        <f t="shared" si="11"/>
        <v>建筑结构</v>
      </c>
      <c r="R31" s="647" t="s">
        <v>14</v>
      </c>
      <c r="S31" s="648">
        <f t="shared" si="12"/>
        <v>100</v>
      </c>
      <c r="T31" s="647" t="s">
        <v>14</v>
      </c>
      <c r="U31" s="648">
        <f t="shared" si="13"/>
        <v>100</v>
      </c>
      <c r="V31" s="647" t="s">
        <v>14</v>
      </c>
      <c r="W31" s="648">
        <f t="shared" si="14"/>
        <v>100</v>
      </c>
      <c r="X31" s="1152"/>
      <c r="Y31" s="3218"/>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18"/>
      <c r="Q32" s="1150" t="str">
        <f t="shared" si="11"/>
        <v>公共部分装修</v>
      </c>
      <c r="R32" s="647" t="s">
        <v>14</v>
      </c>
      <c r="S32" s="648">
        <f t="shared" si="12"/>
        <v>100</v>
      </c>
      <c r="T32" s="647" t="s">
        <v>14</v>
      </c>
      <c r="U32" s="648">
        <f t="shared" si="13"/>
        <v>100</v>
      </c>
      <c r="V32" s="647" t="s">
        <v>14</v>
      </c>
      <c r="W32" s="648">
        <f t="shared" si="14"/>
        <v>100</v>
      </c>
      <c r="X32" s="1152"/>
      <c r="Y32" s="3218"/>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18"/>
      <c r="Q33" s="1150" t="str">
        <f t="shared" si="11"/>
        <v>成新度</v>
      </c>
      <c r="R33" s="647" t="s">
        <v>14</v>
      </c>
      <c r="S33" s="648" t="e">
        <f t="shared" si="12"/>
        <v>#N/A</v>
      </c>
      <c r="T33" s="647" t="s">
        <v>14</v>
      </c>
      <c r="U33" s="648" t="e">
        <f t="shared" si="13"/>
        <v>#N/A</v>
      </c>
      <c r="V33" s="647" t="s">
        <v>14</v>
      </c>
      <c r="W33" s="648" t="e">
        <f t="shared" si="14"/>
        <v>#N/A</v>
      </c>
      <c r="X33" s="1152"/>
      <c r="Y33" s="3218"/>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18"/>
      <c r="Q34" s="525" t="str">
        <f t="shared" si="11"/>
        <v>物业管理</v>
      </c>
      <c r="R34" s="644" t="s">
        <v>14</v>
      </c>
      <c r="S34" s="645">
        <f t="shared" si="12"/>
        <v>100</v>
      </c>
      <c r="T34" s="644" t="s">
        <v>14</v>
      </c>
      <c r="U34" s="645">
        <f t="shared" si="13"/>
        <v>100</v>
      </c>
      <c r="V34" s="644" t="s">
        <v>14</v>
      </c>
      <c r="W34" s="645">
        <f t="shared" si="14"/>
        <v>100</v>
      </c>
      <c r="X34" s="646"/>
      <c r="Y34" s="3218"/>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18" t="s">
        <v>1674</v>
      </c>
      <c r="Q35" s="1150" t="str">
        <f t="shared" si="11"/>
        <v>市政基础设施</v>
      </c>
      <c r="R35" s="647" t="s">
        <v>14</v>
      </c>
      <c r="S35" s="648">
        <f t="shared" si="12"/>
        <v>100</v>
      </c>
      <c r="T35" s="647" t="s">
        <v>14</v>
      </c>
      <c r="U35" s="648">
        <f t="shared" si="13"/>
        <v>100</v>
      </c>
      <c r="V35" s="647" t="s">
        <v>14</v>
      </c>
      <c r="W35" s="648">
        <f t="shared" si="14"/>
        <v>100</v>
      </c>
      <c r="X35" s="1152"/>
      <c r="Y35" s="3218"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18"/>
      <c r="Q36" s="1150" t="str">
        <f t="shared" si="11"/>
        <v>内部装修</v>
      </c>
      <c r="R36" s="647" t="s">
        <v>14</v>
      </c>
      <c r="S36" s="648">
        <f t="shared" si="12"/>
        <v>100</v>
      </c>
      <c r="T36" s="647" t="s">
        <v>14</v>
      </c>
      <c r="U36" s="648">
        <f t="shared" si="13"/>
        <v>100</v>
      </c>
      <c r="V36" s="647" t="s">
        <v>14</v>
      </c>
      <c r="W36" s="648">
        <f t="shared" si="14"/>
        <v>100</v>
      </c>
      <c r="X36" s="1152"/>
      <c r="Y36" s="3218"/>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18"/>
      <c r="Q37" s="1150" t="str">
        <f t="shared" si="11"/>
        <v>内部装修状况</v>
      </c>
      <c r="R37" s="647" t="s">
        <v>14</v>
      </c>
      <c r="S37" s="648">
        <f t="shared" si="12"/>
        <v>100</v>
      </c>
      <c r="T37" s="647" t="s">
        <v>14</v>
      </c>
      <c r="U37" s="648">
        <f t="shared" si="13"/>
        <v>100</v>
      </c>
      <c r="V37" s="647" t="s">
        <v>14</v>
      </c>
      <c r="W37" s="648">
        <f t="shared" si="14"/>
        <v>100</v>
      </c>
      <c r="X37" s="1152"/>
      <c r="Y37" s="3218"/>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18"/>
      <c r="Q38" s="526">
        <f t="shared" si="11"/>
        <v>111</v>
      </c>
      <c r="R38" s="649" t="s">
        <v>14</v>
      </c>
      <c r="S38" s="650">
        <f t="shared" si="12"/>
        <v>100</v>
      </c>
      <c r="T38" s="649" t="s">
        <v>14</v>
      </c>
      <c r="U38" s="650">
        <f t="shared" si="13"/>
        <v>100</v>
      </c>
      <c r="V38" s="649" t="s">
        <v>14</v>
      </c>
      <c r="W38" s="650">
        <f t="shared" si="14"/>
        <v>100</v>
      </c>
      <c r="X38" s="651"/>
      <c r="Y38" s="3218"/>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18"/>
      <c r="Q39" s="1150">
        <f t="shared" si="11"/>
        <v>111</v>
      </c>
      <c r="R39" s="647" t="s">
        <v>14</v>
      </c>
      <c r="S39" s="648">
        <f t="shared" si="12"/>
        <v>100</v>
      </c>
      <c r="T39" s="647" t="s">
        <v>14</v>
      </c>
      <c r="U39" s="648">
        <f t="shared" si="13"/>
        <v>100</v>
      </c>
      <c r="V39" s="647" t="s">
        <v>14</v>
      </c>
      <c r="W39" s="648">
        <f t="shared" si="14"/>
        <v>100</v>
      </c>
      <c r="X39" s="1152"/>
      <c r="Y39" s="3218"/>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19"/>
      <c r="Q40" s="1150">
        <f t="shared" si="11"/>
        <v>111</v>
      </c>
      <c r="R40" s="647" t="s">
        <v>14</v>
      </c>
      <c r="S40" s="648">
        <f t="shared" si="12"/>
        <v>100</v>
      </c>
      <c r="T40" s="647" t="s">
        <v>14</v>
      </c>
      <c r="U40" s="648">
        <f t="shared" si="13"/>
        <v>100</v>
      </c>
      <c r="V40" s="647" t="s">
        <v>14</v>
      </c>
      <c r="W40" s="648">
        <f t="shared" si="14"/>
        <v>100</v>
      </c>
      <c r="X40" s="1152"/>
      <c r="Y40" s="3219"/>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10" t="str">
        <f>A41</f>
        <v>成交单价（元/平方米）</v>
      </c>
      <c r="Q41" s="3210"/>
      <c r="R41" s="3211">
        <f>E41</f>
        <v>0</v>
      </c>
      <c r="S41" s="3211"/>
      <c r="T41" s="3211">
        <f>G41</f>
        <v>0</v>
      </c>
      <c r="U41" s="3211"/>
      <c r="V41" s="3211">
        <f>I41</f>
        <v>0</v>
      </c>
      <c r="W41" s="3211"/>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2" t="str">
        <f>A43</f>
        <v>估价对象XX用房的比较价值（楼面单价，元/平方米）</v>
      </c>
      <c r="Q43" s="3213"/>
      <c r="R43" s="3214" t="e">
        <f>IF(F1="售价",ROUND(IF(D42="简单平均",AVERAGE(R42:V42),R42*F42+T42*H42+V42*J42),0),ROUND(IF(D42="简单平均",AVERAGE(R42:V42),R42*F42+T42*H42+V42*J42),1))</f>
        <v>#DIV/0!</v>
      </c>
      <c r="S43" s="3214"/>
      <c r="T43" s="3214"/>
      <c r="U43" s="3214"/>
      <c r="V43" s="3214"/>
      <c r="W43" s="3214"/>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2026-1</v>
      </c>
      <c r="D52" s="1015">
        <f>EDATE(C52,-1)</f>
        <v>45992</v>
      </c>
      <c r="E52" s="1015">
        <f t="shared" ref="E52:O52" si="16">EDATE(D52,-1)</f>
        <v>45962</v>
      </c>
      <c r="F52" s="1015">
        <f t="shared" si="16"/>
        <v>45931</v>
      </c>
      <c r="G52" s="1015">
        <f t="shared" si="16"/>
        <v>45901</v>
      </c>
      <c r="H52" s="1015">
        <f t="shared" si="16"/>
        <v>45870</v>
      </c>
      <c r="I52" s="1015">
        <f t="shared" si="16"/>
        <v>45839</v>
      </c>
      <c r="J52" s="1015">
        <f t="shared" si="16"/>
        <v>45809</v>
      </c>
      <c r="K52" s="1015">
        <f t="shared" si="16"/>
        <v>45778</v>
      </c>
      <c r="L52" s="1015">
        <f t="shared" si="16"/>
        <v>45748</v>
      </c>
      <c r="M52" s="1015">
        <f t="shared" si="16"/>
        <v>45717</v>
      </c>
      <c r="N52" s="1015">
        <f t="shared" si="16"/>
        <v>45689</v>
      </c>
      <c r="O52" s="1015">
        <f t="shared" si="16"/>
        <v>45658</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3" t="s">
        <v>1702</v>
      </c>
      <c r="D4" s="3224"/>
      <c r="E4" s="3225" t="s">
        <v>1703</v>
      </c>
      <c r="F4" s="3226"/>
      <c r="G4" s="3223" t="s">
        <v>1704</v>
      </c>
      <c r="H4" s="3224"/>
      <c r="I4" s="3223" t="s">
        <v>1705</v>
      </c>
      <c r="J4" s="3224"/>
      <c r="K4" s="530" t="s">
        <v>1706</v>
      </c>
      <c r="L4" s="2309"/>
      <c r="M4" s="2310"/>
      <c r="N4" s="2310"/>
      <c r="O4" s="2310"/>
      <c r="P4" s="3227" t="s">
        <v>1707</v>
      </c>
      <c r="Q4" s="3228"/>
      <c r="R4" s="3233" t="s">
        <v>1703</v>
      </c>
      <c r="S4" s="3234"/>
      <c r="T4" s="3233" t="s">
        <v>1704</v>
      </c>
      <c r="U4" s="3234"/>
      <c r="V4" s="3211" t="s">
        <v>1705</v>
      </c>
      <c r="W4" s="3211"/>
      <c r="X4" s="1152"/>
      <c r="Y4" s="3233" t="s">
        <v>1707</v>
      </c>
      <c r="Z4" s="3234"/>
      <c r="AA4" s="3220" t="s">
        <v>1703</v>
      </c>
      <c r="AB4" s="3221" t="s">
        <v>1704</v>
      </c>
      <c r="AC4" s="3220" t="s">
        <v>1705</v>
      </c>
    </row>
    <row r="5" spans="1:29" ht="15">
      <c r="A5" s="345"/>
      <c r="B5" s="346"/>
      <c r="C5" s="3241" t="s">
        <v>1654</v>
      </c>
      <c r="D5" s="3242"/>
      <c r="E5" s="3248" t="s">
        <v>1655</v>
      </c>
      <c r="F5" s="3249"/>
      <c r="G5" s="3241" t="s">
        <v>1656</v>
      </c>
      <c r="H5" s="3242"/>
      <c r="I5" s="3241" t="s">
        <v>1657</v>
      </c>
      <c r="J5" s="3242"/>
      <c r="K5" s="530"/>
      <c r="L5" s="2309"/>
      <c r="M5" s="2310"/>
      <c r="N5" s="2310"/>
      <c r="O5" s="2310"/>
      <c r="P5" s="3229"/>
      <c r="Q5" s="3230"/>
      <c r="R5" s="3235"/>
      <c r="S5" s="3236"/>
      <c r="T5" s="3235"/>
      <c r="U5" s="3236"/>
      <c r="V5" s="3211"/>
      <c r="W5" s="3211"/>
      <c r="X5" s="1152"/>
      <c r="Y5" s="3235"/>
      <c r="Z5" s="3236"/>
      <c r="AA5" s="3221"/>
      <c r="AB5" s="3221"/>
      <c r="AC5" s="3221"/>
    </row>
    <row r="6" spans="1:29" ht="15.75" thickBot="1">
      <c r="A6" s="347"/>
      <c r="B6" s="348"/>
      <c r="C6" s="3239" t="s">
        <v>1658</v>
      </c>
      <c r="D6" s="3240"/>
      <c r="E6" s="3246" t="s">
        <v>1658</v>
      </c>
      <c r="F6" s="3247"/>
      <c r="G6" s="3239" t="s">
        <v>1658</v>
      </c>
      <c r="H6" s="3240"/>
      <c r="I6" s="3239" t="s">
        <v>1658</v>
      </c>
      <c r="J6" s="3240"/>
      <c r="K6" s="530" t="s">
        <v>1659</v>
      </c>
      <c r="L6" s="2309"/>
      <c r="M6" s="2310"/>
      <c r="N6" s="2310"/>
      <c r="O6" s="2310"/>
      <c r="P6" s="3231"/>
      <c r="Q6" s="3232"/>
      <c r="R6" s="3235"/>
      <c r="S6" s="3236"/>
      <c r="T6" s="3237"/>
      <c r="U6" s="3238"/>
      <c r="V6" s="3211"/>
      <c r="W6" s="3211"/>
      <c r="X6" s="1152"/>
      <c r="Y6" s="3237"/>
      <c r="Z6" s="3238"/>
      <c r="AA6" s="3222"/>
      <c r="AB6" s="3222"/>
      <c r="AC6" s="3222"/>
    </row>
    <row r="7" spans="1:29" s="101" customFormat="1" ht="15.75" thickBot="1">
      <c r="A7" s="349" t="s">
        <v>1660</v>
      </c>
      <c r="B7" s="350"/>
      <c r="C7" s="351">
        <f>'数据-取费表'!B2</f>
        <v>46031</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3" t="s">
        <v>1661</v>
      </c>
      <c r="Q7" s="3245"/>
      <c r="R7" s="644" t="s">
        <v>14</v>
      </c>
      <c r="S7" s="645">
        <f t="shared" ref="S7:S14" si="0">F7</f>
        <v>0</v>
      </c>
      <c r="T7" s="644" t="s">
        <v>14</v>
      </c>
      <c r="U7" s="645">
        <f t="shared" ref="U7:U14" si="1">H7</f>
        <v>0</v>
      </c>
      <c r="V7" s="644" t="s">
        <v>14</v>
      </c>
      <c r="W7" s="645">
        <f t="shared" ref="W7:W14" si="2">J7</f>
        <v>0</v>
      </c>
      <c r="X7" s="646"/>
      <c r="Y7" s="3243" t="s">
        <v>1661</v>
      </c>
      <c r="Z7" s="3244"/>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3" t="s">
        <v>1664</v>
      </c>
      <c r="Q8" s="3244"/>
      <c r="R8" s="644" t="s">
        <v>14</v>
      </c>
      <c r="S8" s="645">
        <f t="shared" si="0"/>
        <v>100</v>
      </c>
      <c r="T8" s="644" t="s">
        <v>14</v>
      </c>
      <c r="U8" s="645">
        <f t="shared" si="1"/>
        <v>100</v>
      </c>
      <c r="V8" s="644" t="s">
        <v>14</v>
      </c>
      <c r="W8" s="645">
        <f t="shared" si="2"/>
        <v>100</v>
      </c>
      <c r="X8" s="646"/>
      <c r="Y8" s="3243" t="s">
        <v>1664</v>
      </c>
      <c r="Z8" s="3244"/>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10" t="s">
        <v>1667</v>
      </c>
      <c r="Q9" s="525" t="str">
        <f t="shared" ref="Q9:Q14" si="6">B9</f>
        <v>用途</v>
      </c>
      <c r="R9" s="644" t="s">
        <v>14</v>
      </c>
      <c r="S9" s="645">
        <f t="shared" si="0"/>
        <v>100</v>
      </c>
      <c r="T9" s="644" t="s">
        <v>14</v>
      </c>
      <c r="U9" s="645">
        <f t="shared" si="1"/>
        <v>100</v>
      </c>
      <c r="V9" s="644" t="s">
        <v>14</v>
      </c>
      <c r="W9" s="645">
        <f t="shared" si="2"/>
        <v>100</v>
      </c>
      <c r="X9" s="646"/>
      <c r="Y9" s="3088"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10"/>
      <c r="Q10" s="525" t="str">
        <f t="shared" si="6"/>
        <v>土地使用年限（年）</v>
      </c>
      <c r="R10" s="644" t="s">
        <v>14</v>
      </c>
      <c r="S10" s="645">
        <f t="shared" si="0"/>
        <v>100</v>
      </c>
      <c r="T10" s="644" t="s">
        <v>14</v>
      </c>
      <c r="U10" s="645">
        <f t="shared" si="1"/>
        <v>100</v>
      </c>
      <c r="V10" s="644" t="s">
        <v>14</v>
      </c>
      <c r="W10" s="645">
        <f t="shared" si="2"/>
        <v>100</v>
      </c>
      <c r="X10" s="646"/>
      <c r="Y10" s="3088"/>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10"/>
      <c r="Q11" s="525">
        <f t="shared" si="6"/>
        <v>111</v>
      </c>
      <c r="R11" s="644" t="s">
        <v>14</v>
      </c>
      <c r="S11" s="645">
        <f t="shared" si="0"/>
        <v>100</v>
      </c>
      <c r="T11" s="644" t="s">
        <v>14</v>
      </c>
      <c r="U11" s="645">
        <f t="shared" si="1"/>
        <v>100</v>
      </c>
      <c r="V11" s="644" t="s">
        <v>14</v>
      </c>
      <c r="W11" s="645">
        <f t="shared" si="2"/>
        <v>100</v>
      </c>
      <c r="X11" s="646"/>
      <c r="Y11" s="3088"/>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10"/>
      <c r="Q12" s="525">
        <f t="shared" si="6"/>
        <v>111</v>
      </c>
      <c r="R12" s="644" t="s">
        <v>14</v>
      </c>
      <c r="S12" s="645">
        <f t="shared" si="0"/>
        <v>100</v>
      </c>
      <c r="T12" s="644" t="s">
        <v>14</v>
      </c>
      <c r="U12" s="645">
        <f t="shared" si="1"/>
        <v>100</v>
      </c>
      <c r="V12" s="644" t="s">
        <v>14</v>
      </c>
      <c r="W12" s="645">
        <f t="shared" si="2"/>
        <v>100</v>
      </c>
      <c r="X12" s="646"/>
      <c r="Y12" s="3088"/>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10"/>
      <c r="Q13" s="525">
        <f t="shared" si="6"/>
        <v>111</v>
      </c>
      <c r="R13" s="644" t="s">
        <v>14</v>
      </c>
      <c r="S13" s="645">
        <f t="shared" si="0"/>
        <v>100</v>
      </c>
      <c r="T13" s="644" t="s">
        <v>14</v>
      </c>
      <c r="U13" s="645">
        <f t="shared" si="1"/>
        <v>100</v>
      </c>
      <c r="V13" s="644" t="s">
        <v>14</v>
      </c>
      <c r="W13" s="645">
        <f t="shared" si="2"/>
        <v>100</v>
      </c>
      <c r="X13" s="646"/>
      <c r="Y13" s="3088"/>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5" t="s">
        <v>1672</v>
      </c>
      <c r="Q14" s="1150" t="str">
        <f t="shared" si="6"/>
        <v>交通便捷度</v>
      </c>
      <c r="R14" s="647" t="s">
        <v>14</v>
      </c>
      <c r="S14" s="648">
        <f t="shared" si="0"/>
        <v>100</v>
      </c>
      <c r="T14" s="647" t="s">
        <v>14</v>
      </c>
      <c r="U14" s="648">
        <f t="shared" si="1"/>
        <v>100</v>
      </c>
      <c r="V14" s="647" t="s">
        <v>14</v>
      </c>
      <c r="W14" s="648">
        <f t="shared" si="2"/>
        <v>100</v>
      </c>
      <c r="X14" s="1152"/>
      <c r="Y14" s="3215"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6"/>
      <c r="Q15" s="1150"/>
      <c r="R15" s="647"/>
      <c r="S15" s="648"/>
      <c r="T15" s="647"/>
      <c r="U15" s="648"/>
      <c r="V15" s="647"/>
      <c r="W15" s="648"/>
      <c r="X15" s="1152"/>
      <c r="Y15" s="3216"/>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6"/>
      <c r="Q16" s="1150" t="str">
        <f>B16</f>
        <v>公共配套设施</v>
      </c>
      <c r="R16" s="647" t="s">
        <v>14</v>
      </c>
      <c r="S16" s="648">
        <f>F16</f>
        <v>100</v>
      </c>
      <c r="T16" s="647" t="s">
        <v>14</v>
      </c>
      <c r="U16" s="648">
        <f>H16</f>
        <v>100</v>
      </c>
      <c r="V16" s="647" t="s">
        <v>14</v>
      </c>
      <c r="W16" s="648">
        <f>J16</f>
        <v>100</v>
      </c>
      <c r="X16" s="1152"/>
      <c r="Y16" s="3216"/>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6"/>
      <c r="Q17" s="1150"/>
      <c r="R17" s="647"/>
      <c r="S17" s="648"/>
      <c r="T17" s="647"/>
      <c r="U17" s="648"/>
      <c r="V17" s="647"/>
      <c r="W17" s="648"/>
      <c r="X17" s="1152"/>
      <c r="Y17" s="3216"/>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6"/>
      <c r="Q18" s="1150" t="str">
        <f>B18</f>
        <v>基础设施水平</v>
      </c>
      <c r="R18" s="647" t="s">
        <v>14</v>
      </c>
      <c r="S18" s="648">
        <f>F18</f>
        <v>100</v>
      </c>
      <c r="T18" s="647" t="s">
        <v>14</v>
      </c>
      <c r="U18" s="648">
        <f>H18</f>
        <v>100</v>
      </c>
      <c r="V18" s="647" t="s">
        <v>14</v>
      </c>
      <c r="W18" s="648">
        <f>J18</f>
        <v>100</v>
      </c>
      <c r="X18" s="1152"/>
      <c r="Y18" s="3216"/>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6"/>
      <c r="Q19" s="1150"/>
      <c r="R19" s="647"/>
      <c r="S19" s="648"/>
      <c r="T19" s="647"/>
      <c r="U19" s="648"/>
      <c r="V19" s="647"/>
      <c r="W19" s="648"/>
      <c r="X19" s="1152"/>
      <c r="Y19" s="3216"/>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6"/>
      <c r="Q20" s="1150" t="str">
        <f>B20</f>
        <v>自然及人文环境</v>
      </c>
      <c r="R20" s="647" t="s">
        <v>14</v>
      </c>
      <c r="S20" s="648">
        <f>F20</f>
        <v>100</v>
      </c>
      <c r="T20" s="647" t="s">
        <v>14</v>
      </c>
      <c r="U20" s="648">
        <f>H20</f>
        <v>100</v>
      </c>
      <c r="V20" s="647" t="s">
        <v>14</v>
      </c>
      <c r="W20" s="648">
        <f>J20</f>
        <v>100</v>
      </c>
      <c r="X20" s="1152"/>
      <c r="Y20" s="3216"/>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6"/>
      <c r="Q21" s="1150"/>
      <c r="R21" s="647"/>
      <c r="S21" s="648"/>
      <c r="T21" s="647"/>
      <c r="U21" s="648"/>
      <c r="V21" s="647"/>
      <c r="W21" s="648"/>
      <c r="X21" s="1152"/>
      <c r="Y21" s="3216"/>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6"/>
      <c r="Q22" s="1150" t="str">
        <f>B22</f>
        <v>楼层</v>
      </c>
      <c r="R22" s="647" t="s">
        <v>14</v>
      </c>
      <c r="S22" s="648">
        <f>F22</f>
        <v>100</v>
      </c>
      <c r="T22" s="647" t="s">
        <v>14</v>
      </c>
      <c r="U22" s="648">
        <f>H22</f>
        <v>100</v>
      </c>
      <c r="V22" s="647" t="s">
        <v>14</v>
      </c>
      <c r="W22" s="648">
        <f>J22</f>
        <v>100</v>
      </c>
      <c r="X22" s="1152"/>
      <c r="Y22" s="3216"/>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6"/>
      <c r="Q23" s="1150">
        <f>B23</f>
        <v>111</v>
      </c>
      <c r="R23" s="647" t="s">
        <v>14</v>
      </c>
      <c r="S23" s="648">
        <f>F23</f>
        <v>100</v>
      </c>
      <c r="T23" s="647" t="s">
        <v>14</v>
      </c>
      <c r="U23" s="648">
        <f>H23</f>
        <v>100</v>
      </c>
      <c r="V23" s="647" t="s">
        <v>14</v>
      </c>
      <c r="W23" s="648">
        <f>J23</f>
        <v>100</v>
      </c>
      <c r="X23" s="1152"/>
      <c r="Y23" s="3216"/>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6"/>
      <c r="Q24" s="1150">
        <f t="shared" ref="Q24:Q36" si="11">B24</f>
        <v>111</v>
      </c>
      <c r="R24" s="647" t="s">
        <v>14</v>
      </c>
      <c r="S24" s="648">
        <f>F24</f>
        <v>100</v>
      </c>
      <c r="T24" s="647" t="s">
        <v>14</v>
      </c>
      <c r="U24" s="648">
        <f>H24</f>
        <v>100</v>
      </c>
      <c r="V24" s="647" t="s">
        <v>14</v>
      </c>
      <c r="W24" s="648">
        <f>J24</f>
        <v>100</v>
      </c>
      <c r="X24" s="1152"/>
      <c r="Y24" s="3216"/>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6"/>
      <c r="Q25" s="525">
        <f t="shared" si="11"/>
        <v>111</v>
      </c>
      <c r="R25" s="644" t="s">
        <v>14</v>
      </c>
      <c r="S25" s="645">
        <f>F25</f>
        <v>100</v>
      </c>
      <c r="T25" s="644" t="s">
        <v>14</v>
      </c>
      <c r="U25" s="645">
        <f>H25</f>
        <v>100</v>
      </c>
      <c r="V25" s="644" t="s">
        <v>14</v>
      </c>
      <c r="W25" s="645">
        <f>J25</f>
        <v>100</v>
      </c>
      <c r="X25" s="646"/>
      <c r="Y25" s="3216"/>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7"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18"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18"/>
      <c r="Q27" s="526" t="str">
        <f t="shared" si="11"/>
        <v>项目停车位配比</v>
      </c>
      <c r="R27" s="649" t="s">
        <v>14</v>
      </c>
      <c r="S27" s="650">
        <f t="shared" si="12"/>
        <v>100</v>
      </c>
      <c r="T27" s="649" t="s">
        <v>14</v>
      </c>
      <c r="U27" s="650">
        <f t="shared" si="13"/>
        <v>100</v>
      </c>
      <c r="V27" s="649" t="s">
        <v>14</v>
      </c>
      <c r="W27" s="650">
        <f t="shared" si="14"/>
        <v>100</v>
      </c>
      <c r="X27" s="651"/>
      <c r="Y27" s="3218"/>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18"/>
      <c r="Q28" s="1150" t="str">
        <f t="shared" si="11"/>
        <v>公共部分装修</v>
      </c>
      <c r="R28" s="647" t="s">
        <v>14</v>
      </c>
      <c r="S28" s="648">
        <f t="shared" si="12"/>
        <v>100</v>
      </c>
      <c r="T28" s="647" t="s">
        <v>14</v>
      </c>
      <c r="U28" s="648">
        <f t="shared" si="13"/>
        <v>100</v>
      </c>
      <c r="V28" s="647" t="s">
        <v>14</v>
      </c>
      <c r="W28" s="648">
        <f t="shared" si="14"/>
        <v>100</v>
      </c>
      <c r="X28" s="1152"/>
      <c r="Y28" s="3218"/>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18"/>
      <c r="Q29" s="1150" t="str">
        <f t="shared" si="11"/>
        <v>成新率</v>
      </c>
      <c r="R29" s="647" t="s">
        <v>14</v>
      </c>
      <c r="S29" s="648" t="e">
        <f t="shared" si="12"/>
        <v>#N/A</v>
      </c>
      <c r="T29" s="647" t="s">
        <v>14</v>
      </c>
      <c r="U29" s="648" t="e">
        <f t="shared" si="13"/>
        <v>#N/A</v>
      </c>
      <c r="V29" s="647" t="s">
        <v>14</v>
      </c>
      <c r="W29" s="648" t="e">
        <f t="shared" si="14"/>
        <v>#N/A</v>
      </c>
      <c r="X29" s="1152"/>
      <c r="Y29" s="3218"/>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18"/>
      <c r="Q30" s="1150" t="str">
        <f t="shared" si="11"/>
        <v>物业等级</v>
      </c>
      <c r="R30" s="647" t="s">
        <v>14</v>
      </c>
      <c r="S30" s="648">
        <f t="shared" si="12"/>
        <v>100</v>
      </c>
      <c r="T30" s="647" t="s">
        <v>14</v>
      </c>
      <c r="U30" s="648">
        <f t="shared" si="13"/>
        <v>100</v>
      </c>
      <c r="V30" s="647" t="s">
        <v>14</v>
      </c>
      <c r="W30" s="648">
        <f t="shared" si="14"/>
        <v>100</v>
      </c>
      <c r="X30" s="1152"/>
      <c r="Y30" s="3218"/>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18"/>
      <c r="Q31" s="525" t="str">
        <f t="shared" si="11"/>
        <v>停车位面积</v>
      </c>
      <c r="R31" s="644" t="s">
        <v>14</v>
      </c>
      <c r="S31" s="645" t="e">
        <f t="shared" si="12"/>
        <v>#N/A</v>
      </c>
      <c r="T31" s="644" t="s">
        <v>14</v>
      </c>
      <c r="U31" s="645" t="e">
        <f t="shared" si="13"/>
        <v>#N/A</v>
      </c>
      <c r="V31" s="644" t="s">
        <v>14</v>
      </c>
      <c r="W31" s="645" t="e">
        <f t="shared" si="14"/>
        <v>#N/A</v>
      </c>
      <c r="X31" s="646"/>
      <c r="Y31" s="3218"/>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18" t="s">
        <v>1674</v>
      </c>
      <c r="Q32" s="1150" t="str">
        <f t="shared" si="11"/>
        <v>车位类型</v>
      </c>
      <c r="R32" s="647" t="s">
        <v>14</v>
      </c>
      <c r="S32" s="648">
        <f t="shared" si="12"/>
        <v>100</v>
      </c>
      <c r="T32" s="647" t="s">
        <v>14</v>
      </c>
      <c r="U32" s="648">
        <f t="shared" si="13"/>
        <v>100</v>
      </c>
      <c r="V32" s="647" t="s">
        <v>14</v>
      </c>
      <c r="W32" s="648">
        <f t="shared" si="14"/>
        <v>100</v>
      </c>
      <c r="X32" s="1152"/>
      <c r="Y32" s="3218"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18"/>
      <c r="Q33" s="1150" t="str">
        <f t="shared" si="11"/>
        <v>是否直接入户</v>
      </c>
      <c r="R33" s="647" t="s">
        <v>14</v>
      </c>
      <c r="S33" s="648">
        <f t="shared" si="12"/>
        <v>100</v>
      </c>
      <c r="T33" s="647" t="s">
        <v>14</v>
      </c>
      <c r="U33" s="648">
        <f t="shared" si="13"/>
        <v>100</v>
      </c>
      <c r="V33" s="647" t="s">
        <v>14</v>
      </c>
      <c r="W33" s="648">
        <f t="shared" si="14"/>
        <v>100</v>
      </c>
      <c r="X33" s="1152"/>
      <c r="Y33" s="3218"/>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18"/>
      <c r="Q34" s="1150">
        <f t="shared" si="11"/>
        <v>111</v>
      </c>
      <c r="R34" s="647" t="s">
        <v>14</v>
      </c>
      <c r="S34" s="648">
        <f t="shared" si="12"/>
        <v>100</v>
      </c>
      <c r="T34" s="647" t="s">
        <v>14</v>
      </c>
      <c r="U34" s="648">
        <f t="shared" si="13"/>
        <v>100</v>
      </c>
      <c r="V34" s="647" t="s">
        <v>14</v>
      </c>
      <c r="W34" s="648">
        <f t="shared" si="14"/>
        <v>100</v>
      </c>
      <c r="X34" s="1152"/>
      <c r="Y34" s="3218"/>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18"/>
      <c r="Q35" s="526">
        <f t="shared" si="11"/>
        <v>111</v>
      </c>
      <c r="R35" s="649" t="s">
        <v>14</v>
      </c>
      <c r="S35" s="650">
        <f t="shared" si="12"/>
        <v>100</v>
      </c>
      <c r="T35" s="649" t="s">
        <v>14</v>
      </c>
      <c r="U35" s="650">
        <f t="shared" si="13"/>
        <v>100</v>
      </c>
      <c r="V35" s="649" t="s">
        <v>14</v>
      </c>
      <c r="W35" s="650">
        <f t="shared" si="14"/>
        <v>100</v>
      </c>
      <c r="X35" s="651"/>
      <c r="Y35" s="3218"/>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18"/>
      <c r="Q36" s="1150">
        <f t="shared" si="11"/>
        <v>111</v>
      </c>
      <c r="R36" s="647" t="s">
        <v>14</v>
      </c>
      <c r="S36" s="648">
        <f t="shared" si="12"/>
        <v>100</v>
      </c>
      <c r="T36" s="647" t="s">
        <v>14</v>
      </c>
      <c r="U36" s="648">
        <f t="shared" si="13"/>
        <v>100</v>
      </c>
      <c r="V36" s="647" t="s">
        <v>14</v>
      </c>
      <c r="W36" s="648">
        <f t="shared" si="14"/>
        <v>100</v>
      </c>
      <c r="X36" s="1152"/>
      <c r="Y36" s="3218"/>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10" t="str">
        <f>A37</f>
        <v>成交单价</v>
      </c>
      <c r="Q37" s="3210"/>
      <c r="R37" s="3211">
        <f>E37</f>
        <v>0</v>
      </c>
      <c r="S37" s="3211"/>
      <c r="T37" s="3211">
        <f>G37</f>
        <v>0</v>
      </c>
      <c r="U37" s="3211"/>
      <c r="V37" s="3211">
        <f>I37</f>
        <v>0</v>
      </c>
      <c r="W37" s="3211"/>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2" t="str">
        <f>A39</f>
        <v>估价对象XX用房的比较价值（楼面单价，元/平方米）</v>
      </c>
      <c r="Q39" s="3213"/>
      <c r="R39" s="3250" t="e">
        <f>IF(F1="售价",ROUND(IF(D38="简单平均",AVERAGE(R38:W38),R38*F38+T38*H38+V38*J38),0),ROUND(IF(D38="简单平均",AVERAGE(R38:V38),R38*F38+T38*H38+V38*J38),1))</f>
        <v>#DIV/0!</v>
      </c>
      <c r="S39" s="3250"/>
      <c r="T39" s="3250"/>
      <c r="U39" s="3250"/>
      <c r="V39" s="3250"/>
      <c r="W39" s="3250"/>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2026-1</v>
      </c>
      <c r="D48" s="1015">
        <f>EDATE(C48,-1)</f>
        <v>45992</v>
      </c>
      <c r="E48" s="1015">
        <f t="shared" ref="E48:O48" si="16">EDATE(D48,-1)</f>
        <v>45962</v>
      </c>
      <c r="F48" s="1015">
        <f t="shared" si="16"/>
        <v>45931</v>
      </c>
      <c r="G48" s="1015">
        <f t="shared" si="16"/>
        <v>45901</v>
      </c>
      <c r="H48" s="1015">
        <f t="shared" si="16"/>
        <v>45870</v>
      </c>
      <c r="I48" s="1015">
        <f t="shared" si="16"/>
        <v>45839</v>
      </c>
      <c r="J48" s="1015">
        <f t="shared" si="16"/>
        <v>45809</v>
      </c>
      <c r="K48" s="1015">
        <f t="shared" si="16"/>
        <v>45778</v>
      </c>
      <c r="L48" s="1015">
        <f t="shared" si="16"/>
        <v>45748</v>
      </c>
      <c r="M48" s="1015">
        <f t="shared" si="16"/>
        <v>45717</v>
      </c>
      <c r="N48" s="1015">
        <f t="shared" si="16"/>
        <v>45689</v>
      </c>
      <c r="O48" s="1015">
        <f t="shared" si="16"/>
        <v>45658</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3" t="s">
        <v>1702</v>
      </c>
      <c r="D4" s="3224"/>
      <c r="E4" s="3225" t="s">
        <v>1703</v>
      </c>
      <c r="F4" s="3226"/>
      <c r="G4" s="3223" t="s">
        <v>1704</v>
      </c>
      <c r="H4" s="3224"/>
      <c r="I4" s="3223" t="s">
        <v>1705</v>
      </c>
      <c r="J4" s="3224"/>
      <c r="K4" s="530" t="s">
        <v>1706</v>
      </c>
      <c r="L4" s="2309"/>
      <c r="M4" s="2310"/>
      <c r="N4" s="2310"/>
      <c r="O4" s="2310"/>
      <c r="P4" s="3227" t="s">
        <v>1707</v>
      </c>
      <c r="Q4" s="3228"/>
      <c r="R4" s="3233" t="s">
        <v>1703</v>
      </c>
      <c r="S4" s="3234"/>
      <c r="T4" s="3233" t="s">
        <v>1704</v>
      </c>
      <c r="U4" s="3234"/>
      <c r="V4" s="3211" t="s">
        <v>1705</v>
      </c>
      <c r="W4" s="3211"/>
      <c r="X4" s="1152"/>
      <c r="Y4" s="3233" t="s">
        <v>1707</v>
      </c>
      <c r="Z4" s="3234"/>
      <c r="AA4" s="3220" t="s">
        <v>1703</v>
      </c>
      <c r="AB4" s="3221" t="s">
        <v>1704</v>
      </c>
      <c r="AC4" s="3220" t="s">
        <v>1705</v>
      </c>
    </row>
    <row r="5" spans="1:29" ht="15">
      <c r="A5" s="345"/>
      <c r="B5" s="346"/>
      <c r="C5" s="3241" t="s">
        <v>1654</v>
      </c>
      <c r="D5" s="3242"/>
      <c r="E5" s="3248" t="s">
        <v>1655</v>
      </c>
      <c r="F5" s="3249"/>
      <c r="G5" s="3241" t="s">
        <v>1656</v>
      </c>
      <c r="H5" s="3242"/>
      <c r="I5" s="3241" t="s">
        <v>1657</v>
      </c>
      <c r="J5" s="3242"/>
      <c r="K5" s="530"/>
      <c r="L5" s="2309"/>
      <c r="M5" s="2310"/>
      <c r="N5" s="2310"/>
      <c r="O5" s="2310"/>
      <c r="P5" s="3229"/>
      <c r="Q5" s="3230"/>
      <c r="R5" s="3235"/>
      <c r="S5" s="3236"/>
      <c r="T5" s="3235"/>
      <c r="U5" s="3236"/>
      <c r="V5" s="3211"/>
      <c r="W5" s="3211"/>
      <c r="X5" s="1152"/>
      <c r="Y5" s="3235"/>
      <c r="Z5" s="3236"/>
      <c r="AA5" s="3221"/>
      <c r="AB5" s="3221"/>
      <c r="AC5" s="3221"/>
    </row>
    <row r="6" spans="1:29" ht="15.75" thickBot="1">
      <c r="A6" s="347"/>
      <c r="B6" s="348"/>
      <c r="C6" s="3239" t="s">
        <v>1658</v>
      </c>
      <c r="D6" s="3240"/>
      <c r="E6" s="3246" t="s">
        <v>1658</v>
      </c>
      <c r="F6" s="3247"/>
      <c r="G6" s="3239" t="s">
        <v>1658</v>
      </c>
      <c r="H6" s="3240"/>
      <c r="I6" s="3239" t="s">
        <v>1658</v>
      </c>
      <c r="J6" s="3240"/>
      <c r="K6" s="530" t="s">
        <v>1659</v>
      </c>
      <c r="L6" s="2309"/>
      <c r="M6" s="2310"/>
      <c r="N6" s="2310"/>
      <c r="O6" s="2310"/>
      <c r="P6" s="3231"/>
      <c r="Q6" s="3232"/>
      <c r="R6" s="3235"/>
      <c r="S6" s="3236"/>
      <c r="T6" s="3237"/>
      <c r="U6" s="3238"/>
      <c r="V6" s="3211"/>
      <c r="W6" s="3211"/>
      <c r="X6" s="1152"/>
      <c r="Y6" s="3237"/>
      <c r="Z6" s="3238"/>
      <c r="AA6" s="3222"/>
      <c r="AB6" s="3222"/>
      <c r="AC6" s="3222"/>
    </row>
    <row r="7" spans="1:29" s="101" customFormat="1" ht="15.75" thickBot="1">
      <c r="A7" s="349" t="s">
        <v>1660</v>
      </c>
      <c r="B7" s="350"/>
      <c r="C7" s="351">
        <f>'数据-取费表'!B2</f>
        <v>46031</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3" t="s">
        <v>1661</v>
      </c>
      <c r="Q7" s="3245"/>
      <c r="R7" s="644" t="s">
        <v>14</v>
      </c>
      <c r="S7" s="645">
        <f t="shared" ref="S7:S14" si="0">F7</f>
        <v>0</v>
      </c>
      <c r="T7" s="644" t="s">
        <v>14</v>
      </c>
      <c r="U7" s="645">
        <f t="shared" ref="U7:U14" si="1">H7</f>
        <v>0</v>
      </c>
      <c r="V7" s="644" t="s">
        <v>14</v>
      </c>
      <c r="W7" s="645">
        <f t="shared" ref="W7:W14" si="2">J7</f>
        <v>0</v>
      </c>
      <c r="X7" s="646"/>
      <c r="Y7" s="3243" t="s">
        <v>1661</v>
      </c>
      <c r="Z7" s="3244"/>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3" t="s">
        <v>1664</v>
      </c>
      <c r="Q8" s="3244"/>
      <c r="R8" s="644" t="s">
        <v>14</v>
      </c>
      <c r="S8" s="645">
        <f t="shared" si="0"/>
        <v>100</v>
      </c>
      <c r="T8" s="644" t="s">
        <v>14</v>
      </c>
      <c r="U8" s="645">
        <f t="shared" si="1"/>
        <v>100</v>
      </c>
      <c r="V8" s="644" t="s">
        <v>14</v>
      </c>
      <c r="W8" s="645">
        <f t="shared" si="2"/>
        <v>100</v>
      </c>
      <c r="X8" s="646"/>
      <c r="Y8" s="3243" t="s">
        <v>1664</v>
      </c>
      <c r="Z8" s="3244"/>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10" t="s">
        <v>1667</v>
      </c>
      <c r="Q9" s="525" t="str">
        <f t="shared" ref="Q9:Q14" si="6">B9</f>
        <v>用途</v>
      </c>
      <c r="R9" s="644" t="s">
        <v>14</v>
      </c>
      <c r="S9" s="645">
        <f t="shared" si="0"/>
        <v>100</v>
      </c>
      <c r="T9" s="644" t="s">
        <v>14</v>
      </c>
      <c r="U9" s="645">
        <f t="shared" si="1"/>
        <v>100</v>
      </c>
      <c r="V9" s="644" t="s">
        <v>14</v>
      </c>
      <c r="W9" s="645">
        <f t="shared" si="2"/>
        <v>100</v>
      </c>
      <c r="X9" s="646"/>
      <c r="Y9" s="3088"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10"/>
      <c r="Q10" s="525" t="str">
        <f t="shared" si="6"/>
        <v>土地使用年限（年）</v>
      </c>
      <c r="R10" s="644" t="s">
        <v>14</v>
      </c>
      <c r="S10" s="645">
        <f t="shared" si="0"/>
        <v>100</v>
      </c>
      <c r="T10" s="644" t="s">
        <v>14</v>
      </c>
      <c r="U10" s="645">
        <f t="shared" si="1"/>
        <v>100</v>
      </c>
      <c r="V10" s="644" t="s">
        <v>14</v>
      </c>
      <c r="W10" s="645">
        <f t="shared" si="2"/>
        <v>100</v>
      </c>
      <c r="X10" s="646"/>
      <c r="Y10" s="3088"/>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10"/>
      <c r="Q11" s="525">
        <f t="shared" si="6"/>
        <v>111</v>
      </c>
      <c r="R11" s="644" t="s">
        <v>14</v>
      </c>
      <c r="S11" s="645">
        <f t="shared" si="0"/>
        <v>100</v>
      </c>
      <c r="T11" s="644" t="s">
        <v>14</v>
      </c>
      <c r="U11" s="645">
        <f t="shared" si="1"/>
        <v>100</v>
      </c>
      <c r="V11" s="644" t="s">
        <v>14</v>
      </c>
      <c r="W11" s="645">
        <f t="shared" si="2"/>
        <v>100</v>
      </c>
      <c r="X11" s="646"/>
      <c r="Y11" s="3088"/>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10"/>
      <c r="Q12" s="525">
        <f t="shared" si="6"/>
        <v>111</v>
      </c>
      <c r="R12" s="644" t="s">
        <v>14</v>
      </c>
      <c r="S12" s="645">
        <f t="shared" si="0"/>
        <v>100</v>
      </c>
      <c r="T12" s="644" t="s">
        <v>14</v>
      </c>
      <c r="U12" s="645">
        <f t="shared" si="1"/>
        <v>100</v>
      </c>
      <c r="V12" s="644" t="s">
        <v>14</v>
      </c>
      <c r="W12" s="645">
        <f t="shared" si="2"/>
        <v>100</v>
      </c>
      <c r="X12" s="646"/>
      <c r="Y12" s="3088"/>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10"/>
      <c r="Q13" s="525">
        <f t="shared" si="6"/>
        <v>111</v>
      </c>
      <c r="R13" s="644" t="s">
        <v>14</v>
      </c>
      <c r="S13" s="645">
        <f t="shared" si="0"/>
        <v>100</v>
      </c>
      <c r="T13" s="644" t="s">
        <v>14</v>
      </c>
      <c r="U13" s="645">
        <f t="shared" si="1"/>
        <v>100</v>
      </c>
      <c r="V13" s="644" t="s">
        <v>14</v>
      </c>
      <c r="W13" s="645">
        <f t="shared" si="2"/>
        <v>100</v>
      </c>
      <c r="X13" s="646"/>
      <c r="Y13" s="3088"/>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5" t="s">
        <v>1672</v>
      </c>
      <c r="Q14" s="1150" t="str">
        <f t="shared" si="6"/>
        <v>交通便捷度</v>
      </c>
      <c r="R14" s="647" t="s">
        <v>14</v>
      </c>
      <c r="S14" s="648">
        <f t="shared" si="0"/>
        <v>100</v>
      </c>
      <c r="T14" s="647" t="s">
        <v>14</v>
      </c>
      <c r="U14" s="648">
        <f t="shared" si="1"/>
        <v>100</v>
      </c>
      <c r="V14" s="647" t="s">
        <v>14</v>
      </c>
      <c r="W14" s="648">
        <f t="shared" si="2"/>
        <v>100</v>
      </c>
      <c r="X14" s="1152"/>
      <c r="Y14" s="3215"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6"/>
      <c r="Q15" s="1150"/>
      <c r="R15" s="647"/>
      <c r="S15" s="648"/>
      <c r="T15" s="647"/>
      <c r="U15" s="648"/>
      <c r="V15" s="647"/>
      <c r="W15" s="648"/>
      <c r="X15" s="1152"/>
      <c r="Y15" s="3216"/>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6"/>
      <c r="Q16" s="1150" t="str">
        <f>B16</f>
        <v>公共配套设施</v>
      </c>
      <c r="R16" s="647" t="s">
        <v>14</v>
      </c>
      <c r="S16" s="648">
        <f>F16</f>
        <v>100</v>
      </c>
      <c r="T16" s="647" t="s">
        <v>14</v>
      </c>
      <c r="U16" s="648">
        <f>H16</f>
        <v>100</v>
      </c>
      <c r="V16" s="647" t="s">
        <v>14</v>
      </c>
      <c r="W16" s="648">
        <f>J16</f>
        <v>100</v>
      </c>
      <c r="X16" s="1152"/>
      <c r="Y16" s="3216"/>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6"/>
      <c r="Q17" s="1150"/>
      <c r="R17" s="647"/>
      <c r="S17" s="648"/>
      <c r="T17" s="647"/>
      <c r="U17" s="648"/>
      <c r="V17" s="647"/>
      <c r="W17" s="648"/>
      <c r="X17" s="1152"/>
      <c r="Y17" s="3216"/>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6"/>
      <c r="Q18" s="1150" t="str">
        <f>B18</f>
        <v>基础设施水平</v>
      </c>
      <c r="R18" s="647" t="s">
        <v>14</v>
      </c>
      <c r="S18" s="648">
        <f>F18</f>
        <v>100</v>
      </c>
      <c r="T18" s="647" t="s">
        <v>14</v>
      </c>
      <c r="U18" s="648">
        <f>H18</f>
        <v>100</v>
      </c>
      <c r="V18" s="647" t="s">
        <v>14</v>
      </c>
      <c r="W18" s="648">
        <f>J18</f>
        <v>100</v>
      </c>
      <c r="X18" s="1152"/>
      <c r="Y18" s="3216"/>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6"/>
      <c r="Q19" s="1150"/>
      <c r="R19" s="647"/>
      <c r="S19" s="648"/>
      <c r="T19" s="647"/>
      <c r="U19" s="648"/>
      <c r="V19" s="647"/>
      <c r="W19" s="648"/>
      <c r="X19" s="1152"/>
      <c r="Y19" s="3216"/>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6"/>
      <c r="Q20" s="1150" t="str">
        <f>B20</f>
        <v>自然及人文环境</v>
      </c>
      <c r="R20" s="647" t="s">
        <v>14</v>
      </c>
      <c r="S20" s="648">
        <f>F20</f>
        <v>100</v>
      </c>
      <c r="T20" s="647" t="s">
        <v>14</v>
      </c>
      <c r="U20" s="648">
        <f>H20</f>
        <v>100</v>
      </c>
      <c r="V20" s="647" t="s">
        <v>14</v>
      </c>
      <c r="W20" s="648">
        <f>J20</f>
        <v>100</v>
      </c>
      <c r="X20" s="1152"/>
      <c r="Y20" s="3216"/>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6"/>
      <c r="Q21" s="1150"/>
      <c r="R21" s="647"/>
      <c r="S21" s="648"/>
      <c r="T21" s="647"/>
      <c r="U21" s="648"/>
      <c r="V21" s="647"/>
      <c r="W21" s="648"/>
      <c r="X21" s="1152"/>
      <c r="Y21" s="3216"/>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6"/>
      <c r="Q22" s="1150" t="str">
        <f>B22</f>
        <v>楼层</v>
      </c>
      <c r="R22" s="647" t="s">
        <v>14</v>
      </c>
      <c r="S22" s="648">
        <f>F22</f>
        <v>100</v>
      </c>
      <c r="T22" s="647" t="s">
        <v>14</v>
      </c>
      <c r="U22" s="648">
        <f>H22</f>
        <v>100</v>
      </c>
      <c r="V22" s="647" t="s">
        <v>14</v>
      </c>
      <c r="W22" s="648">
        <f>J22</f>
        <v>100</v>
      </c>
      <c r="X22" s="1152"/>
      <c r="Y22" s="3216"/>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6"/>
      <c r="Q23" s="1150">
        <f>B23</f>
        <v>111</v>
      </c>
      <c r="R23" s="647" t="s">
        <v>14</v>
      </c>
      <c r="S23" s="648">
        <f>F23</f>
        <v>100</v>
      </c>
      <c r="T23" s="647" t="s">
        <v>14</v>
      </c>
      <c r="U23" s="648">
        <f>H23</f>
        <v>100</v>
      </c>
      <c r="V23" s="647" t="s">
        <v>14</v>
      </c>
      <c r="W23" s="648">
        <f>J23</f>
        <v>100</v>
      </c>
      <c r="X23" s="1152"/>
      <c r="Y23" s="3216"/>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6"/>
      <c r="Q24" s="1150">
        <f t="shared" ref="Q24:Q34" si="11">B24</f>
        <v>111</v>
      </c>
      <c r="R24" s="647" t="s">
        <v>14</v>
      </c>
      <c r="S24" s="648">
        <f>F24</f>
        <v>100</v>
      </c>
      <c r="T24" s="647" t="s">
        <v>14</v>
      </c>
      <c r="U24" s="648">
        <f>H24</f>
        <v>100</v>
      </c>
      <c r="V24" s="647" t="s">
        <v>14</v>
      </c>
      <c r="W24" s="648">
        <f>J24</f>
        <v>100</v>
      </c>
      <c r="X24" s="1152"/>
      <c r="Y24" s="3216"/>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6"/>
      <c r="Q25" s="525">
        <f t="shared" si="11"/>
        <v>111</v>
      </c>
      <c r="R25" s="644" t="s">
        <v>14</v>
      </c>
      <c r="S25" s="645">
        <f>F25</f>
        <v>100</v>
      </c>
      <c r="T25" s="644" t="s">
        <v>14</v>
      </c>
      <c r="U25" s="645">
        <f>H25</f>
        <v>100</v>
      </c>
      <c r="V25" s="644" t="s">
        <v>14</v>
      </c>
      <c r="W25" s="645">
        <f>J25</f>
        <v>100</v>
      </c>
      <c r="X25" s="646"/>
      <c r="Y25" s="3216"/>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7"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18"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18"/>
      <c r="Q27" s="526" t="str">
        <f t="shared" si="11"/>
        <v>成新率</v>
      </c>
      <c r="R27" s="649" t="s">
        <v>14</v>
      </c>
      <c r="S27" s="650" t="e">
        <f t="shared" si="12"/>
        <v>#N/A</v>
      </c>
      <c r="T27" s="649" t="s">
        <v>14</v>
      </c>
      <c r="U27" s="650" t="e">
        <f t="shared" si="13"/>
        <v>#N/A</v>
      </c>
      <c r="V27" s="649" t="s">
        <v>14</v>
      </c>
      <c r="W27" s="650" t="e">
        <f t="shared" si="14"/>
        <v>#N/A</v>
      </c>
      <c r="X27" s="651"/>
      <c r="Y27" s="3218"/>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18"/>
      <c r="Q28" s="1150" t="str">
        <f t="shared" si="11"/>
        <v>物业等级</v>
      </c>
      <c r="R28" s="647" t="s">
        <v>14</v>
      </c>
      <c r="S28" s="648">
        <f t="shared" si="12"/>
        <v>100</v>
      </c>
      <c r="T28" s="647" t="s">
        <v>14</v>
      </c>
      <c r="U28" s="648">
        <f t="shared" si="13"/>
        <v>100</v>
      </c>
      <c r="V28" s="647" t="s">
        <v>14</v>
      </c>
      <c r="W28" s="648">
        <f t="shared" si="14"/>
        <v>100</v>
      </c>
      <c r="X28" s="1152"/>
      <c r="Y28" s="3218"/>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18"/>
      <c r="Q29" s="1150" t="str">
        <f t="shared" si="11"/>
        <v>有无电梯</v>
      </c>
      <c r="R29" s="647" t="s">
        <v>14</v>
      </c>
      <c r="S29" s="648">
        <f t="shared" si="12"/>
        <v>100</v>
      </c>
      <c r="T29" s="647" t="s">
        <v>14</v>
      </c>
      <c r="U29" s="648">
        <f t="shared" si="13"/>
        <v>100</v>
      </c>
      <c r="V29" s="647" t="s">
        <v>14</v>
      </c>
      <c r="W29" s="648">
        <f t="shared" si="14"/>
        <v>100</v>
      </c>
      <c r="X29" s="1152"/>
      <c r="Y29" s="3218"/>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18"/>
      <c r="Q30" s="1150" t="str">
        <f t="shared" si="11"/>
        <v>建筑面积</v>
      </c>
      <c r="R30" s="647" t="s">
        <v>14</v>
      </c>
      <c r="S30" s="648" t="e">
        <f t="shared" si="12"/>
        <v>#N/A</v>
      </c>
      <c r="T30" s="647" t="s">
        <v>14</v>
      </c>
      <c r="U30" s="648" t="e">
        <f t="shared" si="13"/>
        <v>#N/A</v>
      </c>
      <c r="V30" s="647" t="s">
        <v>14</v>
      </c>
      <c r="W30" s="648" t="e">
        <f t="shared" si="14"/>
        <v>#N/A</v>
      </c>
      <c r="X30" s="1152"/>
      <c r="Y30" s="3218"/>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18"/>
      <c r="Q31" s="525" t="str">
        <f t="shared" si="11"/>
        <v>是否封闭</v>
      </c>
      <c r="R31" s="644" t="s">
        <v>14</v>
      </c>
      <c r="S31" s="645">
        <f t="shared" si="12"/>
        <v>100</v>
      </c>
      <c r="T31" s="644" t="s">
        <v>14</v>
      </c>
      <c r="U31" s="645">
        <f t="shared" si="13"/>
        <v>100</v>
      </c>
      <c r="V31" s="644" t="s">
        <v>14</v>
      </c>
      <c r="W31" s="645">
        <f t="shared" si="14"/>
        <v>100</v>
      </c>
      <c r="X31" s="646"/>
      <c r="Y31" s="3218"/>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18" t="s">
        <v>1674</v>
      </c>
      <c r="Q32" s="1150">
        <f t="shared" si="11"/>
        <v>111</v>
      </c>
      <c r="R32" s="647" t="s">
        <v>14</v>
      </c>
      <c r="S32" s="648">
        <f t="shared" si="12"/>
        <v>100</v>
      </c>
      <c r="T32" s="647" t="s">
        <v>14</v>
      </c>
      <c r="U32" s="648">
        <f t="shared" si="13"/>
        <v>100</v>
      </c>
      <c r="V32" s="647" t="s">
        <v>14</v>
      </c>
      <c r="W32" s="648">
        <f t="shared" si="14"/>
        <v>100</v>
      </c>
      <c r="X32" s="1152"/>
      <c r="Y32" s="3218"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18"/>
      <c r="Q33" s="1150">
        <f t="shared" si="11"/>
        <v>111</v>
      </c>
      <c r="R33" s="647" t="s">
        <v>14</v>
      </c>
      <c r="S33" s="648">
        <f t="shared" si="12"/>
        <v>100</v>
      </c>
      <c r="T33" s="647" t="s">
        <v>14</v>
      </c>
      <c r="U33" s="648">
        <f t="shared" si="13"/>
        <v>100</v>
      </c>
      <c r="V33" s="647" t="s">
        <v>14</v>
      </c>
      <c r="W33" s="648">
        <f t="shared" si="14"/>
        <v>100</v>
      </c>
      <c r="X33" s="1152"/>
      <c r="Y33" s="3218"/>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18"/>
      <c r="Q34" s="1150">
        <f t="shared" si="11"/>
        <v>111</v>
      </c>
      <c r="R34" s="647" t="s">
        <v>14</v>
      </c>
      <c r="S34" s="648">
        <f t="shared" si="12"/>
        <v>100</v>
      </c>
      <c r="T34" s="647" t="s">
        <v>14</v>
      </c>
      <c r="U34" s="648">
        <f t="shared" si="13"/>
        <v>100</v>
      </c>
      <c r="V34" s="647" t="s">
        <v>14</v>
      </c>
      <c r="W34" s="648">
        <f t="shared" si="14"/>
        <v>100</v>
      </c>
      <c r="X34" s="1152"/>
      <c r="Y34" s="3218"/>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10" t="str">
        <f>A35</f>
        <v>成交单价（元/平方米）</v>
      </c>
      <c r="Q35" s="3210"/>
      <c r="R35" s="3211">
        <f>E35</f>
        <v>0</v>
      </c>
      <c r="S35" s="3211"/>
      <c r="T35" s="3211">
        <f>G35</f>
        <v>0</v>
      </c>
      <c r="U35" s="3211"/>
      <c r="V35" s="3211">
        <f>I35</f>
        <v>0</v>
      </c>
      <c r="W35" s="3211"/>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2" t="str">
        <f>A37</f>
        <v>估价对象XX用房的比较价值（楼面单价，元/平方米）</v>
      </c>
      <c r="Q37" s="3213"/>
      <c r="R37" s="3250" t="e">
        <f>IF(F1="售价",ROUND(IF(D36="简单平均",AVERAGE(R36:W36),R36*F36+T36*H36+V36*J36),0),ROUND(IF(D36="简单平均",AVERAGE(R36:V36),R36*F36+T36*H36+V36*J36),1))</f>
        <v>#DIV/0!</v>
      </c>
      <c r="S37" s="3250"/>
      <c r="T37" s="3250"/>
      <c r="U37" s="3250"/>
      <c r="V37" s="3250"/>
      <c r="W37" s="3250"/>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2026-1</v>
      </c>
      <c r="D46" s="1015">
        <f>EDATE(C46,-1)</f>
        <v>45992</v>
      </c>
      <c r="E46" s="1015">
        <f t="shared" ref="E46:O46" si="16">EDATE(D46,-1)</f>
        <v>45962</v>
      </c>
      <c r="F46" s="1015">
        <f t="shared" si="16"/>
        <v>45931</v>
      </c>
      <c r="G46" s="1015">
        <f t="shared" si="16"/>
        <v>45901</v>
      </c>
      <c r="H46" s="1015">
        <f t="shared" si="16"/>
        <v>45870</v>
      </c>
      <c r="I46" s="1015">
        <f t="shared" si="16"/>
        <v>45839</v>
      </c>
      <c r="J46" s="1015">
        <f t="shared" si="16"/>
        <v>45809</v>
      </c>
      <c r="K46" s="1015">
        <f t="shared" si="16"/>
        <v>45778</v>
      </c>
      <c r="L46" s="1015">
        <f t="shared" si="16"/>
        <v>45748</v>
      </c>
      <c r="M46" s="1015">
        <f t="shared" si="16"/>
        <v>45717</v>
      </c>
      <c r="N46" s="1015">
        <f t="shared" si="16"/>
        <v>45689</v>
      </c>
      <c r="O46" s="1015">
        <f t="shared" si="16"/>
        <v>45658</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3" t="s">
        <v>1702</v>
      </c>
      <c r="D4" s="3224"/>
      <c r="E4" s="3225" t="s">
        <v>1703</v>
      </c>
      <c r="F4" s="3226"/>
      <c r="G4" s="3223" t="s">
        <v>1704</v>
      </c>
      <c r="H4" s="3224"/>
      <c r="I4" s="3223" t="s">
        <v>1705</v>
      </c>
      <c r="J4" s="3224"/>
      <c r="K4" s="530" t="s">
        <v>1706</v>
      </c>
      <c r="L4" s="2309"/>
      <c r="M4" s="2310"/>
      <c r="N4" s="2310"/>
      <c r="O4" s="2310"/>
      <c r="P4" s="3227" t="s">
        <v>1707</v>
      </c>
      <c r="Q4" s="3228"/>
      <c r="R4" s="3233" t="s">
        <v>1703</v>
      </c>
      <c r="S4" s="3234"/>
      <c r="T4" s="3233" t="s">
        <v>1704</v>
      </c>
      <c r="U4" s="3234"/>
      <c r="V4" s="3211" t="s">
        <v>1705</v>
      </c>
      <c r="W4" s="3211"/>
      <c r="X4" s="1152"/>
      <c r="Y4" s="3233" t="s">
        <v>1707</v>
      </c>
      <c r="Z4" s="3234"/>
      <c r="AA4" s="3220" t="s">
        <v>1703</v>
      </c>
      <c r="AB4" s="3221" t="s">
        <v>1704</v>
      </c>
      <c r="AC4" s="3220" t="s">
        <v>1705</v>
      </c>
    </row>
    <row r="5" spans="1:29" ht="15">
      <c r="A5" s="345"/>
      <c r="B5" s="346"/>
      <c r="C5" s="3241" t="s">
        <v>1654</v>
      </c>
      <c r="D5" s="3242"/>
      <c r="E5" s="3248" t="s">
        <v>1655</v>
      </c>
      <c r="F5" s="3249"/>
      <c r="G5" s="3241" t="s">
        <v>1656</v>
      </c>
      <c r="H5" s="3242"/>
      <c r="I5" s="3241" t="s">
        <v>1657</v>
      </c>
      <c r="J5" s="3242"/>
      <c r="K5" s="530"/>
      <c r="L5" s="2309"/>
      <c r="M5" s="2310"/>
      <c r="N5" s="2310"/>
      <c r="O5" s="2310"/>
      <c r="P5" s="3229"/>
      <c r="Q5" s="3230"/>
      <c r="R5" s="3235"/>
      <c r="S5" s="3236"/>
      <c r="T5" s="3235"/>
      <c r="U5" s="3236"/>
      <c r="V5" s="3211"/>
      <c r="W5" s="3211"/>
      <c r="X5" s="1152"/>
      <c r="Y5" s="3235"/>
      <c r="Z5" s="3236"/>
      <c r="AA5" s="3221"/>
      <c r="AB5" s="3221"/>
      <c r="AC5" s="3221"/>
    </row>
    <row r="6" spans="1:29" ht="15.75" thickBot="1">
      <c r="A6" s="347"/>
      <c r="B6" s="348"/>
      <c r="C6" s="3239" t="s">
        <v>1658</v>
      </c>
      <c r="D6" s="3240"/>
      <c r="E6" s="3246" t="s">
        <v>1658</v>
      </c>
      <c r="F6" s="3247"/>
      <c r="G6" s="3239" t="s">
        <v>1658</v>
      </c>
      <c r="H6" s="3240"/>
      <c r="I6" s="3239" t="s">
        <v>1658</v>
      </c>
      <c r="J6" s="3240"/>
      <c r="K6" s="530" t="s">
        <v>1659</v>
      </c>
      <c r="L6" s="2309"/>
      <c r="M6" s="2310"/>
      <c r="N6" s="2310"/>
      <c r="O6" s="2310"/>
      <c r="P6" s="3231"/>
      <c r="Q6" s="3232"/>
      <c r="R6" s="3235"/>
      <c r="S6" s="3236"/>
      <c r="T6" s="3237"/>
      <c r="U6" s="3238"/>
      <c r="V6" s="3211"/>
      <c r="W6" s="3211"/>
      <c r="X6" s="1152"/>
      <c r="Y6" s="3237"/>
      <c r="Z6" s="3238"/>
      <c r="AA6" s="3222"/>
      <c r="AB6" s="3222"/>
      <c r="AC6" s="3222"/>
    </row>
    <row r="7" spans="1:29" s="101" customFormat="1" ht="15.75" thickBot="1">
      <c r="A7" s="349" t="s">
        <v>1660</v>
      </c>
      <c r="B7" s="350"/>
      <c r="C7" s="351">
        <f>'数据-取费表'!B2</f>
        <v>46031</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43" t="s">
        <v>1661</v>
      </c>
      <c r="Q7" s="3245"/>
      <c r="R7" s="644" t="s">
        <v>14</v>
      </c>
      <c r="S7" s="645">
        <f t="shared" ref="S7:S15" si="0">F7</f>
        <v>0</v>
      </c>
      <c r="T7" s="644" t="s">
        <v>14</v>
      </c>
      <c r="U7" s="645">
        <f t="shared" ref="U7:U15" si="1">H7</f>
        <v>0</v>
      </c>
      <c r="V7" s="644" t="s">
        <v>14</v>
      </c>
      <c r="W7" s="645">
        <f t="shared" ref="W7:W15" si="2">J7</f>
        <v>0</v>
      </c>
      <c r="X7" s="646"/>
      <c r="Y7" s="3243" t="s">
        <v>1661</v>
      </c>
      <c r="Z7" s="3244"/>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43" t="s">
        <v>1664</v>
      </c>
      <c r="Q8" s="3244"/>
      <c r="R8" s="644" t="s">
        <v>14</v>
      </c>
      <c r="S8" s="645">
        <f t="shared" si="0"/>
        <v>0</v>
      </c>
      <c r="T8" s="644" t="s">
        <v>14</v>
      </c>
      <c r="U8" s="645">
        <f t="shared" si="1"/>
        <v>0</v>
      </c>
      <c r="V8" s="644" t="s">
        <v>14</v>
      </c>
      <c r="W8" s="645">
        <f t="shared" si="2"/>
        <v>0</v>
      </c>
      <c r="X8" s="646"/>
      <c r="Y8" s="3243" t="s">
        <v>1664</v>
      </c>
      <c r="Z8" s="3244"/>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10" t="s">
        <v>1667</v>
      </c>
      <c r="Q9" s="525" t="str">
        <f t="shared" ref="Q9:Q15" si="6">B9</f>
        <v>用途</v>
      </c>
      <c r="R9" s="644" t="s">
        <v>14</v>
      </c>
      <c r="S9" s="645">
        <f t="shared" si="0"/>
        <v>100</v>
      </c>
      <c r="T9" s="644" t="s">
        <v>14</v>
      </c>
      <c r="U9" s="645">
        <f t="shared" si="1"/>
        <v>100</v>
      </c>
      <c r="V9" s="644" t="s">
        <v>14</v>
      </c>
      <c r="W9" s="645">
        <f t="shared" si="2"/>
        <v>100</v>
      </c>
      <c r="X9" s="646"/>
      <c r="Y9" s="308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10"/>
      <c r="Q10" s="525" t="str">
        <f t="shared" si="6"/>
        <v>土地使用年限（年）</v>
      </c>
      <c r="R10" s="644" t="s">
        <v>14</v>
      </c>
      <c r="S10" s="645" t="e">
        <f t="shared" si="0"/>
        <v>#DIV/0!</v>
      </c>
      <c r="T10" s="644" t="s">
        <v>14</v>
      </c>
      <c r="U10" s="645" t="e">
        <f t="shared" si="1"/>
        <v>#DIV/0!</v>
      </c>
      <c r="V10" s="644" t="s">
        <v>14</v>
      </c>
      <c r="W10" s="645" t="e">
        <f t="shared" si="2"/>
        <v>#DIV/0!</v>
      </c>
      <c r="X10" s="646"/>
      <c r="Y10" s="308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10"/>
      <c r="Q11" s="525" t="str">
        <f t="shared" si="6"/>
        <v>容积率</v>
      </c>
      <c r="R11" s="644" t="s">
        <v>14</v>
      </c>
      <c r="S11" s="645" t="e">
        <f t="shared" si="0"/>
        <v>#N/A</v>
      </c>
      <c r="T11" s="644" t="s">
        <v>14</v>
      </c>
      <c r="U11" s="645" t="e">
        <f t="shared" si="1"/>
        <v>#N/A</v>
      </c>
      <c r="V11" s="644" t="s">
        <v>14</v>
      </c>
      <c r="W11" s="645" t="e">
        <f t="shared" si="2"/>
        <v>#N/A</v>
      </c>
      <c r="X11" s="646"/>
      <c r="Y11" s="3088"/>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10"/>
      <c r="Q12" s="525" t="str">
        <f t="shared" si="6"/>
        <v>配建</v>
      </c>
      <c r="R12" s="644" t="s">
        <v>14</v>
      </c>
      <c r="S12" s="645">
        <f t="shared" si="0"/>
        <v>100</v>
      </c>
      <c r="T12" s="644" t="s">
        <v>14</v>
      </c>
      <c r="U12" s="645">
        <f t="shared" si="1"/>
        <v>100</v>
      </c>
      <c r="V12" s="644" t="s">
        <v>14</v>
      </c>
      <c r="W12" s="645">
        <f t="shared" si="2"/>
        <v>100</v>
      </c>
      <c r="X12" s="646"/>
      <c r="Y12" s="3088"/>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10"/>
      <c r="Q13" s="525">
        <f t="shared" si="6"/>
        <v>111</v>
      </c>
      <c r="R13" s="644" t="s">
        <v>14</v>
      </c>
      <c r="S13" s="645">
        <f t="shared" si="0"/>
        <v>100</v>
      </c>
      <c r="T13" s="644" t="s">
        <v>14</v>
      </c>
      <c r="U13" s="645">
        <f t="shared" si="1"/>
        <v>100</v>
      </c>
      <c r="V13" s="644" t="s">
        <v>14</v>
      </c>
      <c r="W13" s="645">
        <f t="shared" si="2"/>
        <v>100</v>
      </c>
      <c r="X13" s="646"/>
      <c r="Y13" s="3088"/>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10"/>
      <c r="Q14" s="525">
        <f t="shared" si="6"/>
        <v>111</v>
      </c>
      <c r="R14" s="644" t="s">
        <v>14</v>
      </c>
      <c r="S14" s="645">
        <f t="shared" si="0"/>
        <v>100</v>
      </c>
      <c r="T14" s="644" t="s">
        <v>14</v>
      </c>
      <c r="U14" s="645">
        <f t="shared" si="1"/>
        <v>100</v>
      </c>
      <c r="V14" s="644" t="s">
        <v>14</v>
      </c>
      <c r="W14" s="645">
        <f t="shared" si="2"/>
        <v>100</v>
      </c>
      <c r="X14" s="646"/>
      <c r="Y14" s="3088"/>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5" t="s">
        <v>1672</v>
      </c>
      <c r="Q15" s="1150" t="str">
        <f t="shared" si="6"/>
        <v>居住社区成熟度</v>
      </c>
      <c r="R15" s="647" t="s">
        <v>14</v>
      </c>
      <c r="S15" s="648">
        <f t="shared" si="0"/>
        <v>100</v>
      </c>
      <c r="T15" s="647" t="s">
        <v>14</v>
      </c>
      <c r="U15" s="648">
        <f t="shared" si="1"/>
        <v>100</v>
      </c>
      <c r="V15" s="647" t="s">
        <v>14</v>
      </c>
      <c r="W15" s="648">
        <f t="shared" si="2"/>
        <v>100</v>
      </c>
      <c r="X15" s="1152"/>
      <c r="Y15" s="3215"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6"/>
      <c r="Q16" s="1150"/>
      <c r="R16" s="647"/>
      <c r="S16" s="648"/>
      <c r="T16" s="647"/>
      <c r="U16" s="648"/>
      <c r="V16" s="647"/>
      <c r="W16" s="648"/>
      <c r="X16" s="1152"/>
      <c r="Y16" s="3216"/>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6"/>
      <c r="Q17" s="1150" t="str">
        <f>B17</f>
        <v>商业繁华度</v>
      </c>
      <c r="R17" s="647" t="s">
        <v>14</v>
      </c>
      <c r="S17" s="648">
        <f>F17</f>
        <v>100</v>
      </c>
      <c r="T17" s="647" t="s">
        <v>14</v>
      </c>
      <c r="U17" s="648">
        <f>H17</f>
        <v>100</v>
      </c>
      <c r="V17" s="647" t="s">
        <v>14</v>
      </c>
      <c r="W17" s="648">
        <f>J17</f>
        <v>100</v>
      </c>
      <c r="X17" s="1152"/>
      <c r="Y17" s="3216"/>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6"/>
      <c r="Q18" s="1150"/>
      <c r="R18" s="647"/>
      <c r="S18" s="648"/>
      <c r="T18" s="647"/>
      <c r="U18" s="648"/>
      <c r="V18" s="647"/>
      <c r="W18" s="648"/>
      <c r="X18" s="1152"/>
      <c r="Y18" s="3216"/>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6"/>
      <c r="Q19" s="1150" t="str">
        <f>B19</f>
        <v>办公集聚程度</v>
      </c>
      <c r="R19" s="647" t="s">
        <v>14</v>
      </c>
      <c r="S19" s="648">
        <f>F19</f>
        <v>100</v>
      </c>
      <c r="T19" s="647" t="s">
        <v>14</v>
      </c>
      <c r="U19" s="648">
        <f>H19</f>
        <v>100</v>
      </c>
      <c r="V19" s="647" t="s">
        <v>14</v>
      </c>
      <c r="W19" s="648">
        <f>J19</f>
        <v>100</v>
      </c>
      <c r="X19" s="1152"/>
      <c r="Y19" s="3216"/>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6"/>
      <c r="Q20" s="1150"/>
      <c r="R20" s="647"/>
      <c r="S20" s="648"/>
      <c r="T20" s="647"/>
      <c r="U20" s="648"/>
      <c r="V20" s="647"/>
      <c r="W20" s="648"/>
      <c r="X20" s="1152"/>
      <c r="Y20" s="3216"/>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6"/>
      <c r="Q21" s="1150" t="str">
        <f>B21</f>
        <v>交通便捷度</v>
      </c>
      <c r="R21" s="647" t="s">
        <v>14</v>
      </c>
      <c r="S21" s="648">
        <f>F21</f>
        <v>100</v>
      </c>
      <c r="T21" s="647" t="s">
        <v>14</v>
      </c>
      <c r="U21" s="648">
        <f>H21</f>
        <v>100</v>
      </c>
      <c r="V21" s="647" t="s">
        <v>14</v>
      </c>
      <c r="W21" s="648">
        <f>J21</f>
        <v>100</v>
      </c>
      <c r="X21" s="1152"/>
      <c r="Y21" s="3216"/>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6"/>
      <c r="Q22" s="1150"/>
      <c r="R22" s="647"/>
      <c r="S22" s="648"/>
      <c r="T22" s="647"/>
      <c r="U22" s="648"/>
      <c r="V22" s="647"/>
      <c r="W22" s="648"/>
      <c r="X22" s="1152"/>
      <c r="Y22" s="3216"/>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6"/>
      <c r="Q23" s="1150" t="str">
        <f t="shared" ref="Q23:Q37" si="8">B23</f>
        <v>区域土地利用方向</v>
      </c>
      <c r="R23" s="647" t="s">
        <v>14</v>
      </c>
      <c r="S23" s="648">
        <f>F23</f>
        <v>100</v>
      </c>
      <c r="T23" s="647" t="s">
        <v>14</v>
      </c>
      <c r="U23" s="648">
        <f>H23</f>
        <v>100</v>
      </c>
      <c r="V23" s="647" t="s">
        <v>14</v>
      </c>
      <c r="W23" s="648">
        <f>J23</f>
        <v>100</v>
      </c>
      <c r="X23" s="1152"/>
      <c r="Y23" s="3216"/>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6"/>
      <c r="Q24" s="1150"/>
      <c r="R24" s="647"/>
      <c r="S24" s="648"/>
      <c r="T24" s="647"/>
      <c r="U24" s="648"/>
      <c r="V24" s="647"/>
      <c r="W24" s="648"/>
      <c r="X24" s="1152"/>
      <c r="Y24" s="3216"/>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6"/>
      <c r="Q25" s="1150" t="str">
        <f t="shared" si="8"/>
        <v>自然及人文环境状况</v>
      </c>
      <c r="R25" s="647" t="s">
        <v>14</v>
      </c>
      <c r="S25" s="648">
        <f>F25</f>
        <v>100</v>
      </c>
      <c r="T25" s="647" t="s">
        <v>14</v>
      </c>
      <c r="U25" s="648">
        <f>H25</f>
        <v>100</v>
      </c>
      <c r="V25" s="647" t="s">
        <v>14</v>
      </c>
      <c r="W25" s="648">
        <f>J25</f>
        <v>100</v>
      </c>
      <c r="X25" s="1152"/>
      <c r="Y25" s="3216"/>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6"/>
      <c r="Q26" s="1150"/>
      <c r="R26" s="647"/>
      <c r="S26" s="648"/>
      <c r="T26" s="647"/>
      <c r="U26" s="648"/>
      <c r="V26" s="647"/>
      <c r="W26" s="648"/>
      <c r="X26" s="1152"/>
      <c r="Y26" s="3216"/>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6"/>
      <c r="Q27" s="525" t="str">
        <f t="shared" si="8"/>
        <v>公共配套设施</v>
      </c>
      <c r="R27" s="644" t="s">
        <v>14</v>
      </c>
      <c r="S27" s="645">
        <f>F27</f>
        <v>100</v>
      </c>
      <c r="T27" s="644" t="s">
        <v>14</v>
      </c>
      <c r="U27" s="645">
        <f>H27</f>
        <v>100</v>
      </c>
      <c r="V27" s="644" t="s">
        <v>14</v>
      </c>
      <c r="W27" s="645">
        <f>J27</f>
        <v>100</v>
      </c>
      <c r="X27" s="646"/>
      <c r="Y27" s="3216"/>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6"/>
      <c r="Q28" s="525"/>
      <c r="R28" s="644"/>
      <c r="S28" s="645"/>
      <c r="T28" s="644"/>
      <c r="U28" s="645"/>
      <c r="V28" s="644"/>
      <c r="W28" s="645"/>
      <c r="X28" s="646"/>
      <c r="Y28" s="3216"/>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6"/>
      <c r="Q29" s="525" t="str">
        <f t="shared" ref="Q29" si="9">B29</f>
        <v>基础设施水平</v>
      </c>
      <c r="R29" s="644" t="s">
        <v>14</v>
      </c>
      <c r="S29" s="645">
        <f>F29</f>
        <v>100</v>
      </c>
      <c r="T29" s="644" t="s">
        <v>14</v>
      </c>
      <c r="U29" s="645">
        <f>H29</f>
        <v>100</v>
      </c>
      <c r="V29" s="644" t="s">
        <v>14</v>
      </c>
      <c r="W29" s="645">
        <f>J29</f>
        <v>100</v>
      </c>
      <c r="X29" s="646"/>
      <c r="Y29" s="3216"/>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6"/>
      <c r="Q30" s="525"/>
      <c r="R30" s="644"/>
      <c r="S30" s="645"/>
      <c r="T30" s="644"/>
      <c r="U30" s="645"/>
      <c r="V30" s="644"/>
      <c r="W30" s="645"/>
      <c r="X30" s="646"/>
      <c r="Y30" s="3216"/>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6"/>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6"/>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6"/>
      <c r="Q32" s="1150" t="str">
        <f t="shared" si="8"/>
        <v>毗邻道路的类型与等级</v>
      </c>
      <c r="R32" s="647" t="s">
        <v>14</v>
      </c>
      <c r="S32" s="648">
        <f t="shared" si="10"/>
        <v>100</v>
      </c>
      <c r="T32" s="647" t="s">
        <v>14</v>
      </c>
      <c r="U32" s="648">
        <f t="shared" si="11"/>
        <v>100</v>
      </c>
      <c r="V32" s="647" t="s">
        <v>14</v>
      </c>
      <c r="W32" s="648">
        <f t="shared" si="12"/>
        <v>100</v>
      </c>
      <c r="X32" s="1152"/>
      <c r="Y32" s="3216"/>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6"/>
      <c r="Q33" s="1150"/>
      <c r="R33" s="647"/>
      <c r="S33" s="648"/>
      <c r="T33" s="647"/>
      <c r="U33" s="648"/>
      <c r="V33" s="647"/>
      <c r="W33" s="648"/>
      <c r="X33" s="1152"/>
      <c r="Y33" s="3216"/>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6"/>
      <c r="Q34" s="1150" t="str">
        <f t="shared" si="8"/>
        <v>土地级别</v>
      </c>
      <c r="R34" s="647" t="s">
        <v>14</v>
      </c>
      <c r="S34" s="648">
        <f t="shared" si="10"/>
        <v>100</v>
      </c>
      <c r="T34" s="647" t="s">
        <v>14</v>
      </c>
      <c r="U34" s="648">
        <f t="shared" si="11"/>
        <v>100</v>
      </c>
      <c r="V34" s="647" t="s">
        <v>14</v>
      </c>
      <c r="W34" s="648">
        <f t="shared" si="12"/>
        <v>100</v>
      </c>
      <c r="X34" s="1152"/>
      <c r="Y34" s="3216"/>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6"/>
      <c r="Q35" s="1150">
        <f t="shared" si="8"/>
        <v>111</v>
      </c>
      <c r="R35" s="647" t="s">
        <v>14</v>
      </c>
      <c r="S35" s="648">
        <f t="shared" si="10"/>
        <v>100</v>
      </c>
      <c r="T35" s="647" t="s">
        <v>14</v>
      </c>
      <c r="U35" s="648">
        <f t="shared" si="11"/>
        <v>100</v>
      </c>
      <c r="V35" s="647" t="s">
        <v>14</v>
      </c>
      <c r="W35" s="648">
        <f t="shared" si="12"/>
        <v>100</v>
      </c>
      <c r="X35" s="1152"/>
      <c r="Y35" s="3216"/>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7" t="s">
        <v>1674</v>
      </c>
      <c r="Q36" s="1150">
        <f t="shared" si="8"/>
        <v>111</v>
      </c>
      <c r="R36" s="647" t="s">
        <v>14</v>
      </c>
      <c r="S36" s="648">
        <f t="shared" si="10"/>
        <v>100</v>
      </c>
      <c r="T36" s="647" t="s">
        <v>14</v>
      </c>
      <c r="U36" s="648">
        <f t="shared" si="11"/>
        <v>100</v>
      </c>
      <c r="V36" s="647" t="s">
        <v>14</v>
      </c>
      <c r="W36" s="648">
        <f t="shared" si="12"/>
        <v>100</v>
      </c>
      <c r="X36" s="1152"/>
      <c r="Y36" s="3218"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18"/>
      <c r="Q37" s="1150">
        <f t="shared" si="8"/>
        <v>111</v>
      </c>
      <c r="R37" s="649" t="s">
        <v>14</v>
      </c>
      <c r="S37" s="650">
        <f t="shared" si="10"/>
        <v>100</v>
      </c>
      <c r="T37" s="649" t="s">
        <v>14</v>
      </c>
      <c r="U37" s="650">
        <f t="shared" si="11"/>
        <v>100</v>
      </c>
      <c r="V37" s="649" t="s">
        <v>14</v>
      </c>
      <c r="W37" s="650">
        <f t="shared" si="12"/>
        <v>100</v>
      </c>
      <c r="X37" s="651"/>
      <c r="Y37" s="3218"/>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18"/>
      <c r="Q38" s="1150" t="str">
        <f>B38</f>
        <v>宗地面积</v>
      </c>
      <c r="R38" s="647" t="s">
        <v>14</v>
      </c>
      <c r="S38" s="648" t="e">
        <f t="shared" si="10"/>
        <v>#N/A</v>
      </c>
      <c r="T38" s="647" t="s">
        <v>14</v>
      </c>
      <c r="U38" s="648" t="e">
        <f t="shared" si="11"/>
        <v>#N/A</v>
      </c>
      <c r="V38" s="647" t="s">
        <v>14</v>
      </c>
      <c r="W38" s="648" t="e">
        <f t="shared" si="12"/>
        <v>#N/A</v>
      </c>
      <c r="X38" s="1152"/>
      <c r="Y38" s="3218"/>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18"/>
      <c r="Q39" s="1150" t="str">
        <f t="shared" ref="Q39:Q45" si="14">B39</f>
        <v>宗地形状</v>
      </c>
      <c r="R39" s="647" t="s">
        <v>14</v>
      </c>
      <c r="S39" s="648">
        <f t="shared" si="10"/>
        <v>100</v>
      </c>
      <c r="T39" s="647" t="s">
        <v>14</v>
      </c>
      <c r="U39" s="648">
        <f t="shared" si="11"/>
        <v>100</v>
      </c>
      <c r="V39" s="647" t="s">
        <v>14</v>
      </c>
      <c r="W39" s="648">
        <f t="shared" si="12"/>
        <v>100</v>
      </c>
      <c r="X39" s="1152"/>
      <c r="Y39" s="3218"/>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18"/>
      <c r="Q40" s="1150" t="str">
        <f t="shared" si="14"/>
        <v>临街宽度及深度</v>
      </c>
      <c r="R40" s="647" t="s">
        <v>14</v>
      </c>
      <c r="S40" s="648">
        <f t="shared" si="10"/>
        <v>100</v>
      </c>
      <c r="T40" s="647" t="s">
        <v>14</v>
      </c>
      <c r="U40" s="648">
        <f t="shared" si="11"/>
        <v>100</v>
      </c>
      <c r="V40" s="647" t="s">
        <v>14</v>
      </c>
      <c r="W40" s="648">
        <f t="shared" si="12"/>
        <v>100</v>
      </c>
      <c r="X40" s="1152"/>
      <c r="Y40" s="3218"/>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18"/>
      <c r="Q41" s="1150" t="str">
        <f t="shared" si="14"/>
        <v>宗地开发程度</v>
      </c>
      <c r="R41" s="644" t="s">
        <v>14</v>
      </c>
      <c r="S41" s="645">
        <f t="shared" si="10"/>
        <v>100</v>
      </c>
      <c r="T41" s="644" t="s">
        <v>14</v>
      </c>
      <c r="U41" s="645">
        <f t="shared" si="11"/>
        <v>100</v>
      </c>
      <c r="V41" s="644" t="s">
        <v>14</v>
      </c>
      <c r="W41" s="645">
        <f t="shared" si="12"/>
        <v>100</v>
      </c>
      <c r="X41" s="646"/>
      <c r="Y41" s="3218"/>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18" t="s">
        <v>1674</v>
      </c>
      <c r="Q42" s="1150" t="str">
        <f t="shared" si="14"/>
        <v>工程地质条件</v>
      </c>
      <c r="R42" s="647" t="s">
        <v>14</v>
      </c>
      <c r="S42" s="648">
        <f t="shared" si="10"/>
        <v>100</v>
      </c>
      <c r="T42" s="647" t="s">
        <v>14</v>
      </c>
      <c r="U42" s="648">
        <f t="shared" si="11"/>
        <v>100</v>
      </c>
      <c r="V42" s="647" t="s">
        <v>14</v>
      </c>
      <c r="W42" s="648">
        <f t="shared" si="12"/>
        <v>100</v>
      </c>
      <c r="X42" s="1152"/>
      <c r="Y42" s="3218"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18"/>
      <c r="Q43" s="1150">
        <f t="shared" si="14"/>
        <v>111</v>
      </c>
      <c r="R43" s="647" t="s">
        <v>14</v>
      </c>
      <c r="S43" s="648">
        <f t="shared" si="10"/>
        <v>100</v>
      </c>
      <c r="T43" s="647" t="s">
        <v>14</v>
      </c>
      <c r="U43" s="648">
        <f t="shared" si="11"/>
        <v>100</v>
      </c>
      <c r="V43" s="647" t="s">
        <v>14</v>
      </c>
      <c r="W43" s="648">
        <f t="shared" si="12"/>
        <v>100</v>
      </c>
      <c r="X43" s="1152"/>
      <c r="Y43" s="3218"/>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18"/>
      <c r="Q44" s="1150">
        <f t="shared" si="14"/>
        <v>111</v>
      </c>
      <c r="R44" s="647" t="s">
        <v>14</v>
      </c>
      <c r="S44" s="648">
        <f t="shared" si="10"/>
        <v>100</v>
      </c>
      <c r="T44" s="647" t="s">
        <v>14</v>
      </c>
      <c r="U44" s="648">
        <f t="shared" si="11"/>
        <v>100</v>
      </c>
      <c r="V44" s="647" t="s">
        <v>14</v>
      </c>
      <c r="W44" s="648">
        <f t="shared" si="12"/>
        <v>100</v>
      </c>
      <c r="X44" s="1152"/>
      <c r="Y44" s="3218"/>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18"/>
      <c r="Q45" s="1150">
        <f t="shared" si="14"/>
        <v>111</v>
      </c>
      <c r="R45" s="649" t="s">
        <v>14</v>
      </c>
      <c r="S45" s="650">
        <f t="shared" si="10"/>
        <v>100</v>
      </c>
      <c r="T45" s="649" t="s">
        <v>14</v>
      </c>
      <c r="U45" s="650">
        <f t="shared" si="11"/>
        <v>100</v>
      </c>
      <c r="V45" s="649" t="s">
        <v>14</v>
      </c>
      <c r="W45" s="650">
        <f t="shared" si="12"/>
        <v>100</v>
      </c>
      <c r="X45" s="651"/>
      <c r="Y45" s="3218"/>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10" t="str">
        <f>A46</f>
        <v>成交单价</v>
      </c>
      <c r="Q46" s="3210"/>
      <c r="R46" s="3211">
        <f>E46</f>
        <v>0</v>
      </c>
      <c r="S46" s="3211"/>
      <c r="T46" s="3211">
        <f>G46</f>
        <v>0</v>
      </c>
      <c r="U46" s="3211"/>
      <c r="V46" s="3211">
        <f>I46</f>
        <v>0</v>
      </c>
      <c r="W46" s="3211"/>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10" t="str">
        <f>A47</f>
        <v>比较价值（元/平方米）</v>
      </c>
      <c r="Q47" s="3210"/>
      <c r="R47" s="3251" t="e">
        <f>ROUND(PRODUCT(R46,AA7:AA45),0)</f>
        <v>#DIV/0!</v>
      </c>
      <c r="S47" s="3251"/>
      <c r="T47" s="3251" t="e">
        <f>ROUND(PRODUCT(T46,AB7:AB45),0)</f>
        <v>#DIV/0!</v>
      </c>
      <c r="U47" s="3251"/>
      <c r="V47" s="3251" t="e">
        <f>ROUND(PRODUCT(V46,AC7:AC45),0)</f>
        <v>#DIV/0!</v>
      </c>
      <c r="W47" s="3251"/>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12" t="str">
        <f>A48</f>
        <v>估价对象XX用房的比较价值（楼面单价，元/平方米）</v>
      </c>
      <c r="Q48" s="3213"/>
      <c r="R48" s="3252" t="e">
        <f>ROUND(IF(D47="简单平均",AVERAGE(R47:W47),R47*F47+T47*H47+V47*J47),0)</f>
        <v>#DIV/0!</v>
      </c>
      <c r="S48" s="3252"/>
      <c r="T48" s="3252"/>
      <c r="U48" s="3252"/>
      <c r="V48" s="3252"/>
      <c r="W48" s="3252"/>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3" t="s">
        <v>1812</v>
      </c>
      <c r="H55" s="3253"/>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4"/>
      <c r="H56" s="3210"/>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2026-1-1</v>
      </c>
      <c r="D67" s="636">
        <f>EDATE(C67,-3)</f>
        <v>45931</v>
      </c>
      <c r="E67" s="636">
        <f>EDATE(D67,-3)</f>
        <v>45839</v>
      </c>
      <c r="F67" s="636">
        <f t="shared" ref="F67:O67" si="18">EDATE(E67,-3)</f>
        <v>45748</v>
      </c>
      <c r="G67" s="636">
        <f t="shared" si="18"/>
        <v>45658</v>
      </c>
      <c r="H67" s="636">
        <f t="shared" si="18"/>
        <v>45566</v>
      </c>
      <c r="I67" s="636">
        <f t="shared" si="18"/>
        <v>45474</v>
      </c>
      <c r="J67" s="636">
        <f t="shared" si="18"/>
        <v>45383</v>
      </c>
      <c r="K67" s="636">
        <f t="shared" si="18"/>
        <v>45292</v>
      </c>
      <c r="L67" s="636">
        <f t="shared" si="18"/>
        <v>45200</v>
      </c>
      <c r="M67" s="636">
        <f t="shared" si="18"/>
        <v>45108</v>
      </c>
      <c r="N67" s="636">
        <f t="shared" si="18"/>
        <v>45017</v>
      </c>
      <c r="O67" s="636">
        <f t="shared" si="18"/>
        <v>44927</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2026年1月9日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3" t="s">
        <v>1702</v>
      </c>
      <c r="D4" s="3224"/>
      <c r="E4" s="3225" t="s">
        <v>1703</v>
      </c>
      <c r="F4" s="3226"/>
      <c r="G4" s="3223" t="s">
        <v>1704</v>
      </c>
      <c r="H4" s="3224"/>
      <c r="I4" s="3223" t="s">
        <v>1705</v>
      </c>
      <c r="J4" s="3224"/>
      <c r="K4" s="530" t="s">
        <v>1706</v>
      </c>
      <c r="L4" s="2309"/>
      <c r="M4" s="2310"/>
      <c r="N4" s="2310"/>
      <c r="O4" s="2310"/>
      <c r="P4" s="3227" t="s">
        <v>1707</v>
      </c>
      <c r="Q4" s="3228"/>
      <c r="R4" s="3233" t="s">
        <v>1703</v>
      </c>
      <c r="S4" s="3234"/>
      <c r="T4" s="3233" t="s">
        <v>1704</v>
      </c>
      <c r="U4" s="3234"/>
      <c r="V4" s="3211" t="s">
        <v>1705</v>
      </c>
      <c r="W4" s="3211"/>
      <c r="X4" s="1152"/>
      <c r="Y4" s="3233" t="s">
        <v>1707</v>
      </c>
      <c r="Z4" s="3234"/>
      <c r="AA4" s="3220" t="s">
        <v>1703</v>
      </c>
      <c r="AB4" s="3221" t="s">
        <v>1704</v>
      </c>
      <c r="AC4" s="3220" t="s">
        <v>1705</v>
      </c>
    </row>
    <row r="5" spans="1:29" ht="15">
      <c r="A5" s="345"/>
      <c r="B5" s="346"/>
      <c r="C5" s="3241" t="s">
        <v>1654</v>
      </c>
      <c r="D5" s="3242"/>
      <c r="E5" s="3248" t="s">
        <v>1655</v>
      </c>
      <c r="F5" s="3249"/>
      <c r="G5" s="3241" t="s">
        <v>1656</v>
      </c>
      <c r="H5" s="3242"/>
      <c r="I5" s="3241" t="s">
        <v>1657</v>
      </c>
      <c r="J5" s="3242"/>
      <c r="K5" s="530"/>
      <c r="L5" s="2309"/>
      <c r="M5" s="2310"/>
      <c r="N5" s="2310"/>
      <c r="O5" s="2310"/>
      <c r="P5" s="3229"/>
      <c r="Q5" s="3230"/>
      <c r="R5" s="3235"/>
      <c r="S5" s="3236"/>
      <c r="T5" s="3235"/>
      <c r="U5" s="3236"/>
      <c r="V5" s="3211"/>
      <c r="W5" s="3211"/>
      <c r="X5" s="1152"/>
      <c r="Y5" s="3235"/>
      <c r="Z5" s="3236"/>
      <c r="AA5" s="3221"/>
      <c r="AB5" s="3221"/>
      <c r="AC5" s="3221"/>
    </row>
    <row r="6" spans="1:29" ht="15.75" thickBot="1">
      <c r="A6" s="347"/>
      <c r="B6" s="348"/>
      <c r="C6" s="3255" t="s">
        <v>1844</v>
      </c>
      <c r="D6" s="3256"/>
      <c r="E6" s="3257" t="s">
        <v>1844</v>
      </c>
      <c r="F6" s="3258"/>
      <c r="G6" s="3255" t="s">
        <v>1844</v>
      </c>
      <c r="H6" s="3256"/>
      <c r="I6" s="3255" t="s">
        <v>1844</v>
      </c>
      <c r="J6" s="3256"/>
      <c r="K6" s="530" t="s">
        <v>1659</v>
      </c>
      <c r="L6" s="2309"/>
      <c r="M6" s="2310"/>
      <c r="N6" s="2310"/>
      <c r="O6" s="2310"/>
      <c r="P6" s="3231"/>
      <c r="Q6" s="3232"/>
      <c r="R6" s="3235"/>
      <c r="S6" s="3236"/>
      <c r="T6" s="3237"/>
      <c r="U6" s="3238"/>
      <c r="V6" s="3211"/>
      <c r="W6" s="3211"/>
      <c r="X6" s="1152"/>
      <c r="Y6" s="3237"/>
      <c r="Z6" s="3238"/>
      <c r="AA6" s="3222"/>
      <c r="AB6" s="3222"/>
      <c r="AC6" s="3222"/>
    </row>
    <row r="7" spans="1:29" s="101" customFormat="1" ht="15.75" thickBot="1">
      <c r="A7" s="349" t="s">
        <v>1660</v>
      </c>
      <c r="B7" s="350"/>
      <c r="C7" s="351">
        <f>'数据-取费表'!B2</f>
        <v>46031</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3" t="s">
        <v>1661</v>
      </c>
      <c r="Q7" s="3245"/>
      <c r="R7" s="644" t="s">
        <v>14</v>
      </c>
      <c r="S7" s="645">
        <f t="shared" ref="S7:S15" si="0">F7</f>
        <v>0</v>
      </c>
      <c r="T7" s="644" t="s">
        <v>14</v>
      </c>
      <c r="U7" s="645">
        <f t="shared" ref="U7:U15" si="1">H7</f>
        <v>0</v>
      </c>
      <c r="V7" s="644" t="s">
        <v>14</v>
      </c>
      <c r="W7" s="645">
        <f t="shared" ref="W7:W15" si="2">J7</f>
        <v>0</v>
      </c>
      <c r="X7" s="646"/>
      <c r="Y7" s="3243" t="s">
        <v>1661</v>
      </c>
      <c r="Z7" s="3244"/>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3" t="s">
        <v>1664</v>
      </c>
      <c r="Q8" s="3244"/>
      <c r="R8" s="644" t="s">
        <v>14</v>
      </c>
      <c r="S8" s="645">
        <f t="shared" si="0"/>
        <v>0</v>
      </c>
      <c r="T8" s="644" t="s">
        <v>14</v>
      </c>
      <c r="U8" s="645">
        <f t="shared" si="1"/>
        <v>0</v>
      </c>
      <c r="V8" s="644" t="s">
        <v>14</v>
      </c>
      <c r="W8" s="645">
        <f t="shared" si="2"/>
        <v>0</v>
      </c>
      <c r="X8" s="646"/>
      <c r="Y8" s="3243" t="s">
        <v>1664</v>
      </c>
      <c r="Z8" s="3244"/>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10" t="s">
        <v>1667</v>
      </c>
      <c r="Q9" s="525" t="str">
        <f t="shared" ref="Q9:Q15" si="6">B9</f>
        <v>用途</v>
      </c>
      <c r="R9" s="644" t="s">
        <v>14</v>
      </c>
      <c r="S9" s="645">
        <f t="shared" si="0"/>
        <v>100</v>
      </c>
      <c r="T9" s="644" t="s">
        <v>14</v>
      </c>
      <c r="U9" s="645">
        <f t="shared" si="1"/>
        <v>100</v>
      </c>
      <c r="V9" s="644" t="s">
        <v>14</v>
      </c>
      <c r="W9" s="645">
        <f t="shared" si="2"/>
        <v>100</v>
      </c>
      <c r="X9" s="646"/>
      <c r="Y9" s="3088"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10"/>
      <c r="Q10" s="525" t="str">
        <f t="shared" si="6"/>
        <v>土地使用年限（年）</v>
      </c>
      <c r="R10" s="644" t="s">
        <v>14</v>
      </c>
      <c r="S10" s="645" t="e">
        <f t="shared" si="0"/>
        <v>#DIV/0!</v>
      </c>
      <c r="T10" s="644" t="s">
        <v>14</v>
      </c>
      <c r="U10" s="645" t="e">
        <f t="shared" si="1"/>
        <v>#DIV/0!</v>
      </c>
      <c r="V10" s="644" t="s">
        <v>14</v>
      </c>
      <c r="W10" s="645" t="e">
        <f t="shared" si="2"/>
        <v>#DIV/0!</v>
      </c>
      <c r="X10" s="646"/>
      <c r="Y10" s="3088"/>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10"/>
      <c r="Q11" s="525" t="str">
        <f t="shared" si="6"/>
        <v>容积率</v>
      </c>
      <c r="R11" s="644" t="s">
        <v>14</v>
      </c>
      <c r="S11" s="645" t="e">
        <f t="shared" si="0"/>
        <v>#N/A</v>
      </c>
      <c r="T11" s="644" t="s">
        <v>14</v>
      </c>
      <c r="U11" s="645" t="e">
        <f t="shared" si="1"/>
        <v>#N/A</v>
      </c>
      <c r="V11" s="644" t="s">
        <v>14</v>
      </c>
      <c r="W11" s="645" t="e">
        <f t="shared" si="2"/>
        <v>#N/A</v>
      </c>
      <c r="X11" s="646"/>
      <c r="Y11" s="3088"/>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10"/>
      <c r="Q12" s="525">
        <f t="shared" si="6"/>
        <v>111</v>
      </c>
      <c r="R12" s="644" t="s">
        <v>14</v>
      </c>
      <c r="S12" s="645">
        <f t="shared" si="0"/>
        <v>100</v>
      </c>
      <c r="T12" s="644" t="s">
        <v>14</v>
      </c>
      <c r="U12" s="645">
        <f t="shared" si="1"/>
        <v>100</v>
      </c>
      <c r="V12" s="644" t="s">
        <v>14</v>
      </c>
      <c r="W12" s="645">
        <f t="shared" si="2"/>
        <v>100</v>
      </c>
      <c r="X12" s="646"/>
      <c r="Y12" s="3088"/>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10"/>
      <c r="Q13" s="525">
        <f t="shared" si="6"/>
        <v>111</v>
      </c>
      <c r="R13" s="644" t="s">
        <v>14</v>
      </c>
      <c r="S13" s="645">
        <f t="shared" si="0"/>
        <v>100</v>
      </c>
      <c r="T13" s="644" t="s">
        <v>14</v>
      </c>
      <c r="U13" s="645">
        <f t="shared" si="1"/>
        <v>100</v>
      </c>
      <c r="V13" s="644" t="s">
        <v>14</v>
      </c>
      <c r="W13" s="645">
        <f t="shared" si="2"/>
        <v>100</v>
      </c>
      <c r="X13" s="646"/>
      <c r="Y13" s="3088"/>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10"/>
      <c r="Q14" s="525">
        <f t="shared" si="6"/>
        <v>111</v>
      </c>
      <c r="R14" s="644" t="s">
        <v>14</v>
      </c>
      <c r="S14" s="645">
        <f t="shared" si="0"/>
        <v>100</v>
      </c>
      <c r="T14" s="644" t="s">
        <v>14</v>
      </c>
      <c r="U14" s="645">
        <f t="shared" si="1"/>
        <v>100</v>
      </c>
      <c r="V14" s="644" t="s">
        <v>14</v>
      </c>
      <c r="W14" s="645">
        <f t="shared" si="2"/>
        <v>100</v>
      </c>
      <c r="X14" s="646"/>
      <c r="Y14" s="3088"/>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5" t="s">
        <v>1672</v>
      </c>
      <c r="Q15" s="1150" t="str">
        <f t="shared" si="6"/>
        <v>产业集聚程度</v>
      </c>
      <c r="R15" s="647" t="s">
        <v>14</v>
      </c>
      <c r="S15" s="648">
        <f t="shared" si="0"/>
        <v>100</v>
      </c>
      <c r="T15" s="647" t="s">
        <v>14</v>
      </c>
      <c r="U15" s="648">
        <f t="shared" si="1"/>
        <v>100</v>
      </c>
      <c r="V15" s="647" t="s">
        <v>14</v>
      </c>
      <c r="W15" s="648">
        <f t="shared" si="2"/>
        <v>100</v>
      </c>
      <c r="X15" s="1152"/>
      <c r="Y15" s="3215"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6"/>
      <c r="Q16" s="1150"/>
      <c r="R16" s="647"/>
      <c r="S16" s="648"/>
      <c r="T16" s="647"/>
      <c r="U16" s="648"/>
      <c r="V16" s="647"/>
      <c r="W16" s="648"/>
      <c r="X16" s="1152"/>
      <c r="Y16" s="3216"/>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6"/>
      <c r="Q17" s="1150" t="str">
        <f>B17</f>
        <v>交通便捷度</v>
      </c>
      <c r="R17" s="647" t="s">
        <v>14</v>
      </c>
      <c r="S17" s="648">
        <f>F17</f>
        <v>100</v>
      </c>
      <c r="T17" s="647" t="s">
        <v>14</v>
      </c>
      <c r="U17" s="648">
        <f>H17</f>
        <v>100</v>
      </c>
      <c r="V17" s="647" t="s">
        <v>14</v>
      </c>
      <c r="W17" s="648">
        <f>J17</f>
        <v>100</v>
      </c>
      <c r="X17" s="1152"/>
      <c r="Y17" s="3216"/>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6"/>
      <c r="Q18" s="1150"/>
      <c r="R18" s="647"/>
      <c r="S18" s="648"/>
      <c r="T18" s="647"/>
      <c r="U18" s="648"/>
      <c r="V18" s="647"/>
      <c r="W18" s="648"/>
      <c r="X18" s="1152"/>
      <c r="Y18" s="3216"/>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6"/>
      <c r="Q19" s="1150" t="str">
        <f t="shared" ref="Q19:Q33" si="8">B19</f>
        <v>区域土地利用方向</v>
      </c>
      <c r="R19" s="647" t="s">
        <v>14</v>
      </c>
      <c r="S19" s="648">
        <f>F19</f>
        <v>100</v>
      </c>
      <c r="T19" s="647" t="s">
        <v>14</v>
      </c>
      <c r="U19" s="648">
        <f>H19</f>
        <v>100</v>
      </c>
      <c r="V19" s="647" t="s">
        <v>14</v>
      </c>
      <c r="W19" s="648">
        <f>J19</f>
        <v>100</v>
      </c>
      <c r="X19" s="1152"/>
      <c r="Y19" s="3216"/>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6"/>
      <c r="Q20" s="1150"/>
      <c r="R20" s="647"/>
      <c r="S20" s="648"/>
      <c r="T20" s="647"/>
      <c r="U20" s="648"/>
      <c r="V20" s="647"/>
      <c r="W20" s="648"/>
      <c r="X20" s="1152"/>
      <c r="Y20" s="3216"/>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6"/>
      <c r="Q21" s="1150" t="str">
        <f t="shared" si="8"/>
        <v>环境状况</v>
      </c>
      <c r="R21" s="647" t="s">
        <v>14</v>
      </c>
      <c r="S21" s="648">
        <f>F21</f>
        <v>100</v>
      </c>
      <c r="T21" s="647" t="s">
        <v>14</v>
      </c>
      <c r="U21" s="648">
        <f>H21</f>
        <v>100</v>
      </c>
      <c r="V21" s="647" t="s">
        <v>14</v>
      </c>
      <c r="W21" s="648">
        <f>J21</f>
        <v>100</v>
      </c>
      <c r="X21" s="1152"/>
      <c r="Y21" s="3216"/>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6"/>
      <c r="Q22" s="1150"/>
      <c r="R22" s="647"/>
      <c r="S22" s="648"/>
      <c r="T22" s="647"/>
      <c r="U22" s="648"/>
      <c r="V22" s="647"/>
      <c r="W22" s="648"/>
      <c r="X22" s="1152"/>
      <c r="Y22" s="3216"/>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6"/>
      <c r="Q23" s="525" t="str">
        <f t="shared" si="8"/>
        <v>公共配套设施</v>
      </c>
      <c r="R23" s="644" t="s">
        <v>14</v>
      </c>
      <c r="S23" s="645">
        <f>F23</f>
        <v>100</v>
      </c>
      <c r="T23" s="644" t="s">
        <v>14</v>
      </c>
      <c r="U23" s="645">
        <f>H23</f>
        <v>100</v>
      </c>
      <c r="V23" s="644" t="s">
        <v>14</v>
      </c>
      <c r="W23" s="645">
        <f>J23</f>
        <v>100</v>
      </c>
      <c r="X23" s="646"/>
      <c r="Y23" s="3216"/>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6"/>
      <c r="Q24" s="525"/>
      <c r="R24" s="644"/>
      <c r="S24" s="645"/>
      <c r="T24" s="644"/>
      <c r="U24" s="645"/>
      <c r="V24" s="644"/>
      <c r="W24" s="645"/>
      <c r="X24" s="646"/>
      <c r="Y24" s="3216"/>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6"/>
      <c r="Q25" s="525" t="str">
        <f t="shared" ref="Q25" si="9">B25</f>
        <v>基础设施水平</v>
      </c>
      <c r="R25" s="644" t="s">
        <v>14</v>
      </c>
      <c r="S25" s="645">
        <f>F25</f>
        <v>100</v>
      </c>
      <c r="T25" s="644" t="s">
        <v>14</v>
      </c>
      <c r="U25" s="645">
        <f>H25</f>
        <v>100</v>
      </c>
      <c r="V25" s="644" t="s">
        <v>14</v>
      </c>
      <c r="W25" s="645">
        <f>J25</f>
        <v>100</v>
      </c>
      <c r="X25" s="646"/>
      <c r="Y25" s="3216"/>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6"/>
      <c r="Q26" s="525"/>
      <c r="R26" s="644"/>
      <c r="S26" s="645"/>
      <c r="T26" s="644"/>
      <c r="U26" s="645"/>
      <c r="V26" s="644"/>
      <c r="W26" s="645"/>
      <c r="X26" s="646"/>
      <c r="Y26" s="3216"/>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6"/>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6"/>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6"/>
      <c r="Q28" s="1150" t="str">
        <f t="shared" si="8"/>
        <v>毗邻道路的类型与等级</v>
      </c>
      <c r="R28" s="647" t="s">
        <v>14</v>
      </c>
      <c r="S28" s="648">
        <f t="shared" si="10"/>
        <v>100</v>
      </c>
      <c r="T28" s="647" t="s">
        <v>14</v>
      </c>
      <c r="U28" s="648">
        <f t="shared" si="11"/>
        <v>100</v>
      </c>
      <c r="V28" s="647" t="s">
        <v>14</v>
      </c>
      <c r="W28" s="648">
        <f t="shared" si="12"/>
        <v>100</v>
      </c>
      <c r="X28" s="1152"/>
      <c r="Y28" s="3216"/>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6"/>
      <c r="Q29" s="1150"/>
      <c r="R29" s="647"/>
      <c r="S29" s="648"/>
      <c r="T29" s="647"/>
      <c r="U29" s="648"/>
      <c r="V29" s="647"/>
      <c r="W29" s="648"/>
      <c r="X29" s="1152"/>
      <c r="Y29" s="3216"/>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6"/>
      <c r="Q30" s="1150" t="str">
        <f t="shared" si="8"/>
        <v>土地级别</v>
      </c>
      <c r="R30" s="647" t="s">
        <v>14</v>
      </c>
      <c r="S30" s="648">
        <f t="shared" si="10"/>
        <v>100</v>
      </c>
      <c r="T30" s="647" t="s">
        <v>14</v>
      </c>
      <c r="U30" s="648">
        <f t="shared" si="11"/>
        <v>100</v>
      </c>
      <c r="V30" s="647" t="s">
        <v>14</v>
      </c>
      <c r="W30" s="648">
        <f t="shared" si="12"/>
        <v>100</v>
      </c>
      <c r="X30" s="1152"/>
      <c r="Y30" s="3216"/>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6"/>
      <c r="Q31" s="1150">
        <f t="shared" si="8"/>
        <v>111</v>
      </c>
      <c r="R31" s="647" t="s">
        <v>14</v>
      </c>
      <c r="S31" s="648">
        <f t="shared" si="10"/>
        <v>100</v>
      </c>
      <c r="T31" s="647" t="s">
        <v>14</v>
      </c>
      <c r="U31" s="648">
        <f t="shared" si="11"/>
        <v>100</v>
      </c>
      <c r="V31" s="647" t="s">
        <v>14</v>
      </c>
      <c r="W31" s="648">
        <f t="shared" si="12"/>
        <v>100</v>
      </c>
      <c r="X31" s="1152"/>
      <c r="Y31" s="3216"/>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7" t="s">
        <v>1674</v>
      </c>
      <c r="Q32" s="1150">
        <f t="shared" si="8"/>
        <v>111</v>
      </c>
      <c r="R32" s="647" t="s">
        <v>14</v>
      </c>
      <c r="S32" s="648">
        <f t="shared" si="10"/>
        <v>100</v>
      </c>
      <c r="T32" s="647" t="s">
        <v>14</v>
      </c>
      <c r="U32" s="648">
        <f t="shared" si="11"/>
        <v>100</v>
      </c>
      <c r="V32" s="647" t="s">
        <v>14</v>
      </c>
      <c r="W32" s="648">
        <f t="shared" si="12"/>
        <v>100</v>
      </c>
      <c r="X32" s="1152"/>
      <c r="Y32" s="3218"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18"/>
      <c r="Q33" s="1150">
        <f t="shared" si="8"/>
        <v>111</v>
      </c>
      <c r="R33" s="649" t="s">
        <v>14</v>
      </c>
      <c r="S33" s="650">
        <f t="shared" si="10"/>
        <v>100</v>
      </c>
      <c r="T33" s="649" t="s">
        <v>14</v>
      </c>
      <c r="U33" s="650">
        <f t="shared" si="11"/>
        <v>100</v>
      </c>
      <c r="V33" s="649" t="s">
        <v>14</v>
      </c>
      <c r="W33" s="650">
        <f t="shared" si="12"/>
        <v>100</v>
      </c>
      <c r="X33" s="651"/>
      <c r="Y33" s="3218"/>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18"/>
      <c r="Q34" s="1150" t="str">
        <f>B34</f>
        <v>宗地面积</v>
      </c>
      <c r="R34" s="647" t="s">
        <v>14</v>
      </c>
      <c r="S34" s="648" t="e">
        <f t="shared" si="10"/>
        <v>#N/A</v>
      </c>
      <c r="T34" s="647" t="s">
        <v>14</v>
      </c>
      <c r="U34" s="648" t="e">
        <f t="shared" si="11"/>
        <v>#N/A</v>
      </c>
      <c r="V34" s="647" t="s">
        <v>14</v>
      </c>
      <c r="W34" s="648" t="e">
        <f t="shared" si="12"/>
        <v>#N/A</v>
      </c>
      <c r="X34" s="1152"/>
      <c r="Y34" s="3218"/>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18"/>
      <c r="Q35" s="1150" t="str">
        <f t="shared" ref="Q35:Q40" si="14">B35</f>
        <v>宗地形状</v>
      </c>
      <c r="R35" s="647" t="s">
        <v>14</v>
      </c>
      <c r="S35" s="648">
        <f t="shared" si="10"/>
        <v>100</v>
      </c>
      <c r="T35" s="647" t="s">
        <v>14</v>
      </c>
      <c r="U35" s="648">
        <f t="shared" si="11"/>
        <v>100</v>
      </c>
      <c r="V35" s="647" t="s">
        <v>14</v>
      </c>
      <c r="W35" s="648">
        <f t="shared" si="12"/>
        <v>100</v>
      </c>
      <c r="X35" s="1152"/>
      <c r="Y35" s="3218"/>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18"/>
      <c r="Q36" s="1150" t="str">
        <f t="shared" si="14"/>
        <v>宗地开发程度</v>
      </c>
      <c r="R36" s="644" t="s">
        <v>14</v>
      </c>
      <c r="S36" s="645">
        <f t="shared" si="10"/>
        <v>100</v>
      </c>
      <c r="T36" s="644" t="s">
        <v>14</v>
      </c>
      <c r="U36" s="645">
        <f t="shared" si="11"/>
        <v>100</v>
      </c>
      <c r="V36" s="644" t="s">
        <v>14</v>
      </c>
      <c r="W36" s="645">
        <f t="shared" si="12"/>
        <v>100</v>
      </c>
      <c r="X36" s="646"/>
      <c r="Y36" s="3218"/>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18" t="s">
        <v>1674</v>
      </c>
      <c r="Q37" s="1150" t="str">
        <f t="shared" si="14"/>
        <v>工程地质条件</v>
      </c>
      <c r="R37" s="647" t="s">
        <v>14</v>
      </c>
      <c r="S37" s="648">
        <f t="shared" si="10"/>
        <v>100</v>
      </c>
      <c r="T37" s="647" t="s">
        <v>14</v>
      </c>
      <c r="U37" s="648">
        <f t="shared" si="11"/>
        <v>100</v>
      </c>
      <c r="V37" s="647" t="s">
        <v>14</v>
      </c>
      <c r="W37" s="648">
        <f t="shared" si="12"/>
        <v>100</v>
      </c>
      <c r="X37" s="1152"/>
      <c r="Y37" s="3218"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18"/>
      <c r="Q38" s="1150">
        <f t="shared" si="14"/>
        <v>111</v>
      </c>
      <c r="R38" s="647" t="s">
        <v>14</v>
      </c>
      <c r="S38" s="648">
        <f t="shared" si="10"/>
        <v>100</v>
      </c>
      <c r="T38" s="647" t="s">
        <v>14</v>
      </c>
      <c r="U38" s="648">
        <f t="shared" si="11"/>
        <v>100</v>
      </c>
      <c r="V38" s="647" t="s">
        <v>14</v>
      </c>
      <c r="W38" s="648">
        <f t="shared" si="12"/>
        <v>100</v>
      </c>
      <c r="X38" s="1152"/>
      <c r="Y38" s="3218"/>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18"/>
      <c r="Q39" s="1150">
        <f t="shared" si="14"/>
        <v>111</v>
      </c>
      <c r="R39" s="647" t="s">
        <v>14</v>
      </c>
      <c r="S39" s="648">
        <f t="shared" si="10"/>
        <v>100</v>
      </c>
      <c r="T39" s="647" t="s">
        <v>14</v>
      </c>
      <c r="U39" s="648">
        <f t="shared" si="11"/>
        <v>100</v>
      </c>
      <c r="V39" s="647" t="s">
        <v>14</v>
      </c>
      <c r="W39" s="648">
        <f t="shared" si="12"/>
        <v>100</v>
      </c>
      <c r="X39" s="1152"/>
      <c r="Y39" s="3218"/>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18"/>
      <c r="Q40" s="1150">
        <f t="shared" si="14"/>
        <v>111</v>
      </c>
      <c r="R40" s="649" t="s">
        <v>14</v>
      </c>
      <c r="S40" s="650">
        <f t="shared" si="10"/>
        <v>100</v>
      </c>
      <c r="T40" s="649" t="s">
        <v>14</v>
      </c>
      <c r="U40" s="650">
        <f t="shared" si="11"/>
        <v>100</v>
      </c>
      <c r="V40" s="649" t="s">
        <v>14</v>
      </c>
      <c r="W40" s="650">
        <f t="shared" si="12"/>
        <v>100</v>
      </c>
      <c r="X40" s="651"/>
      <c r="Y40" s="3218"/>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10" t="str">
        <f>A41</f>
        <v>成交单价</v>
      </c>
      <c r="Q41" s="3210"/>
      <c r="R41" s="3211">
        <f>E41</f>
        <v>0</v>
      </c>
      <c r="S41" s="3211"/>
      <c r="T41" s="3211">
        <f>G41</f>
        <v>0</v>
      </c>
      <c r="U41" s="3211"/>
      <c r="V41" s="3211">
        <f>I41</f>
        <v>0</v>
      </c>
      <c r="W41" s="3211"/>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10" t="str">
        <f>A42</f>
        <v>比较价值（元/平方米）</v>
      </c>
      <c r="Q42" s="3210"/>
      <c r="R42" s="3251" t="e">
        <f>ROUND(PRODUCT(R41,AA7:AA40),0)</f>
        <v>#DIV/0!</v>
      </c>
      <c r="S42" s="3251"/>
      <c r="T42" s="3251" t="e">
        <f>ROUND(PRODUCT(T41,AB7:AB40),0)</f>
        <v>#DIV/0!</v>
      </c>
      <c r="U42" s="3251"/>
      <c r="V42" s="3251" t="e">
        <f>ROUND(PRODUCT(V41,AC7:AC40),0)</f>
        <v>#DIV/0!</v>
      </c>
      <c r="W42" s="3251"/>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2" t="str">
        <f>A43</f>
        <v>估价对象XX用房的比较价值（楼面单价，元/平方米）</v>
      </c>
      <c r="Q43" s="3213"/>
      <c r="R43" s="3252" t="e">
        <f>ROUND(IF(D42="简单平均",AVERAGE(R42:W42),R42*F42+T42*H42+V42*J42),0)</f>
        <v>#DIV/0!</v>
      </c>
      <c r="S43" s="3252"/>
      <c r="T43" s="3252"/>
      <c r="U43" s="3252"/>
      <c r="V43" s="3252"/>
      <c r="W43" s="3252"/>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3" t="s">
        <v>1812</v>
      </c>
      <c r="H50" s="3253"/>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4"/>
      <c r="H51" s="3210"/>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2026-1-1</v>
      </c>
      <c r="D63" s="636">
        <f>EDATE(C63,-3)</f>
        <v>45931</v>
      </c>
      <c r="E63" s="636">
        <f>EDATE(D63,-3)</f>
        <v>45839</v>
      </c>
      <c r="F63" s="636">
        <f t="shared" ref="F63:O63" si="18">EDATE(E63,-3)</f>
        <v>45748</v>
      </c>
      <c r="G63" s="636">
        <f t="shared" si="18"/>
        <v>45658</v>
      </c>
      <c r="H63" s="636">
        <f t="shared" si="18"/>
        <v>45566</v>
      </c>
      <c r="I63" s="636">
        <f t="shared" si="18"/>
        <v>45474</v>
      </c>
      <c r="J63" s="636">
        <f t="shared" si="18"/>
        <v>45383</v>
      </c>
      <c r="K63" s="636">
        <f t="shared" si="18"/>
        <v>45292</v>
      </c>
      <c r="L63" s="636">
        <f t="shared" si="18"/>
        <v>45200</v>
      </c>
      <c r="M63" s="636">
        <f t="shared" si="18"/>
        <v>45108</v>
      </c>
      <c r="N63" s="636">
        <f t="shared" si="18"/>
        <v>45017</v>
      </c>
      <c r="O63" s="636">
        <f t="shared" si="18"/>
        <v>44927</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19" zoomScale="130" zoomScaleNormal="70" zoomScaleSheetLayoutView="130" workbookViewId="0">
      <selection activeCell="L39" sqref="L39"/>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3" t="s">
        <v>1702</v>
      </c>
      <c r="D4" s="3224"/>
      <c r="E4" s="3225" t="s">
        <v>1703</v>
      </c>
      <c r="F4" s="3226"/>
      <c r="G4" s="3223" t="s">
        <v>1704</v>
      </c>
      <c r="H4" s="3224"/>
      <c r="I4" s="3223" t="s">
        <v>1705</v>
      </c>
      <c r="J4" s="3224"/>
      <c r="K4" s="530" t="s">
        <v>1706</v>
      </c>
      <c r="L4" s="2309"/>
      <c r="M4" s="2310"/>
      <c r="N4" s="2310"/>
      <c r="O4" s="2310"/>
      <c r="P4" s="3227" t="s">
        <v>1707</v>
      </c>
      <c r="Q4" s="3228"/>
      <c r="R4" s="3233" t="s">
        <v>1703</v>
      </c>
      <c r="S4" s="3234"/>
      <c r="T4" s="3233" t="s">
        <v>1704</v>
      </c>
      <c r="U4" s="3234"/>
      <c r="V4" s="3211" t="s">
        <v>1705</v>
      </c>
      <c r="W4" s="3211"/>
      <c r="X4" s="1152"/>
      <c r="Y4" s="3233" t="s">
        <v>1707</v>
      </c>
      <c r="Z4" s="3234"/>
      <c r="AA4" s="3220" t="s">
        <v>1703</v>
      </c>
      <c r="AB4" s="3211" t="s">
        <v>1704</v>
      </c>
      <c r="AC4" s="3220" t="s">
        <v>1705</v>
      </c>
    </row>
    <row r="5" spans="1:29" ht="15">
      <c r="A5" s="345"/>
      <c r="B5" s="346"/>
      <c r="C5" s="3241" t="s">
        <v>1654</v>
      </c>
      <c r="D5" s="3242"/>
      <c r="E5" s="3248" t="str">
        <f>Sheet1!$N$35</f>
        <v>旭辉邻里</v>
      </c>
      <c r="F5" s="3249"/>
      <c r="G5" s="3241" t="str">
        <f>Sheet1!$N$37</f>
        <v>山水汇豪苑</v>
      </c>
      <c r="H5" s="3242"/>
      <c r="I5" s="3241" t="str">
        <f>Sheet1!$N$38</f>
        <v>万科幸福汇</v>
      </c>
      <c r="J5" s="3242"/>
      <c r="K5" s="530"/>
      <c r="L5" s="2309"/>
      <c r="M5" s="2310"/>
      <c r="N5" s="2310"/>
      <c r="O5" s="2310"/>
      <c r="P5" s="3229"/>
      <c r="Q5" s="3230"/>
      <c r="R5" s="3235"/>
      <c r="S5" s="3236"/>
      <c r="T5" s="3235"/>
      <c r="U5" s="3236"/>
      <c r="V5" s="3211"/>
      <c r="W5" s="3211"/>
      <c r="X5" s="1152"/>
      <c r="Y5" s="3235"/>
      <c r="Z5" s="3236"/>
      <c r="AA5" s="3221"/>
      <c r="AB5" s="3211"/>
      <c r="AC5" s="3221"/>
    </row>
    <row r="6" spans="1:29" ht="15.75" thickBot="1">
      <c r="A6" s="347"/>
      <c r="B6" s="348"/>
      <c r="C6" s="3239" t="s">
        <v>1658</v>
      </c>
      <c r="D6" s="3240"/>
      <c r="E6" s="3246" t="s">
        <v>1658</v>
      </c>
      <c r="F6" s="3247"/>
      <c r="G6" s="3239" t="s">
        <v>1658</v>
      </c>
      <c r="H6" s="3240"/>
      <c r="I6" s="3239" t="s">
        <v>1658</v>
      </c>
      <c r="J6" s="3240"/>
      <c r="K6" s="530" t="s">
        <v>1659</v>
      </c>
      <c r="L6" s="2309"/>
      <c r="M6" s="2310"/>
      <c r="N6" s="2310"/>
      <c r="O6" s="2310"/>
      <c r="P6" s="3231"/>
      <c r="Q6" s="3232"/>
      <c r="R6" s="3235"/>
      <c r="S6" s="3236"/>
      <c r="T6" s="3237"/>
      <c r="U6" s="3238"/>
      <c r="V6" s="3211"/>
      <c r="W6" s="3211"/>
      <c r="X6" s="1152"/>
      <c r="Y6" s="3237"/>
      <c r="Z6" s="3238"/>
      <c r="AA6" s="3222"/>
      <c r="AB6" s="3211"/>
      <c r="AC6" s="3222"/>
    </row>
    <row r="7" spans="1:29" s="101" customFormat="1" ht="15.75" thickBot="1">
      <c r="A7" s="349" t="s">
        <v>1660</v>
      </c>
      <c r="B7" s="350"/>
      <c r="C7" s="351">
        <f>'数据-取费表'!B2</f>
        <v>46031</v>
      </c>
      <c r="D7" s="352">
        <v>100</v>
      </c>
      <c r="E7" s="353">
        <v>45962</v>
      </c>
      <c r="F7" s="354">
        <f>SUMIF(58:58,YEAR(E7)&amp;"-"&amp;MONTH(E7),59:59)</f>
        <v>100</v>
      </c>
      <c r="G7" s="353">
        <v>45962</v>
      </c>
      <c r="H7" s="352">
        <f>SUMIF(58:58,YEAR(G7)&amp;"-"&amp;MONTH(G7),59:59)</f>
        <v>100</v>
      </c>
      <c r="I7" s="353">
        <v>45962</v>
      </c>
      <c r="J7" s="352">
        <f>SUMIF(58:58,YEAR(I7)&amp;"-"&amp;MONTH(I7),59:59)</f>
        <v>100</v>
      </c>
      <c r="K7" s="38"/>
      <c r="L7" s="2311"/>
      <c r="M7" s="2264"/>
      <c r="N7" s="2264"/>
      <c r="O7" s="2264"/>
      <c r="P7" s="3243" t="s">
        <v>1661</v>
      </c>
      <c r="Q7" s="3245"/>
      <c r="R7" s="644" t="s">
        <v>14</v>
      </c>
      <c r="S7" s="645">
        <f t="shared" ref="S7:S15" si="0">F7</f>
        <v>100</v>
      </c>
      <c r="T7" s="644" t="s">
        <v>14</v>
      </c>
      <c r="U7" s="645">
        <f t="shared" ref="U7:U15" si="1">H7</f>
        <v>100</v>
      </c>
      <c r="V7" s="644" t="s">
        <v>14</v>
      </c>
      <c r="W7" s="645">
        <f t="shared" ref="W7:W15" si="2">J7</f>
        <v>100</v>
      </c>
      <c r="X7" s="646"/>
      <c r="Y7" s="3243" t="s">
        <v>1661</v>
      </c>
      <c r="Z7" s="3244"/>
      <c r="AA7" s="50">
        <f>D7/F7</f>
        <v>1</v>
      </c>
      <c r="AB7" s="50">
        <f>D7/H7</f>
        <v>1</v>
      </c>
      <c r="AC7" s="50">
        <f>D7/J7</f>
        <v>1</v>
      </c>
    </row>
    <row r="8" spans="1:29" s="101" customFormat="1" ht="15.7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43" t="s">
        <v>1664</v>
      </c>
      <c r="Q8" s="3244"/>
      <c r="R8" s="644" t="s">
        <v>14</v>
      </c>
      <c r="S8" s="645">
        <f t="shared" si="0"/>
        <v>106</v>
      </c>
      <c r="T8" s="644" t="s">
        <v>14</v>
      </c>
      <c r="U8" s="645">
        <f t="shared" si="1"/>
        <v>106</v>
      </c>
      <c r="V8" s="644" t="s">
        <v>14</v>
      </c>
      <c r="W8" s="645">
        <f t="shared" si="2"/>
        <v>106</v>
      </c>
      <c r="X8" s="646"/>
      <c r="Y8" s="3243" t="s">
        <v>1664</v>
      </c>
      <c r="Z8" s="3244"/>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4" t="s">
        <v>1667</v>
      </c>
      <c r="Q9" s="525" t="str">
        <f t="shared" ref="Q9:Q15" si="6">B9</f>
        <v>用途</v>
      </c>
      <c r="R9" s="644" t="s">
        <v>14</v>
      </c>
      <c r="S9" s="645">
        <f t="shared" si="0"/>
        <v>100</v>
      </c>
      <c r="T9" s="644" t="s">
        <v>14</v>
      </c>
      <c r="U9" s="645">
        <f t="shared" si="1"/>
        <v>100</v>
      </c>
      <c r="V9" s="644" t="s">
        <v>14</v>
      </c>
      <c r="W9" s="645">
        <f t="shared" si="2"/>
        <v>100</v>
      </c>
      <c r="X9" s="646"/>
      <c r="Y9" s="3088"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4"/>
      <c r="Q10" s="525" t="str">
        <f t="shared" si="6"/>
        <v>土地使用年限（年）</v>
      </c>
      <c r="R10" s="644" t="s">
        <v>14</v>
      </c>
      <c r="S10" s="645">
        <f t="shared" si="0"/>
        <v>100</v>
      </c>
      <c r="T10" s="644" t="s">
        <v>14</v>
      </c>
      <c r="U10" s="645">
        <f t="shared" si="1"/>
        <v>100</v>
      </c>
      <c r="V10" s="644" t="s">
        <v>14</v>
      </c>
      <c r="W10" s="645">
        <f t="shared" si="2"/>
        <v>100</v>
      </c>
      <c r="X10" s="646"/>
      <c r="Y10" s="3088"/>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4"/>
      <c r="Q11" s="525" t="str">
        <f t="shared" si="6"/>
        <v>容积率</v>
      </c>
      <c r="R11" s="644" t="s">
        <v>14</v>
      </c>
      <c r="S11" s="645">
        <f t="shared" si="0"/>
        <v>100</v>
      </c>
      <c r="T11" s="644" t="s">
        <v>14</v>
      </c>
      <c r="U11" s="645">
        <f t="shared" si="1"/>
        <v>100</v>
      </c>
      <c r="V11" s="644" t="s">
        <v>14</v>
      </c>
      <c r="W11" s="645">
        <f t="shared" si="2"/>
        <v>100</v>
      </c>
      <c r="X11" s="646"/>
      <c r="Y11" s="3088"/>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4"/>
      <c r="Q12" s="525">
        <f t="shared" si="6"/>
        <v>111</v>
      </c>
      <c r="R12" s="644" t="s">
        <v>14</v>
      </c>
      <c r="S12" s="645">
        <f t="shared" si="0"/>
        <v>100</v>
      </c>
      <c r="T12" s="644" t="s">
        <v>14</v>
      </c>
      <c r="U12" s="645">
        <f t="shared" si="1"/>
        <v>100</v>
      </c>
      <c r="V12" s="644" t="s">
        <v>14</v>
      </c>
      <c r="W12" s="645">
        <f t="shared" si="2"/>
        <v>100</v>
      </c>
      <c r="X12" s="646"/>
      <c r="Y12" s="3088"/>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4"/>
      <c r="Q13" s="525">
        <f t="shared" si="6"/>
        <v>111</v>
      </c>
      <c r="R13" s="644" t="s">
        <v>14</v>
      </c>
      <c r="S13" s="645">
        <f t="shared" si="0"/>
        <v>100</v>
      </c>
      <c r="T13" s="644" t="s">
        <v>14</v>
      </c>
      <c r="U13" s="645">
        <f t="shared" si="1"/>
        <v>100</v>
      </c>
      <c r="V13" s="644" t="s">
        <v>14</v>
      </c>
      <c r="W13" s="645">
        <f t="shared" si="2"/>
        <v>100</v>
      </c>
      <c r="X13" s="646"/>
      <c r="Y13" s="3088"/>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4"/>
      <c r="Q14" s="525">
        <f t="shared" si="6"/>
        <v>111</v>
      </c>
      <c r="R14" s="644" t="s">
        <v>14</v>
      </c>
      <c r="S14" s="645">
        <f t="shared" si="0"/>
        <v>100</v>
      </c>
      <c r="T14" s="644" t="s">
        <v>14</v>
      </c>
      <c r="U14" s="645">
        <f t="shared" si="1"/>
        <v>100</v>
      </c>
      <c r="V14" s="644" t="s">
        <v>14</v>
      </c>
      <c r="W14" s="645">
        <f t="shared" si="2"/>
        <v>100</v>
      </c>
      <c r="X14" s="646"/>
      <c r="Y14" s="3088"/>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c r="L15" s="2315"/>
      <c r="M15" s="2310"/>
      <c r="N15" s="2310"/>
      <c r="O15" s="2310"/>
      <c r="P15" s="3259" t="s">
        <v>1672</v>
      </c>
      <c r="Q15" s="1150" t="str">
        <f t="shared" si="6"/>
        <v>商业繁华度</v>
      </c>
      <c r="R15" s="647" t="s">
        <v>14</v>
      </c>
      <c r="S15" s="648">
        <f t="shared" si="0"/>
        <v>100</v>
      </c>
      <c r="T15" s="647" t="s">
        <v>14</v>
      </c>
      <c r="U15" s="648">
        <f t="shared" si="1"/>
        <v>100</v>
      </c>
      <c r="V15" s="647" t="s">
        <v>14</v>
      </c>
      <c r="W15" s="648">
        <f t="shared" si="2"/>
        <v>100</v>
      </c>
      <c r="X15" s="1152"/>
      <c r="Y15" s="3215" t="s">
        <v>1672</v>
      </c>
      <c r="Z15" s="1151" t="str">
        <f t="shared" si="7"/>
        <v>商业繁华度</v>
      </c>
      <c r="AA15" s="1151">
        <f t="shared" si="3"/>
        <v>1</v>
      </c>
      <c r="AB15" s="1151">
        <f t="shared" si="4"/>
        <v>1</v>
      </c>
      <c r="AC15" s="1151">
        <f t="shared" si="5"/>
        <v>1</v>
      </c>
    </row>
    <row r="16" spans="1:29" ht="15">
      <c r="A16" s="363"/>
      <c r="B16" s="380"/>
      <c r="C16" s="381" t="s">
        <v>3329</v>
      </c>
      <c r="D16" s="382"/>
      <c r="E16" s="381" t="s">
        <v>3329</v>
      </c>
      <c r="F16" s="383"/>
      <c r="G16" s="381" t="s">
        <v>3329</v>
      </c>
      <c r="H16" s="384"/>
      <c r="I16" s="381" t="s">
        <v>3329</v>
      </c>
      <c r="J16" s="382"/>
      <c r="K16" s="534"/>
      <c r="L16" s="2315"/>
      <c r="M16" s="2310"/>
      <c r="N16" s="2310"/>
      <c r="O16" s="2310"/>
      <c r="P16" s="3260"/>
      <c r="Q16" s="1150"/>
      <c r="R16" s="647"/>
      <c r="S16" s="648"/>
      <c r="T16" s="647"/>
      <c r="U16" s="648"/>
      <c r="V16" s="647"/>
      <c r="W16" s="648"/>
      <c r="X16" s="1152"/>
      <c r="Y16" s="3216"/>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0.5</v>
      </c>
      <c r="L17" s="2315"/>
      <c r="M17" s="2310"/>
      <c r="N17" s="2310"/>
      <c r="O17" s="2310"/>
      <c r="P17" s="3260"/>
      <c r="Q17" s="1150" t="str">
        <f>B17</f>
        <v>交通便捷度</v>
      </c>
      <c r="R17" s="647" t="s">
        <v>14</v>
      </c>
      <c r="S17" s="648">
        <f>F17</f>
        <v>100</v>
      </c>
      <c r="T17" s="647" t="s">
        <v>14</v>
      </c>
      <c r="U17" s="648">
        <f>H17</f>
        <v>100</v>
      </c>
      <c r="V17" s="647" t="s">
        <v>14</v>
      </c>
      <c r="W17" s="648">
        <f>J17</f>
        <v>100</v>
      </c>
      <c r="X17" s="1152"/>
      <c r="Y17" s="3216"/>
      <c r="Z17" s="1151" t="str">
        <f>Q17</f>
        <v>交通便捷度</v>
      </c>
      <c r="AA17" s="1151">
        <f t="shared" si="3"/>
        <v>1</v>
      </c>
      <c r="AB17" s="1151">
        <f t="shared" si="4"/>
        <v>1</v>
      </c>
      <c r="AC17" s="1151">
        <f t="shared" si="5"/>
        <v>1</v>
      </c>
    </row>
    <row r="18" spans="1:29" ht="15">
      <c r="A18" s="363"/>
      <c r="B18" s="390"/>
      <c r="C18" s="1631" t="s">
        <v>3329</v>
      </c>
      <c r="D18" s="384"/>
      <c r="E18" s="1632" t="s">
        <v>3329</v>
      </c>
      <c r="F18" s="387"/>
      <c r="G18" s="1632" t="s">
        <v>3329</v>
      </c>
      <c r="H18" s="382"/>
      <c r="I18" s="1633" t="s">
        <v>3329</v>
      </c>
      <c r="J18" s="382"/>
      <c r="K18" s="534"/>
      <c r="L18" s="2315"/>
      <c r="M18" s="2310"/>
      <c r="N18" s="2310"/>
      <c r="O18" s="2310"/>
      <c r="P18" s="3260"/>
      <c r="Q18" s="1150"/>
      <c r="R18" s="647"/>
      <c r="S18" s="648"/>
      <c r="T18" s="647"/>
      <c r="U18" s="648"/>
      <c r="V18" s="647"/>
      <c r="W18" s="648"/>
      <c r="X18" s="1152"/>
      <c r="Y18" s="3216"/>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0"/>
      <c r="Q19" s="1150" t="str">
        <f>B19</f>
        <v>公共配套设施</v>
      </c>
      <c r="R19" s="647" t="s">
        <v>14</v>
      </c>
      <c r="S19" s="648">
        <f>F19</f>
        <v>100</v>
      </c>
      <c r="T19" s="647" t="s">
        <v>14</v>
      </c>
      <c r="U19" s="648">
        <f>H19</f>
        <v>100</v>
      </c>
      <c r="V19" s="647" t="s">
        <v>14</v>
      </c>
      <c r="W19" s="648">
        <f>J19</f>
        <v>100</v>
      </c>
      <c r="X19" s="1152"/>
      <c r="Y19" s="3216"/>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0"/>
      <c r="Q20" s="1150"/>
      <c r="R20" s="647"/>
      <c r="S20" s="648"/>
      <c r="T20" s="647"/>
      <c r="U20" s="648"/>
      <c r="V20" s="647"/>
      <c r="W20" s="648"/>
      <c r="X20" s="1152"/>
      <c r="Y20" s="3216"/>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0"/>
      <c r="Q21" s="1150" t="str">
        <f>B21</f>
        <v>基础设施水平</v>
      </c>
      <c r="R21" s="647" t="s">
        <v>14</v>
      </c>
      <c r="S21" s="648">
        <f>F21</f>
        <v>100</v>
      </c>
      <c r="T21" s="647" t="s">
        <v>14</v>
      </c>
      <c r="U21" s="648">
        <f>H21</f>
        <v>100</v>
      </c>
      <c r="V21" s="647" t="s">
        <v>14</v>
      </c>
      <c r="W21" s="648">
        <f>J21</f>
        <v>100</v>
      </c>
      <c r="X21" s="1152"/>
      <c r="Y21" s="3216"/>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2315"/>
      <c r="M22" s="2310"/>
      <c r="N22" s="2310"/>
      <c r="O22" s="2310"/>
      <c r="P22" s="3260"/>
      <c r="Q22" s="1150"/>
      <c r="R22" s="647"/>
      <c r="S22" s="648"/>
      <c r="T22" s="647"/>
      <c r="U22" s="648"/>
      <c r="V22" s="647"/>
      <c r="W22" s="648"/>
      <c r="X22" s="1152"/>
      <c r="Y22" s="3216"/>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0"/>
      <c r="Q23" s="1150" t="str">
        <f>B23</f>
        <v>自然及人文环境</v>
      </c>
      <c r="R23" s="647" t="s">
        <v>14</v>
      </c>
      <c r="S23" s="648">
        <f>F23</f>
        <v>100</v>
      </c>
      <c r="T23" s="647" t="s">
        <v>14</v>
      </c>
      <c r="U23" s="648">
        <f>H23</f>
        <v>100</v>
      </c>
      <c r="V23" s="647" t="s">
        <v>14</v>
      </c>
      <c r="W23" s="648">
        <f>J23</f>
        <v>100</v>
      </c>
      <c r="X23" s="1152"/>
      <c r="Y23" s="3216"/>
      <c r="Z23" s="1151" t="str">
        <f>Q23</f>
        <v>自然及人文环境</v>
      </c>
      <c r="AA23" s="1151">
        <f t="shared" si="3"/>
        <v>1</v>
      </c>
      <c r="AB23" s="1151">
        <f t="shared" si="4"/>
        <v>1</v>
      </c>
      <c r="AC23" s="1151">
        <f t="shared" si="5"/>
        <v>1</v>
      </c>
    </row>
    <row r="24" spans="1:29" ht="15">
      <c r="A24" s="363"/>
      <c r="B24" s="390"/>
      <c r="C24" s="381"/>
      <c r="D24" s="382"/>
      <c r="E24" s="1629"/>
      <c r="F24" s="383"/>
      <c r="G24" s="1628"/>
      <c r="H24" s="382"/>
      <c r="I24" s="1629"/>
      <c r="J24" s="382"/>
      <c r="K24" s="534"/>
      <c r="L24" s="2315"/>
      <c r="M24" s="2310"/>
      <c r="N24" s="2310"/>
      <c r="O24" s="2310"/>
      <c r="P24" s="3260"/>
      <c r="Q24" s="1150"/>
      <c r="R24" s="647"/>
      <c r="S24" s="648"/>
      <c r="T24" s="647"/>
      <c r="U24" s="648"/>
      <c r="V24" s="647"/>
      <c r="W24" s="648"/>
      <c r="X24" s="1152"/>
      <c r="Y24" s="3216"/>
      <c r="Z24" s="1151"/>
      <c r="AA24" s="1151">
        <v>1</v>
      </c>
      <c r="AB24" s="1151">
        <v>1</v>
      </c>
      <c r="AC24" s="1151">
        <v>1</v>
      </c>
    </row>
    <row r="25" spans="1:29" ht="15">
      <c r="A25" s="363"/>
      <c r="B25" s="361" t="s">
        <v>1712</v>
      </c>
      <c r="C25" s="535" t="s">
        <v>3350</v>
      </c>
      <c r="D25" s="370">
        <v>100</v>
      </c>
      <c r="E25" s="535" t="s">
        <v>3350</v>
      </c>
      <c r="F25" s="395">
        <f>SUMIF(86:86,E25,87:87)-SUMIF(86:86,C25,87:87)+100</f>
        <v>100</v>
      </c>
      <c r="G25" s="535" t="s">
        <v>3350</v>
      </c>
      <c r="H25" s="370">
        <f>SUMIF(86:86,G25,87:87)-SUMIF(86:86,C25,87:87)+100</f>
        <v>100</v>
      </c>
      <c r="I25" s="535" t="s">
        <v>3350</v>
      </c>
      <c r="J25" s="370">
        <f>SUMIF(86:86,I25,87:87)-SUMIF(86:86,C25,87:87)+100</f>
        <v>100</v>
      </c>
      <c r="K25" s="531">
        <v>1</v>
      </c>
      <c r="L25" s="2315"/>
      <c r="M25" s="2310"/>
      <c r="N25" s="2310"/>
      <c r="O25" s="2310"/>
      <c r="P25" s="3260"/>
      <c r="Q25" s="1150" t="str">
        <f t="shared" ref="Q25:Q46" si="11">B25</f>
        <v>临街状况</v>
      </c>
      <c r="R25" s="647" t="s">
        <v>14</v>
      </c>
      <c r="S25" s="648">
        <f>F25</f>
        <v>100</v>
      </c>
      <c r="T25" s="647" t="s">
        <v>14</v>
      </c>
      <c r="U25" s="648">
        <f>H25</f>
        <v>100</v>
      </c>
      <c r="V25" s="647" t="s">
        <v>14</v>
      </c>
      <c r="W25" s="648">
        <f>J25</f>
        <v>100</v>
      </c>
      <c r="X25" s="1152"/>
      <c r="Y25" s="3216"/>
      <c r="Z25" s="1151" t="str">
        <f>Q25</f>
        <v>临街状况</v>
      </c>
      <c r="AA25" s="1151">
        <f t="shared" si="3"/>
        <v>1</v>
      </c>
      <c r="AB25" s="1151">
        <f t="shared" si="4"/>
        <v>1</v>
      </c>
      <c r="AC25" s="1151">
        <f t="shared" si="5"/>
        <v>1</v>
      </c>
    </row>
    <row r="26" spans="1:29" ht="15">
      <c r="A26" s="363"/>
      <c r="B26" s="979" t="s">
        <v>1713</v>
      </c>
      <c r="C26" s="2991" t="s">
        <v>3333</v>
      </c>
      <c r="D26" s="370">
        <v>100</v>
      </c>
      <c r="E26" s="2991" t="s">
        <v>3333</v>
      </c>
      <c r="F26" s="395">
        <f>SUMIF(88:88,E26,89:89)-SUMIF(88:88,C26,89:89)+100</f>
        <v>100</v>
      </c>
      <c r="G26" s="2991" t="s">
        <v>3333</v>
      </c>
      <c r="H26" s="370">
        <f>SUMIF(88:88,G26,89:89)-SUMIF(88:88,C26,89:89)+100</f>
        <v>100</v>
      </c>
      <c r="I26" s="2991" t="s">
        <v>3333</v>
      </c>
      <c r="J26" s="370">
        <f>SUMIF(88:88,I26,89:89)-SUMIF(88:88,C26,89:89)+100</f>
        <v>100</v>
      </c>
      <c r="K26" s="532"/>
      <c r="L26" s="2315"/>
      <c r="M26" s="2310"/>
      <c r="N26" s="2310"/>
      <c r="O26" s="2310"/>
      <c r="P26" s="3260"/>
      <c r="Q26" s="1150" t="str">
        <f t="shared" si="11"/>
        <v>平面位置/可视性</v>
      </c>
      <c r="R26" s="647" t="s">
        <v>14</v>
      </c>
      <c r="S26" s="648">
        <f>F26</f>
        <v>100</v>
      </c>
      <c r="T26" s="647" t="s">
        <v>14</v>
      </c>
      <c r="U26" s="648">
        <f>H26</f>
        <v>100</v>
      </c>
      <c r="V26" s="647" t="s">
        <v>14</v>
      </c>
      <c r="W26" s="648">
        <f>J26</f>
        <v>100</v>
      </c>
      <c r="X26" s="1152"/>
      <c r="Y26" s="3216"/>
      <c r="Z26" s="1151" t="str">
        <f>Q26</f>
        <v>平面位置/可视性</v>
      </c>
      <c r="AA26" s="1151">
        <f t="shared" si="3"/>
        <v>1</v>
      </c>
      <c r="AB26" s="1151">
        <f t="shared" si="4"/>
        <v>1</v>
      </c>
      <c r="AC26" s="1151">
        <f t="shared" si="5"/>
        <v>1</v>
      </c>
    </row>
    <row r="27" spans="1:29" s="101" customFormat="1" ht="15">
      <c r="A27" s="366"/>
      <c r="B27" s="385" t="s">
        <v>1714</v>
      </c>
      <c r="C27" s="1646"/>
      <c r="D27" s="396">
        <v>100</v>
      </c>
      <c r="E27" s="1646"/>
      <c r="F27" s="390">
        <f>SUMIF(90:90,E27,91:91)-SUMIF(90:90,C27,91:91)+100</f>
        <v>100</v>
      </c>
      <c r="G27" s="1646"/>
      <c r="H27" s="396">
        <f>SUMIF(90:90,G27,91:91)-SUMIF(90:90,C27,91:91)+100</f>
        <v>100</v>
      </c>
      <c r="I27" s="1646"/>
      <c r="J27" s="396">
        <f>SUMIF(90:90,I27,91:91)-SUMIF(90:90,C27,91:91)+100</f>
        <v>100</v>
      </c>
      <c r="K27" s="531"/>
      <c r="L27" s="2311"/>
      <c r="M27" s="2264"/>
      <c r="N27" s="2264"/>
      <c r="O27" s="2264"/>
      <c r="P27" s="3260"/>
      <c r="Q27" s="525" t="str">
        <f t="shared" si="11"/>
        <v>人流量</v>
      </c>
      <c r="R27" s="644" t="s">
        <v>14</v>
      </c>
      <c r="S27" s="645">
        <f>F27</f>
        <v>100</v>
      </c>
      <c r="T27" s="644" t="s">
        <v>14</v>
      </c>
      <c r="U27" s="645">
        <f>H27</f>
        <v>100</v>
      </c>
      <c r="V27" s="644" t="s">
        <v>14</v>
      </c>
      <c r="W27" s="645">
        <f>J27</f>
        <v>100</v>
      </c>
      <c r="X27" s="646"/>
      <c r="Y27" s="3216"/>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0"/>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6"/>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0"/>
      <c r="Q29" s="1150">
        <f t="shared" si="11"/>
        <v>111</v>
      </c>
      <c r="R29" s="647" t="s">
        <v>14</v>
      </c>
      <c r="S29" s="648">
        <f t="shared" si="12"/>
        <v>100</v>
      </c>
      <c r="T29" s="647" t="s">
        <v>14</v>
      </c>
      <c r="U29" s="648">
        <f t="shared" si="13"/>
        <v>100</v>
      </c>
      <c r="V29" s="647" t="s">
        <v>14</v>
      </c>
      <c r="W29" s="648">
        <f t="shared" si="14"/>
        <v>100</v>
      </c>
      <c r="X29" s="1152"/>
      <c r="Y29" s="3216"/>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0"/>
      <c r="Q30" s="1150">
        <f t="shared" si="11"/>
        <v>111</v>
      </c>
      <c r="R30" s="647" t="s">
        <v>14</v>
      </c>
      <c r="S30" s="648">
        <f t="shared" si="12"/>
        <v>100</v>
      </c>
      <c r="T30" s="647" t="s">
        <v>14</v>
      </c>
      <c r="U30" s="648">
        <f t="shared" si="13"/>
        <v>100</v>
      </c>
      <c r="V30" s="647" t="s">
        <v>14</v>
      </c>
      <c r="W30" s="648">
        <f t="shared" si="14"/>
        <v>100</v>
      </c>
      <c r="X30" s="1152"/>
      <c r="Y30" s="3216"/>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0"/>
      <c r="Q31" s="1150">
        <f t="shared" si="11"/>
        <v>111</v>
      </c>
      <c r="R31" s="647" t="s">
        <v>14</v>
      </c>
      <c r="S31" s="648">
        <f t="shared" si="12"/>
        <v>100</v>
      </c>
      <c r="T31" s="647" t="s">
        <v>14</v>
      </c>
      <c r="U31" s="648">
        <f t="shared" si="13"/>
        <v>100</v>
      </c>
      <c r="V31" s="647" t="s">
        <v>14</v>
      </c>
      <c r="W31" s="648">
        <f t="shared" si="14"/>
        <v>100</v>
      </c>
      <c r="X31" s="1152"/>
      <c r="Y31" s="3216"/>
      <c r="Z31" s="1151">
        <f t="shared" si="15"/>
        <v>111</v>
      </c>
      <c r="AA31" s="1151">
        <f t="shared" si="3"/>
        <v>1</v>
      </c>
      <c r="AB31" s="1151">
        <f t="shared" si="4"/>
        <v>1</v>
      </c>
      <c r="AC31" s="1151">
        <f t="shared" si="5"/>
        <v>1</v>
      </c>
    </row>
    <row r="32" spans="1:29" ht="15">
      <c r="A32" s="375" t="s">
        <v>1673</v>
      </c>
      <c r="B32" s="59" t="s">
        <v>1716</v>
      </c>
      <c r="C32" s="1636" t="s">
        <v>3355</v>
      </c>
      <c r="D32" s="400">
        <v>100</v>
      </c>
      <c r="E32" s="1636" t="s">
        <v>3355</v>
      </c>
      <c r="F32" s="395">
        <f>SUMIF(100:100,E32,101:101)-SUMIF(100:100,C32,101:101)+100</f>
        <v>100</v>
      </c>
      <c r="G32" s="1636" t="s">
        <v>3357</v>
      </c>
      <c r="H32" s="370">
        <f>SUMIF(100:100,G32,101:101)-SUMIF(100:100,C32,101:101)+100</f>
        <v>100</v>
      </c>
      <c r="I32" s="1636" t="s">
        <v>3357</v>
      </c>
      <c r="J32" s="400">
        <f>SUMIF(100:100,I32,101:101)-SUMIF(100:100,C32,101:101)+100</f>
        <v>100</v>
      </c>
      <c r="K32" s="531">
        <v>0</v>
      </c>
      <c r="L32" s="2315"/>
      <c r="M32" s="2310"/>
      <c r="N32" s="2310"/>
      <c r="O32" s="2310"/>
      <c r="P32" s="3261" t="s">
        <v>1674</v>
      </c>
      <c r="Q32" s="1150" t="str">
        <f t="shared" si="11"/>
        <v>商业类型</v>
      </c>
      <c r="R32" s="647" t="s">
        <v>14</v>
      </c>
      <c r="S32" s="648">
        <f t="shared" si="12"/>
        <v>100</v>
      </c>
      <c r="T32" s="647" t="s">
        <v>14</v>
      </c>
      <c r="U32" s="648">
        <f t="shared" si="13"/>
        <v>100</v>
      </c>
      <c r="V32" s="647" t="s">
        <v>14</v>
      </c>
      <c r="W32" s="648">
        <f t="shared" si="14"/>
        <v>100</v>
      </c>
      <c r="X32" s="1152"/>
      <c r="Y32" s="3218" t="s">
        <v>1674</v>
      </c>
      <c r="Z32" s="1151" t="str">
        <f t="shared" si="15"/>
        <v>商业类型</v>
      </c>
      <c r="AA32" s="1151">
        <f t="shared" si="3"/>
        <v>1</v>
      </c>
      <c r="AB32" s="1151">
        <f t="shared" si="4"/>
        <v>1</v>
      </c>
      <c r="AC32" s="1151">
        <f t="shared" si="5"/>
        <v>1</v>
      </c>
    </row>
    <row r="33" spans="1:29" s="403" customFormat="1" ht="15">
      <c r="A33" s="401"/>
      <c r="B33" s="361" t="s">
        <v>1675</v>
      </c>
      <c r="C33" s="402">
        <v>448</v>
      </c>
      <c r="D33" s="118">
        <v>100</v>
      </c>
      <c r="E33" s="365">
        <f>Sheet1!$O$35</f>
        <v>240</v>
      </c>
      <c r="F33" s="361">
        <f>LOOKUP(E33,103:103,104:104)-LOOKUP(C33,103:103,104:104)+100</f>
        <v>101</v>
      </c>
      <c r="G33" s="364">
        <f>Sheet1!$O$37</f>
        <v>280</v>
      </c>
      <c r="H33" s="118">
        <f>LOOKUP(G33,103:103,104:104)-LOOKUP(C33,103:103,104:104)+100</f>
        <v>101</v>
      </c>
      <c r="I33" s="364">
        <f>Sheet1!$O$38</f>
        <v>79.13</v>
      </c>
      <c r="J33" s="118">
        <f>LOOKUP(I33,103:103,104:104)-LOOKUP(C33,103:103,104:104)+100</f>
        <v>102</v>
      </c>
      <c r="K33" s="532"/>
      <c r="L33" s="2314"/>
      <c r="M33" s="2316"/>
      <c r="N33" s="2316"/>
      <c r="O33" s="2316"/>
      <c r="P33" s="3262"/>
      <c r="Q33" s="526" t="str">
        <f t="shared" si="11"/>
        <v>项目建筑规模</v>
      </c>
      <c r="R33" s="649" t="s">
        <v>14</v>
      </c>
      <c r="S33" s="650">
        <f t="shared" si="12"/>
        <v>101</v>
      </c>
      <c r="T33" s="649" t="s">
        <v>14</v>
      </c>
      <c r="U33" s="650">
        <f t="shared" si="13"/>
        <v>101</v>
      </c>
      <c r="V33" s="649" t="s">
        <v>14</v>
      </c>
      <c r="W33" s="650">
        <f t="shared" si="14"/>
        <v>102</v>
      </c>
      <c r="X33" s="651"/>
      <c r="Y33" s="3218"/>
      <c r="Z33" s="652" t="str">
        <f t="shared" si="15"/>
        <v>项目建筑规模</v>
      </c>
      <c r="AA33" s="1151">
        <f t="shared" si="3"/>
        <v>0.99009900990099009</v>
      </c>
      <c r="AB33" s="1151">
        <f t="shared" si="4"/>
        <v>0.99009900990099009</v>
      </c>
      <c r="AC33" s="1151">
        <f t="shared" si="5"/>
        <v>0.98039215686274506</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1-(2025-2021)/60</f>
        <v>0.93333333333333335</v>
      </c>
      <c r="N34" s="2310"/>
      <c r="O34" s="2310"/>
      <c r="P34" s="3262"/>
      <c r="Q34" s="1150" t="str">
        <f t="shared" si="11"/>
        <v>建筑结构</v>
      </c>
      <c r="R34" s="647" t="s">
        <v>14</v>
      </c>
      <c r="S34" s="648">
        <f t="shared" si="12"/>
        <v>100</v>
      </c>
      <c r="T34" s="647" t="s">
        <v>14</v>
      </c>
      <c r="U34" s="648">
        <f t="shared" si="13"/>
        <v>100</v>
      </c>
      <c r="V34" s="647" t="s">
        <v>14</v>
      </c>
      <c r="W34" s="648">
        <f t="shared" si="14"/>
        <v>100</v>
      </c>
      <c r="X34" s="1152"/>
      <c r="Y34" s="3218"/>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f>1-(2025-2003)/60</f>
        <v>0.6333333333333333</v>
      </c>
      <c r="N35" s="2310"/>
      <c r="O35" s="2310"/>
      <c r="P35" s="3262"/>
      <c r="Q35" s="1150" t="str">
        <f t="shared" si="11"/>
        <v>公共部分装修</v>
      </c>
      <c r="R35" s="647" t="s">
        <v>14</v>
      </c>
      <c r="S35" s="648">
        <f t="shared" si="12"/>
        <v>100</v>
      </c>
      <c r="T35" s="647" t="s">
        <v>14</v>
      </c>
      <c r="U35" s="648">
        <f t="shared" si="13"/>
        <v>100</v>
      </c>
      <c r="V35" s="647" t="s">
        <v>14</v>
      </c>
      <c r="W35" s="648">
        <f t="shared" si="14"/>
        <v>100</v>
      </c>
      <c r="X35" s="1152"/>
      <c r="Y35" s="3218"/>
      <c r="Z35" s="1151" t="str">
        <f t="shared" si="15"/>
        <v>公共部分装修</v>
      </c>
      <c r="AA35" s="1151">
        <f t="shared" si="3"/>
        <v>1</v>
      </c>
      <c r="AB35" s="1151">
        <f t="shared" si="4"/>
        <v>1</v>
      </c>
      <c r="AC35" s="1151">
        <f t="shared" si="5"/>
        <v>1</v>
      </c>
    </row>
    <row r="36" spans="1:29" ht="15">
      <c r="A36" s="404"/>
      <c r="B36" s="361" t="s">
        <v>1718</v>
      </c>
      <c r="C36" s="406">
        <v>0.93</v>
      </c>
      <c r="D36" s="370">
        <v>100</v>
      </c>
      <c r="E36" s="406">
        <v>0.93</v>
      </c>
      <c r="F36" s="395">
        <f>LOOKUP(E36,110:110,111:111)-LOOKUP(C36,110:110,111:111)+100</f>
        <v>100</v>
      </c>
      <c r="G36" s="406">
        <v>0.75</v>
      </c>
      <c r="H36" s="395">
        <f>LOOKUP(G36,110:110,111:111)-LOOKUP(C36,110:110,111:111)+100</f>
        <v>96</v>
      </c>
      <c r="I36" s="406">
        <v>0.85</v>
      </c>
      <c r="J36" s="370">
        <f>LOOKUP(I36,110:110,111:111)-LOOKUP(C36,110:110,111:111)+100</f>
        <v>98</v>
      </c>
      <c r="K36" s="531">
        <v>2</v>
      </c>
      <c r="L36" s="2315"/>
      <c r="M36" s="2310">
        <f>1-(2025-2012)/60</f>
        <v>0.78333333333333333</v>
      </c>
      <c r="N36" s="2310"/>
      <c r="O36" s="2310"/>
      <c r="P36" s="3262"/>
      <c r="Q36" s="1150" t="str">
        <f t="shared" si="11"/>
        <v>成新度</v>
      </c>
      <c r="R36" s="647" t="s">
        <v>14</v>
      </c>
      <c r="S36" s="648">
        <f t="shared" si="12"/>
        <v>100</v>
      </c>
      <c r="T36" s="647" t="s">
        <v>14</v>
      </c>
      <c r="U36" s="648">
        <f t="shared" si="13"/>
        <v>96</v>
      </c>
      <c r="V36" s="647" t="s">
        <v>14</v>
      </c>
      <c r="W36" s="648">
        <f t="shared" si="14"/>
        <v>98</v>
      </c>
      <c r="X36" s="1152"/>
      <c r="Y36" s="3218"/>
      <c r="Z36" s="1151" t="str">
        <f t="shared" si="15"/>
        <v>成新度</v>
      </c>
      <c r="AA36" s="1151">
        <f t="shared" si="3"/>
        <v>1</v>
      </c>
      <c r="AB36" s="1151">
        <f t="shared" si="4"/>
        <v>1.0416666666666667</v>
      </c>
      <c r="AC36" s="1151">
        <f t="shared" si="5"/>
        <v>1.0204081632653061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2"/>
      <c r="Q37" s="525" t="str">
        <f t="shared" si="11"/>
        <v>市政基础设施</v>
      </c>
      <c r="R37" s="644" t="s">
        <v>14</v>
      </c>
      <c r="S37" s="645">
        <f t="shared" si="12"/>
        <v>100</v>
      </c>
      <c r="T37" s="644" t="s">
        <v>14</v>
      </c>
      <c r="U37" s="645">
        <f t="shared" si="13"/>
        <v>100</v>
      </c>
      <c r="V37" s="644" t="s">
        <v>14</v>
      </c>
      <c r="W37" s="645">
        <f t="shared" si="14"/>
        <v>100</v>
      </c>
      <c r="X37" s="646"/>
      <c r="Y37" s="3218"/>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2" t="s">
        <v>1674</v>
      </c>
      <c r="Q38" s="1150" t="str">
        <f t="shared" si="11"/>
        <v>业态</v>
      </c>
      <c r="R38" s="647" t="s">
        <v>14</v>
      </c>
      <c r="S38" s="648">
        <f t="shared" si="12"/>
        <v>100</v>
      </c>
      <c r="T38" s="647" t="s">
        <v>14</v>
      </c>
      <c r="U38" s="648">
        <f t="shared" si="13"/>
        <v>100</v>
      </c>
      <c r="V38" s="647" t="s">
        <v>14</v>
      </c>
      <c r="W38" s="648">
        <f t="shared" si="14"/>
        <v>100</v>
      </c>
      <c r="X38" s="1152"/>
      <c r="Y38" s="3218" t="s">
        <v>1674</v>
      </c>
      <c r="Z38" s="1151" t="str">
        <f t="shared" si="15"/>
        <v>业态</v>
      </c>
      <c r="AA38" s="1151">
        <f t="shared" si="3"/>
        <v>1</v>
      </c>
      <c r="AB38" s="1151">
        <f t="shared" si="4"/>
        <v>1</v>
      </c>
      <c r="AC38" s="1151">
        <f t="shared" si="5"/>
        <v>1</v>
      </c>
    </row>
    <row r="39" spans="1:29" ht="15">
      <c r="A39" s="404"/>
      <c r="B39" s="361" t="s">
        <v>1721</v>
      </c>
      <c r="C39" s="1635" t="s">
        <v>3354</v>
      </c>
      <c r="D39" s="370">
        <v>100</v>
      </c>
      <c r="E39" s="1635" t="s">
        <v>3354</v>
      </c>
      <c r="F39" s="395">
        <f>SUMIF(116:116,E39,117:117)-SUMIF(116:116,C39,117:117)+100</f>
        <v>100</v>
      </c>
      <c r="G39" s="1635" t="s">
        <v>3352</v>
      </c>
      <c r="H39" s="370">
        <f>SUMIF(116:116,G39,117:117)-SUMIF(116:116,C39,117:117)+100</f>
        <v>95</v>
      </c>
      <c r="I39" s="1635" t="s">
        <v>3352</v>
      </c>
      <c r="J39" s="370">
        <f>SUMIF(116:116,I39,117:117)-SUMIF(116:116,C39,117:117)+100</f>
        <v>95</v>
      </c>
      <c r="K39" s="531">
        <v>5</v>
      </c>
      <c r="L39" s="2315"/>
      <c r="M39" s="2310"/>
      <c r="N39" s="3316" t="s">
        <v>3361</v>
      </c>
      <c r="O39" s="2310"/>
      <c r="P39" s="3262"/>
      <c r="Q39" s="1150" t="str">
        <f t="shared" si="11"/>
        <v>层高</v>
      </c>
      <c r="R39" s="647" t="s">
        <v>14</v>
      </c>
      <c r="S39" s="648">
        <f t="shared" si="12"/>
        <v>100</v>
      </c>
      <c r="T39" s="647" t="s">
        <v>14</v>
      </c>
      <c r="U39" s="648">
        <f t="shared" si="13"/>
        <v>95</v>
      </c>
      <c r="V39" s="647" t="s">
        <v>14</v>
      </c>
      <c r="W39" s="648">
        <f t="shared" si="14"/>
        <v>95</v>
      </c>
      <c r="X39" s="1152"/>
      <c r="Y39" s="3218"/>
      <c r="Z39" s="1151" t="str">
        <f t="shared" si="15"/>
        <v>层高</v>
      </c>
      <c r="AA39" s="1151">
        <f t="shared" si="3"/>
        <v>1</v>
      </c>
      <c r="AB39" s="1151">
        <f t="shared" si="4"/>
        <v>1.0526315789473684</v>
      </c>
      <c r="AC39" s="1151">
        <f t="shared" si="5"/>
        <v>1.0526315789473684</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2"/>
      <c r="Q40" s="1150" t="str">
        <f t="shared" si="11"/>
        <v>单套建筑面积</v>
      </c>
      <c r="R40" s="647" t="s">
        <v>14</v>
      </c>
      <c r="S40" s="648">
        <f t="shared" si="12"/>
        <v>100</v>
      </c>
      <c r="T40" s="647" t="s">
        <v>14</v>
      </c>
      <c r="U40" s="648">
        <f t="shared" si="13"/>
        <v>100</v>
      </c>
      <c r="V40" s="647" t="s">
        <v>14</v>
      </c>
      <c r="W40" s="648">
        <f t="shared" si="14"/>
        <v>100</v>
      </c>
      <c r="X40" s="1152"/>
      <c r="Y40" s="3218"/>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f>ROUND(8/30,2)</f>
        <v>0.27</v>
      </c>
      <c r="O41" s="2316"/>
      <c r="P41" s="3262"/>
      <c r="Q41" s="526" t="str">
        <f t="shared" si="11"/>
        <v>进深比</v>
      </c>
      <c r="R41" s="649" t="s">
        <v>14</v>
      </c>
      <c r="S41" s="650">
        <f t="shared" si="12"/>
        <v>100</v>
      </c>
      <c r="T41" s="649" t="s">
        <v>14</v>
      </c>
      <c r="U41" s="650">
        <f t="shared" si="13"/>
        <v>100</v>
      </c>
      <c r="V41" s="649" t="s">
        <v>14</v>
      </c>
      <c r="W41" s="650">
        <f t="shared" si="14"/>
        <v>100</v>
      </c>
      <c r="X41" s="651"/>
      <c r="Y41" s="3218"/>
      <c r="Z41" s="652" t="str">
        <f t="shared" si="15"/>
        <v>进深比</v>
      </c>
      <c r="AA41" s="1151">
        <f t="shared" si="3"/>
        <v>1</v>
      </c>
      <c r="AB41" s="1151">
        <f t="shared" si="4"/>
        <v>1</v>
      </c>
      <c r="AC41" s="1151">
        <f t="shared" si="5"/>
        <v>1</v>
      </c>
    </row>
    <row r="42" spans="1:29" ht="15">
      <c r="A42" s="404"/>
      <c r="B42" s="361" t="s">
        <v>1724</v>
      </c>
      <c r="C42" s="1635" t="s">
        <v>3360</v>
      </c>
      <c r="D42" s="370">
        <v>100</v>
      </c>
      <c r="E42" s="1635" t="s">
        <v>3337</v>
      </c>
      <c r="F42" s="395">
        <f>SUMIF(122:122,E42,123:123)-SUMIF(122:122,C42,123:123)+100</f>
        <v>102</v>
      </c>
      <c r="G42" s="1635" t="s">
        <v>3337</v>
      </c>
      <c r="H42" s="370">
        <f>SUMIF(122:122,G42,123:123)-SUMIF(122:122,C42,123:123)+100</f>
        <v>102</v>
      </c>
      <c r="I42" s="1635" t="s">
        <v>3337</v>
      </c>
      <c r="J42" s="370">
        <f>SUMIF(122:122,I42,123:123)-SUMIF(122:122,C42,123:123)+100</f>
        <v>102</v>
      </c>
      <c r="K42" s="531">
        <v>2</v>
      </c>
      <c r="L42" s="2315"/>
      <c r="M42" s="2998" t="s">
        <v>3359</v>
      </c>
      <c r="N42" s="2995">
        <f>C48+N41</f>
        <v>4.07</v>
      </c>
      <c r="O42" s="2310"/>
      <c r="P42" s="3262"/>
      <c r="Q42" s="1150" t="str">
        <f t="shared" si="11"/>
        <v>内部装修</v>
      </c>
      <c r="R42" s="647" t="s">
        <v>14</v>
      </c>
      <c r="S42" s="648">
        <f t="shared" si="12"/>
        <v>102</v>
      </c>
      <c r="T42" s="647" t="s">
        <v>14</v>
      </c>
      <c r="U42" s="648">
        <f t="shared" si="13"/>
        <v>102</v>
      </c>
      <c r="V42" s="647" t="s">
        <v>14</v>
      </c>
      <c r="W42" s="648">
        <f t="shared" si="14"/>
        <v>102</v>
      </c>
      <c r="X42" s="1152"/>
      <c r="Y42" s="3218"/>
      <c r="Z42" s="1151" t="str">
        <f t="shared" si="15"/>
        <v>内部装修</v>
      </c>
      <c r="AA42" s="1151">
        <f t="shared" si="3"/>
        <v>0.98039215686274506</v>
      </c>
      <c r="AB42" s="1151">
        <f t="shared" si="4"/>
        <v>0.98039215686274506</v>
      </c>
      <c r="AC42" s="1151">
        <f t="shared" si="5"/>
        <v>0.98039215686274506</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6">
        <v>0.9</v>
      </c>
      <c r="M43" s="3315">
        <f>ROUND(C48*L43,2)</f>
        <v>3.42</v>
      </c>
      <c r="N43" s="2310">
        <f>M43+N41</f>
        <v>3.69</v>
      </c>
      <c r="O43" s="2310"/>
      <c r="P43" s="3262"/>
      <c r="Q43" s="1150" t="str">
        <f t="shared" si="11"/>
        <v>内部装修维护情况</v>
      </c>
      <c r="R43" s="647" t="s">
        <v>14</v>
      </c>
      <c r="S43" s="648">
        <f t="shared" si="12"/>
        <v>100</v>
      </c>
      <c r="T43" s="647" t="s">
        <v>14</v>
      </c>
      <c r="U43" s="648">
        <f t="shared" si="13"/>
        <v>100</v>
      </c>
      <c r="V43" s="647" t="s">
        <v>14</v>
      </c>
      <c r="W43" s="648">
        <f t="shared" si="14"/>
        <v>100</v>
      </c>
      <c r="X43" s="1152"/>
      <c r="Y43" s="3218"/>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7">
        <v>1.1000000000000001</v>
      </c>
      <c r="M44" s="3315">
        <f>ROUND(C48*L44,2)</f>
        <v>4.18</v>
      </c>
      <c r="N44" s="2264">
        <f>M44+N41</f>
        <v>4.4499999999999993</v>
      </c>
      <c r="O44" s="2264"/>
      <c r="P44" s="3262"/>
      <c r="Q44" s="525">
        <f t="shared" si="11"/>
        <v>111</v>
      </c>
      <c r="R44" s="644" t="s">
        <v>14</v>
      </c>
      <c r="S44" s="645">
        <f t="shared" si="12"/>
        <v>100</v>
      </c>
      <c r="T44" s="644" t="s">
        <v>14</v>
      </c>
      <c r="U44" s="645">
        <f t="shared" si="13"/>
        <v>100</v>
      </c>
      <c r="V44" s="644" t="s">
        <v>14</v>
      </c>
      <c r="W44" s="645">
        <f t="shared" si="14"/>
        <v>100</v>
      </c>
      <c r="X44" s="646"/>
      <c r="Y44" s="3218"/>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2"/>
      <c r="Q45" s="1150">
        <f t="shared" si="11"/>
        <v>111</v>
      </c>
      <c r="R45" s="647" t="s">
        <v>14</v>
      </c>
      <c r="S45" s="648">
        <f t="shared" si="12"/>
        <v>100</v>
      </c>
      <c r="T45" s="647" t="s">
        <v>14</v>
      </c>
      <c r="U45" s="648">
        <f t="shared" si="13"/>
        <v>100</v>
      </c>
      <c r="V45" s="647" t="s">
        <v>14</v>
      </c>
      <c r="W45" s="648">
        <f t="shared" si="14"/>
        <v>100</v>
      </c>
      <c r="X45" s="1152"/>
      <c r="Y45" s="3218"/>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3"/>
      <c r="Q46" s="1150">
        <f t="shared" si="11"/>
        <v>111</v>
      </c>
      <c r="R46" s="647" t="s">
        <v>14</v>
      </c>
      <c r="S46" s="648">
        <f t="shared" si="12"/>
        <v>100</v>
      </c>
      <c r="T46" s="647" t="s">
        <v>14</v>
      </c>
      <c r="U46" s="648">
        <f t="shared" si="13"/>
        <v>100</v>
      </c>
      <c r="V46" s="647" t="s">
        <v>14</v>
      </c>
      <c r="W46" s="648">
        <f t="shared" si="14"/>
        <v>100</v>
      </c>
      <c r="X46" s="1152"/>
      <c r="Y46" s="3219"/>
      <c r="Z46" s="1151">
        <f t="shared" si="15"/>
        <v>111</v>
      </c>
      <c r="AA46" s="1151">
        <f t="shared" si="3"/>
        <v>1</v>
      </c>
      <c r="AB46" s="1151">
        <f t="shared" si="4"/>
        <v>1</v>
      </c>
      <c r="AC46" s="1151">
        <f t="shared" si="5"/>
        <v>1</v>
      </c>
    </row>
    <row r="47" spans="1:29" ht="15">
      <c r="A47" s="411" t="s">
        <v>1678</v>
      </c>
      <c r="B47" s="412"/>
      <c r="C47" s="994" t="s">
        <v>0</v>
      </c>
      <c r="D47" s="413"/>
      <c r="E47" s="414">
        <f>Sheet1!$P$35</f>
        <v>4</v>
      </c>
      <c r="F47" s="415"/>
      <c r="G47" s="416">
        <f>Sheet1!$P$37</f>
        <v>3.6</v>
      </c>
      <c r="H47" s="417"/>
      <c r="I47" s="414">
        <f>Sheet1!$P$38</f>
        <v>4.21</v>
      </c>
      <c r="J47" s="417"/>
      <c r="K47" s="654"/>
      <c r="L47" s="2317"/>
      <c r="M47" s="2310"/>
      <c r="N47" s="2310"/>
      <c r="O47" s="2310"/>
      <c r="P47" s="3210" t="str">
        <f>A47</f>
        <v>成交单价（元/平方米）</v>
      </c>
      <c r="Q47" s="3210"/>
      <c r="R47" s="3211">
        <f>E47</f>
        <v>4</v>
      </c>
      <c r="S47" s="3211"/>
      <c r="T47" s="3211">
        <f>G47</f>
        <v>3.6</v>
      </c>
      <c r="U47" s="3211"/>
      <c r="V47" s="3211">
        <f>I47</f>
        <v>4.21</v>
      </c>
      <c r="W47" s="3211"/>
      <c r="X47" s="380"/>
      <c r="Y47" s="653"/>
      <c r="Z47" s="380"/>
      <c r="AA47" s="380"/>
      <c r="AB47" s="380"/>
      <c r="AC47" s="380"/>
    </row>
    <row r="48" spans="1:29" ht="15.75" thickBot="1">
      <c r="A48" s="418" t="s">
        <v>1725</v>
      </c>
      <c r="B48" s="419"/>
      <c r="C48" s="995">
        <f>R49</f>
        <v>3.8</v>
      </c>
      <c r="D48" s="1966" t="s">
        <v>2040</v>
      </c>
      <c r="E48" s="996">
        <f>R48</f>
        <v>3.7</v>
      </c>
      <c r="F48" s="1967"/>
      <c r="G48" s="995">
        <f>T48</f>
        <v>3.6</v>
      </c>
      <c r="H48" s="1967"/>
      <c r="I48" s="996">
        <f>V48</f>
        <v>4.0999999999999996</v>
      </c>
      <c r="J48" s="1967"/>
      <c r="K48" s="1968">
        <f>F48+H48+J48</f>
        <v>0</v>
      </c>
      <c r="L48" s="2317"/>
      <c r="M48" s="2310"/>
      <c r="N48" s="2310"/>
      <c r="O48" s="2310"/>
      <c r="P48" s="3210" t="str">
        <f>A48</f>
        <v>比较价值（元/平方米）</v>
      </c>
      <c r="Q48" s="3210"/>
      <c r="R48" s="3211">
        <f>IF(F1="售价",ROUND(PRODUCT(R47,AA7:AA46),0),ROUND(PRODUCT(R47,AA7:AA46),1))</f>
        <v>3.7</v>
      </c>
      <c r="S48" s="3211"/>
      <c r="T48" s="3211">
        <f>IF(F1="售价",ROUND(PRODUCT(T47,AB7:AB46),0),ROUND(PRODUCT(T47,AB7:AB46),1))</f>
        <v>3.6</v>
      </c>
      <c r="U48" s="3211"/>
      <c r="V48" s="3211">
        <f>IF(F1="售价",ROUND(PRODUCT(V47,AC7:AC46),0),ROUND(PRODUCT(V47,AC7:AC46),1))</f>
        <v>4.0999999999999996</v>
      </c>
      <c r="W48" s="3211"/>
      <c r="X48" s="380"/>
      <c r="Y48" s="380"/>
      <c r="Z48" s="380"/>
      <c r="AA48" s="380"/>
      <c r="AB48" s="380"/>
      <c r="AC48" s="380"/>
    </row>
    <row r="49" spans="1:29" ht="15.75" thickBot="1">
      <c r="A49" s="422" t="s">
        <v>1726</v>
      </c>
      <c r="B49" s="423"/>
      <c r="C49" s="348">
        <f>R49</f>
        <v>3.8</v>
      </c>
      <c r="D49" s="348"/>
      <c r="E49" s="348"/>
      <c r="F49" s="348"/>
      <c r="G49" s="348"/>
      <c r="H49" s="348"/>
      <c r="I49" s="348"/>
      <c r="J49" s="348"/>
      <c r="K49" s="655"/>
      <c r="L49" s="2317"/>
      <c r="M49" s="2310"/>
      <c r="N49" s="2310"/>
      <c r="O49" s="2310"/>
      <c r="P49" s="3212" t="str">
        <f>A49</f>
        <v>估价对象XX用房的比较价值（楼面单价，元/平方米）</v>
      </c>
      <c r="Q49" s="3213"/>
      <c r="R49" s="3214">
        <f>IF(F1="售价",ROUND(IF(D48="简单平均",AVERAGE(R48:V48),R48*F48+T48*H48+V48*J48),0),ROUND(IF(D48="简单平均",AVERAGE(R48:V48),R48*F48+T48*H48+V48*J48),1))</f>
        <v>3.8</v>
      </c>
      <c r="S49" s="3214"/>
      <c r="T49" s="3214"/>
      <c r="U49" s="3214"/>
      <c r="V49" s="3214"/>
      <c r="W49" s="3214"/>
      <c r="X49" s="380"/>
      <c r="Y49" s="380"/>
      <c r="Z49" s="380"/>
      <c r="AA49" s="380"/>
      <c r="AB49" s="380"/>
      <c r="AC49" s="380"/>
    </row>
    <row r="50" spans="1:29">
      <c r="A50" s="2310"/>
      <c r="B50" s="2310"/>
      <c r="C50" s="2310">
        <v>2021</v>
      </c>
      <c r="D50" s="2310"/>
      <c r="E50" s="2310">
        <v>2021</v>
      </c>
      <c r="F50" s="2310"/>
      <c r="G50" s="2321">
        <v>20.03</v>
      </c>
      <c r="H50" s="2310"/>
      <c r="I50" s="2310">
        <v>2012</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8.1081081081080919E-2</v>
      </c>
      <c r="F52" s="430" t="str">
        <f>IF(OR(E52&gt;=0.3,E52&lt;=-0.3),"超过30%","")</f>
        <v/>
      </c>
      <c r="G52" s="429">
        <f>IF(G47&lt;G48,G48/G47-1,G47/G48-1)</f>
        <v>0</v>
      </c>
      <c r="H52" s="430" t="str">
        <f>IF(OR(G52&gt;=0.3,G52&lt;=-0.3),"超过30%","")</f>
        <v/>
      </c>
      <c r="I52" s="429">
        <f>IF(I47&lt;I48,I48/I47-1,I47/I48-1)</f>
        <v>2.6829268292682951E-2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2.7777777777777901E-2</v>
      </c>
      <c r="F53" s="430" t="str">
        <f>IF(OR(E53&gt;=0.2,E53&lt;=-0.2),"超过20%","")</f>
        <v/>
      </c>
      <c r="G53" s="429">
        <f>IF(G48&lt;I48,I48/G48-1,G48/I48-1)</f>
        <v>0.13888888888888884</v>
      </c>
      <c r="H53" s="430" t="str">
        <f>IF(OR(G53&gt;=0.2,G53&lt;=-0.2),"超过20%","")</f>
        <v/>
      </c>
      <c r="I53" s="429">
        <f>IF(I48&lt;E48,E48/I48-1,I48/E48-1)</f>
        <v>0.10810810810810789</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0.11111111111111116</v>
      </c>
      <c r="F54" s="430" t="str">
        <f>IF(OR(E54&gt;=0.3,E54&lt;=-0.3),"超过30%","")</f>
        <v/>
      </c>
      <c r="G54" s="429">
        <f>IF(G47&lt;I47,I47/G47-1,G47/I47-1)</f>
        <v>0.16944444444444451</v>
      </c>
      <c r="H54" s="430" t="str">
        <f>IF(OR(G54&gt;=0.3,G54&lt;=-0.3),"超过30%","")</f>
        <v/>
      </c>
      <c r="I54" s="429">
        <f>IF(I47&lt;E47,E47/I47-1,I47/E47-1)</f>
        <v>5.2499999999999991E-2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2026-1</v>
      </c>
      <c r="D58" s="1015">
        <f>EDATE(C58,-1)</f>
        <v>45992</v>
      </c>
      <c r="E58" s="1015">
        <f t="shared" ref="E58:N58" si="16">EDATE(D58,-1)</f>
        <v>45962</v>
      </c>
      <c r="F58" s="1015">
        <f t="shared" si="16"/>
        <v>45931</v>
      </c>
      <c r="G58" s="1015">
        <f t="shared" si="16"/>
        <v>45901</v>
      </c>
      <c r="H58" s="1015">
        <f t="shared" si="16"/>
        <v>45870</v>
      </c>
      <c r="I58" s="1015">
        <f t="shared" si="16"/>
        <v>45839</v>
      </c>
      <c r="J58" s="1015">
        <f t="shared" si="16"/>
        <v>45809</v>
      </c>
      <c r="K58" s="1015">
        <f t="shared" si="16"/>
        <v>45778</v>
      </c>
      <c r="L58" s="1015">
        <f t="shared" si="16"/>
        <v>45748</v>
      </c>
      <c r="M58" s="1015">
        <f t="shared" si="16"/>
        <v>45717</v>
      </c>
      <c r="N58" s="1015">
        <f t="shared" si="16"/>
        <v>45689</v>
      </c>
      <c r="O58" s="1015">
        <f>EDATE(N58,-1)</f>
        <v>45658</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9"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100</v>
      </c>
      <c r="E77" s="470">
        <f>D77-$K15</f>
        <v>100</v>
      </c>
      <c r="F77" s="470">
        <f>E77-$K15</f>
        <v>100</v>
      </c>
      <c r="G77" s="470">
        <f>F77-$K15</f>
        <v>100</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99.5</v>
      </c>
      <c r="E79" s="470">
        <f>D79-$K17</f>
        <v>99</v>
      </c>
      <c r="F79" s="470">
        <f>E79-$K17</f>
        <v>98.5</v>
      </c>
      <c r="G79" s="470">
        <f>F79-$K17</f>
        <v>98</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90" t="s">
        <v>3330</v>
      </c>
      <c r="D86" s="2990" t="s">
        <v>3331</v>
      </c>
      <c r="E86" s="2990" t="s">
        <v>3332</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90" t="s">
        <v>3333</v>
      </c>
      <c r="D88" s="2990" t="s">
        <v>3334</v>
      </c>
      <c r="E88" s="2990" t="s">
        <v>3340</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3">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480"/>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3335</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2" t="s">
        <v>3356</v>
      </c>
      <c r="D100" s="2992" t="s">
        <v>3358</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0(含)-100</v>
      </c>
      <c r="D102" s="504" t="str">
        <f t="shared" ref="D102:L102" si="23">D103&amp;"(含)"&amp;"-"&amp;E103</f>
        <v>100(含)-300</v>
      </c>
      <c r="E102" s="504" t="str">
        <f t="shared" si="23"/>
        <v>300(含)-500</v>
      </c>
      <c r="F102" s="504" t="str">
        <f t="shared" si="23"/>
        <v>500(含)-1500</v>
      </c>
      <c r="G102" s="504" t="str">
        <f t="shared" si="23"/>
        <v>1500(含)-2000</v>
      </c>
      <c r="H102" s="504" t="str">
        <f t="shared" si="23"/>
        <v>2000(含)-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100</v>
      </c>
      <c r="E103" s="6">
        <v>300</v>
      </c>
      <c r="F103" s="6">
        <v>500</v>
      </c>
      <c r="G103" s="6">
        <v>1500</v>
      </c>
      <c r="H103" s="6">
        <v>2000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C104-1</f>
        <v>99</v>
      </c>
      <c r="E104" s="462">
        <f t="shared" ref="E104:H104" si="24">D104-1</f>
        <v>98</v>
      </c>
      <c r="F104" s="462">
        <f t="shared" si="24"/>
        <v>97</v>
      </c>
      <c r="G104" s="462">
        <f t="shared" si="24"/>
        <v>96</v>
      </c>
      <c r="H104" s="462">
        <f t="shared" si="24"/>
        <v>95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102</v>
      </c>
      <c r="E111" s="470">
        <f t="shared" ref="E111:M111" si="27">D111+$K36</f>
        <v>104</v>
      </c>
      <c r="F111" s="470">
        <f t="shared" si="27"/>
        <v>106</v>
      </c>
      <c r="G111" s="470">
        <f t="shared" si="27"/>
        <v>108</v>
      </c>
      <c r="H111" s="470">
        <f t="shared" si="27"/>
        <v>110</v>
      </c>
      <c r="I111" s="470">
        <f t="shared" si="27"/>
        <v>112</v>
      </c>
      <c r="J111" s="470">
        <f t="shared" si="27"/>
        <v>114</v>
      </c>
      <c r="K111" s="470">
        <f t="shared" si="27"/>
        <v>116</v>
      </c>
      <c r="L111" s="470">
        <f t="shared" si="27"/>
        <v>118</v>
      </c>
      <c r="M111" s="470">
        <f t="shared" si="27"/>
        <v>120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4" t="s">
        <v>3351</v>
      </c>
      <c r="D116" s="2990" t="s">
        <v>3353</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90" t="s">
        <v>3336</v>
      </c>
      <c r="D122" s="2990" t="s">
        <v>3338</v>
      </c>
      <c r="E122" s="2990" t="s">
        <v>3339</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98</v>
      </c>
      <c r="E123" s="470">
        <f t="shared" si="31"/>
        <v>96</v>
      </c>
      <c r="F123" s="470">
        <f t="shared" si="31"/>
        <v>94</v>
      </c>
      <c r="G123" s="470">
        <f t="shared" si="31"/>
        <v>92</v>
      </c>
      <c r="H123" s="470">
        <f t="shared" si="31"/>
        <v>90</v>
      </c>
      <c r="I123" s="470">
        <f t="shared" si="31"/>
        <v>88</v>
      </c>
      <c r="J123" s="470">
        <f t="shared" si="31"/>
        <v>86</v>
      </c>
      <c r="K123" s="470">
        <f t="shared" si="31"/>
        <v>84</v>
      </c>
      <c r="L123" s="470">
        <f t="shared" si="31"/>
        <v>82</v>
      </c>
      <c r="M123" s="471">
        <f t="shared" si="31"/>
        <v>80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G25 E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E4C7-5B25-4DAD-9CAF-FBDF12D5BBDE}">
  <dimension ref="C1:V74"/>
  <sheetViews>
    <sheetView workbookViewId="0">
      <selection activeCell="C1" sqref="C1"/>
    </sheetView>
  </sheetViews>
  <sheetFormatPr defaultRowHeight="13.5"/>
  <cols>
    <col min="14" max="14" width="11" bestFit="1" customWidth="1"/>
  </cols>
  <sheetData>
    <row r="1" spans="3:20">
      <c r="C1" s="2988" t="s">
        <v>3341</v>
      </c>
      <c r="T1" s="2988" t="s">
        <v>3342</v>
      </c>
    </row>
    <row r="35" spans="14:17">
      <c r="N35" s="1292" t="s">
        <v>3345</v>
      </c>
      <c r="O35">
        <v>240</v>
      </c>
      <c r="P35">
        <v>4</v>
      </c>
      <c r="Q35" s="1292" t="s">
        <v>3346</v>
      </c>
    </row>
    <row r="36" spans="14:17">
      <c r="N36" s="1292" t="s">
        <v>3347</v>
      </c>
      <c r="O36">
        <v>30</v>
      </c>
      <c r="P36">
        <v>4.62</v>
      </c>
    </row>
    <row r="37" spans="14:17">
      <c r="N37" s="1292" t="s">
        <v>3348</v>
      </c>
      <c r="O37">
        <v>280</v>
      </c>
      <c r="P37">
        <v>3.6</v>
      </c>
    </row>
    <row r="38" spans="14:17">
      <c r="N38" s="1292" t="s">
        <v>3349</v>
      </c>
      <c r="O38">
        <v>79.13</v>
      </c>
      <c r="P38">
        <v>4.21</v>
      </c>
    </row>
    <row r="73" spans="3:22">
      <c r="V73" s="2988" t="s">
        <v>3344</v>
      </c>
    </row>
    <row r="74" spans="3:22">
      <c r="C74" s="2988" t="s">
        <v>3343</v>
      </c>
    </row>
  </sheetData>
  <phoneticPr fontId="135" type="noConversion"/>
  <hyperlinks>
    <hyperlink ref="C1" r:id="rId1" display="https://bj.58.com/shangpu/85374604718685x.shtml?PGTID=0d006b31-0000-0bb2-846d-b2ff124ec25a&amp;ClickID=3" xr:uid="{250CE3DC-32BA-4004-A1BC-A6CDF0FBA663}"/>
    <hyperlink ref="T1" r:id="rId2" display="https://bj.58.com/shangpu/84518483437915x.shtml?utm_source=market&amp;prd=x0NAXiR1wlSETnm4cICGegZpuhq441jhjHPL%2FnFInDc%3D&amp;houseId=4218523235998720&amp;urlParamsMap=9A29105DCCFC2BA53E9DA56A2E57B1314D3F3914BA86F4567BAF041901A2F023737D6AB0C9F39C25F5FC2EF6FFC6E8AD1D4324F3E4CCFC32B256A7D88162C1607953CACD2AC722F8F062AEE9A1C85ECDC3552FD420378C89C279F73100F43E2892802C2D7E4020F286E812C56CDFD5A8D7B3D875660FE4C113F502BA13877CEC00089042BDB7765B1DD0540BD7816D04CAADA866C9EF73E39BF8FF4F71FEB8A1B8BA37123AC4E32C2850FA0E6303DF48&amp;gpos=1&amp;legourl=%2F%2Flegoclick.58.com%2Fjump%3Ftarget%3DszqBpB3draOWUvYf0v66UhIkIit3PjNQrjE3n1E1P1bQPg980v6YUykKuaYOn1wWPWPhnaYQuHcQsHw6ujnVrAnOraYkPWbkrj-WmvEYrynKPW93nWnLPW9LPWnQPHmKTHEznH9dnWnzn1NOrH9LnWTKnH03nWTKnH03njTKnikQPEDQsjm3nj9_PW9vPkDQP1mvP1D3n1NzPjEYTHDKwbPxNDPxNd-DEd4--mUGbeGxHD-HR7q2yTDQTHDKTiYQTiYKnWTkn1mdnH9QPHcdn1EOPH9QnEDvTgK60h7V01ckn1CQxjnKnEDdmWDdPHmzmBdbnWE1sHwhPyNVmH6WnzYYnWFhPywbrHmznAmKnWTkn1mdnH9QPHnvPW0YnWTQP9DznjT1PWNQrjDdn1EOrHNvPWT3TEDKTEDKsEDKTE7jpLIKNdIb0yRhXjP-P7uvEgIviD7M5HYKnHTvsWDzna3QnHm8nWTzTHTKnTDKnikQPE7exEDQnjT1PTDQnjTYnj0dTHmdmWPBm101syR6uhcVPA7BPzd6P103syD1n10zm19LuHN3m9DKnTDKTHTKnikvrjT3sjm3PW0KnE78IyQ_THNkmWmdmyR-m10OPWI6Phm&amp;referinfo=false&amp;spm=&amp;positionType=legojingxuanhouse&amp;lgtid_shangyetie=65b3bc73-eafb-4ab7-a778-a3372c87e58b&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8" xr:uid="{976CECE4-12F0-478B-8B09-4A797CCA2090}"/>
    <hyperlink ref="C74" r:id="rId3" display="https://bj.58.com/shangpu/85758474317149x.shtml?utm_source=market&amp;prd=x0NAXiR1wlSETnm4cICGemeAtlHq4cAwBVmqYmz0tG0%3D&amp;houseId=4377242068542477&amp;urlParamsMap=9A29105DCCFC2BA53E9DA56A2E57B1314D3F3914BA86F4567BAF041901A2F023737D6AB0C9F39C2500DF6BCF50DE11FBC13C8AD8796666CA6F75DF804E99BB23019FB074421D497EAEF4E2ADF9D01EB07464773ADFE47BB3E84CEE0A3EE4824FB8BA37123AC4E32C2850FA0E6303DF48&amp;gpos=4&amp;positionType=anxuanhouseplus&amp;filterJson=eyJTSEFOR1FVQU4iOlt7ImtleSI6IiIsImxhYmVsIjoi56qm5bqXIiwidmFsIjoiZG91ZGlhbiJ9XSwiUVVZVSI6W3sia2V5IjoiIiwibGFiZWwiOiLmiL_lsbEiLCJ2YWwiOiJmYW5nc2hhbiJ9XX0&amp;jx_abtest=ZWljX3N5ZGNfcGNfcmVjb21tZW5kX3Rlc3QsdXNlcl9waGFzZV9s&amp;list_type=main&amp;PGTID=0d000000-0000-0629-1ca2-8c0176f72186&amp;ClickID=14" xr:uid="{30793522-C53F-4185-B7DD-91AA8061F593}"/>
    <hyperlink ref="V73" r:id="rId4" display="https://bj.58.com/shangpu/85338125049563x.shtml?utm_source=market&amp;prd=x0NAXiR1wlSETnm4cICGevbpkSAa0zBtWgSBinMqnLs%3D&amp;houseId=4323437362326543&amp;urlParamsMap=9A29105DCCFC2BA53E9DA56A2E57B1314D3F3914BA86F4567BAF041901A2F023737D6AB0C9F39C25A375D0C6A06A89D80FC4FC8E47FC315AD3F8DB20E36851A675C61F4E15FEA0A0D7BD6B8118C35A95F3D8DC4F922662A357294500387F003E45119683B964C729&amp;gpos=38&amp;positionType=commoninfo&amp;filterJson=eyJRVVlVIjpbeyJrZXkiOiIiLCJsYWJlbCI6IuaIv-WxsSIsInZhbCI6ImZhbmdzaGFuIn1dLCJTSEFOR1FVQU4iOlt7ImtleSI6IiIsImxhYmVsIjoi56qm5bqXIiwidmFsIjoiZG91ZGlhbiJ9XX0&amp;jx_abtest=ZWljX3N5ZGNfcGNfcmVjb21tZW5kX3Rlc3QsdXNlcl9waGFzZV9s&amp;list_type=main&amp;PGTID=0d306b35-0000-19ce-2eb7-44991ece8efa&amp;ClickID=15" xr:uid="{D26E1F28-FE76-43BC-AEF2-81715D1557BC}"/>
  </hyperlinks>
  <pageMargins left="0.7" right="0.7" top="0.75" bottom="0.75" header="0.3" footer="0.3"/>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1"/>
      <c r="B4" s="3272"/>
      <c r="C4" s="3272"/>
      <c r="D4" s="3273"/>
      <c r="E4" s="3273"/>
      <c r="F4" s="3273"/>
      <c r="G4" s="3273"/>
      <c r="H4" s="3273"/>
      <c r="I4" s="3273"/>
      <c r="J4" s="3274"/>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68" t="s">
        <v>1885</v>
      </c>
      <c r="X8" s="3269"/>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0"/>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0"/>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5" t="s">
        <v>3156</v>
      </c>
      <c r="B20" s="158" t="s">
        <v>1919</v>
      </c>
      <c r="C20" s="2851">
        <f>ROUND(IF(F21="与级别开发程度一致",0,(G21-E21)/C21),0)</f>
        <v>-126</v>
      </c>
      <c r="D20" s="2866" t="s">
        <v>1923</v>
      </c>
      <c r="E20" s="2867"/>
      <c r="F20" s="3281" t="s">
        <v>1920</v>
      </c>
      <c r="G20" s="3282"/>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6"/>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46031</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79"/>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0"/>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0"/>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77" t="s">
        <v>3194</v>
      </c>
      <c r="B103" s="3277"/>
      <c r="C103" s="3277"/>
      <c r="D103" s="3277"/>
      <c r="E103" s="3277"/>
      <c r="F103" s="3277"/>
      <c r="G103" s="3277"/>
      <c r="H103" s="3277"/>
      <c r="I103" s="3277"/>
      <c r="J103" s="3277"/>
      <c r="K103" s="1554"/>
      <c r="L103" s="1554"/>
      <c r="M103" s="1554"/>
      <c r="N103" s="1554"/>
    </row>
    <row r="104" spans="1:14">
      <c r="A104" s="3278" t="s">
        <v>3195</v>
      </c>
      <c r="B104" s="3278" t="s">
        <v>3196</v>
      </c>
      <c r="C104" s="2910" t="s">
        <v>3197</v>
      </c>
      <c r="D104" s="2911"/>
      <c r="E104" s="2911"/>
      <c r="F104" s="2911"/>
      <c r="G104" s="2911"/>
      <c r="H104" s="2911"/>
      <c r="I104" s="2911"/>
      <c r="J104" s="2912"/>
      <c r="K104" s="2913"/>
      <c r="L104" s="2913"/>
      <c r="M104" s="2913"/>
      <c r="N104" s="2913"/>
    </row>
    <row r="105" spans="1:14">
      <c r="A105" s="3278"/>
      <c r="B105" s="3278"/>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4"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5"/>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5"/>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5"/>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5"/>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5"/>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6"/>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67" t="s">
        <v>3211</v>
      </c>
      <c r="B113" s="3267"/>
      <c r="C113" s="3267"/>
      <c r="D113" s="3267"/>
      <c r="E113" s="3267"/>
      <c r="F113" s="3267"/>
      <c r="G113" s="3267"/>
      <c r="H113" s="3267"/>
      <c r="I113" s="3267"/>
      <c r="J113" s="3267"/>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4" t="s">
        <v>2509</v>
      </c>
      <c r="B20" s="3287" t="s">
        <v>2530</v>
      </c>
      <c r="C20" s="2987" t="s">
        <v>2341</v>
      </c>
      <c r="D20" s="2987"/>
      <c r="E20" s="2664">
        <v>1</v>
      </c>
      <c r="F20" s="2665" t="s">
        <v>2342</v>
      </c>
      <c r="G20" s="2665"/>
    </row>
    <row r="21" spans="1:13" ht="19.5" customHeight="1">
      <c r="A21" s="3295"/>
      <c r="B21" s="3283"/>
      <c r="C21" s="2677" t="s">
        <v>2343</v>
      </c>
      <c r="D21" s="2677"/>
      <c r="E21" s="2668">
        <v>1</v>
      </c>
      <c r="F21" s="2665" t="s">
        <v>2344</v>
      </c>
      <c r="G21" s="2665"/>
    </row>
    <row r="22" spans="1:13" ht="19.5" customHeight="1">
      <c r="A22" s="3295"/>
      <c r="B22" s="3283"/>
      <c r="C22" s="2677" t="s">
        <v>2345</v>
      </c>
      <c r="D22" s="2677"/>
      <c r="E22" s="2668">
        <v>0.9</v>
      </c>
      <c r="F22" s="2665" t="s">
        <v>2346</v>
      </c>
      <c r="G22" s="2665"/>
    </row>
    <row r="23" spans="1:13" ht="19.5" customHeight="1">
      <c r="A23" s="3295"/>
      <c r="B23" s="3283"/>
      <c r="C23" s="2677" t="s">
        <v>2347</v>
      </c>
      <c r="D23" s="2677"/>
      <c r="E23" s="2668">
        <v>0.9</v>
      </c>
      <c r="F23" s="2665" t="s">
        <v>2348</v>
      </c>
      <c r="G23" s="2665"/>
    </row>
    <row r="24" spans="1:13" ht="19.5" customHeight="1">
      <c r="A24" s="3295"/>
      <c r="B24" s="3283"/>
      <c r="C24" s="2677" t="s">
        <v>2349</v>
      </c>
      <c r="D24" s="2677"/>
      <c r="E24" s="2668">
        <v>0.8</v>
      </c>
      <c r="F24" s="2665" t="s">
        <v>2350</v>
      </c>
      <c r="G24" s="2665"/>
    </row>
    <row r="25" spans="1:13" ht="19.5" customHeight="1">
      <c r="A25" s="3295"/>
      <c r="B25" s="3283"/>
      <c r="C25" s="2677" t="s">
        <v>2351</v>
      </c>
      <c r="D25" s="2677"/>
      <c r="E25" s="2668">
        <v>0.8</v>
      </c>
      <c r="F25" s="2665"/>
      <c r="G25" s="2665"/>
    </row>
    <row r="26" spans="1:13" ht="19.5" customHeight="1">
      <c r="A26" s="3295"/>
      <c r="B26" s="3283"/>
      <c r="C26" s="2677" t="s">
        <v>3309</v>
      </c>
      <c r="D26" s="2677"/>
      <c r="E26" s="2668">
        <v>0.43</v>
      </c>
      <c r="F26" s="2665"/>
      <c r="G26" s="2665"/>
    </row>
    <row r="27" spans="1:13" ht="19.5" customHeight="1" thickBot="1">
      <c r="A27" s="3296"/>
      <c r="B27" s="3288"/>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89" t="s">
        <v>2533</v>
      </c>
      <c r="B29" s="3292" t="s">
        <v>2514</v>
      </c>
      <c r="C29" s="2662" t="s">
        <v>2354</v>
      </c>
      <c r="D29" s="2663"/>
      <c r="E29" s="2664">
        <v>1</v>
      </c>
      <c r="F29" s="2665" t="s">
        <v>2355</v>
      </c>
      <c r="G29" s="2665"/>
    </row>
    <row r="30" spans="1:13" ht="19.5" customHeight="1">
      <c r="A30" s="3290"/>
      <c r="B30" s="3286"/>
      <c r="C30" s="2666" t="s">
        <v>2356</v>
      </c>
      <c r="D30" s="2667"/>
      <c r="E30" s="2668">
        <v>1</v>
      </c>
      <c r="F30" s="2665" t="s">
        <v>2357</v>
      </c>
      <c r="G30" s="2665"/>
    </row>
    <row r="31" spans="1:13" ht="19.5" customHeight="1">
      <c r="A31" s="3290"/>
      <c r="B31" s="3286"/>
      <c r="C31" s="2666" t="s">
        <v>2358</v>
      </c>
      <c r="D31" s="2667"/>
      <c r="E31" s="2668">
        <v>0.8</v>
      </c>
      <c r="F31" s="2665" t="s">
        <v>2359</v>
      </c>
      <c r="G31" s="2665"/>
    </row>
    <row r="32" spans="1:13" ht="19.5" customHeight="1">
      <c r="A32" s="3290"/>
      <c r="B32" s="3286"/>
      <c r="C32" s="2666" t="s">
        <v>2360</v>
      </c>
      <c r="D32" s="2667"/>
      <c r="E32" s="2668">
        <v>0.8</v>
      </c>
      <c r="F32" s="2665" t="s">
        <v>2361</v>
      </c>
      <c r="G32" s="2665"/>
    </row>
    <row r="33" spans="1:7" ht="19.5" customHeight="1">
      <c r="A33" s="3290"/>
      <c r="B33" s="3286"/>
      <c r="C33" s="2666" t="s">
        <v>2362</v>
      </c>
      <c r="D33" s="2667"/>
      <c r="E33" s="2668">
        <v>0.8</v>
      </c>
      <c r="F33" s="2665" t="s">
        <v>2363</v>
      </c>
      <c r="G33" s="2665"/>
    </row>
    <row r="34" spans="1:7" ht="19.5" customHeight="1">
      <c r="A34" s="3290"/>
      <c r="B34" s="3286"/>
      <c r="C34" s="2666" t="s">
        <v>2364</v>
      </c>
      <c r="D34" s="2667"/>
      <c r="E34" s="2668">
        <v>0.7</v>
      </c>
      <c r="F34" s="2665" t="s">
        <v>2365</v>
      </c>
      <c r="G34" s="2665"/>
    </row>
    <row r="35" spans="1:7" ht="19.5" customHeight="1">
      <c r="A35" s="3290"/>
      <c r="B35" s="3286"/>
      <c r="C35" s="2666" t="s">
        <v>2366</v>
      </c>
      <c r="D35" s="2667"/>
      <c r="E35" s="2668">
        <v>0.8</v>
      </c>
      <c r="F35" s="2665" t="s">
        <v>2367</v>
      </c>
      <c r="G35" s="2665"/>
    </row>
    <row r="36" spans="1:7" ht="19.5" customHeight="1">
      <c r="A36" s="3290"/>
      <c r="B36" s="3286"/>
      <c r="C36" s="2666" t="s">
        <v>2368</v>
      </c>
      <c r="D36" s="2667"/>
      <c r="E36" s="2668">
        <v>0.6</v>
      </c>
      <c r="F36" s="2665" t="s">
        <v>2369</v>
      </c>
      <c r="G36" s="2665"/>
    </row>
    <row r="37" spans="1:7" ht="19.5" customHeight="1">
      <c r="A37" s="3290"/>
      <c r="B37" s="3286"/>
      <c r="C37" s="2666" t="s">
        <v>2370</v>
      </c>
      <c r="D37" s="2667"/>
      <c r="E37" s="2668">
        <v>0.2</v>
      </c>
      <c r="F37" s="2665" t="s">
        <v>2371</v>
      </c>
      <c r="G37" s="2665"/>
    </row>
    <row r="38" spans="1:7" ht="19.5" customHeight="1">
      <c r="A38" s="3290"/>
      <c r="B38" s="3286"/>
      <c r="C38" s="2666" t="s">
        <v>2372</v>
      </c>
      <c r="D38" s="2667"/>
      <c r="E38" s="2668">
        <v>0.2</v>
      </c>
      <c r="F38" s="2665" t="s">
        <v>2373</v>
      </c>
      <c r="G38" s="2665"/>
    </row>
    <row r="39" spans="1:7" ht="19.5" customHeight="1">
      <c r="A39" s="3290"/>
      <c r="B39" s="3284" t="s">
        <v>2534</v>
      </c>
      <c r="C39" s="2666" t="s">
        <v>2374</v>
      </c>
      <c r="D39" s="2667"/>
      <c r="E39" s="2668">
        <v>0.6</v>
      </c>
      <c r="F39" s="2665" t="s">
        <v>2375</v>
      </c>
      <c r="G39" s="2665"/>
    </row>
    <row r="40" spans="1:7" ht="19.5" customHeight="1">
      <c r="A40" s="3290"/>
      <c r="B40" s="3286"/>
      <c r="C40" s="2666" t="s">
        <v>2376</v>
      </c>
      <c r="D40" s="2667"/>
      <c r="E40" s="2668">
        <v>0.6</v>
      </c>
      <c r="F40" s="2665" t="s">
        <v>2377</v>
      </c>
      <c r="G40" s="2665"/>
    </row>
    <row r="41" spans="1:7" ht="19.5" customHeight="1" thickBot="1">
      <c r="A41" s="3291"/>
      <c r="B41" s="3293"/>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4" t="s">
        <v>2512</v>
      </c>
      <c r="B43" s="3292" t="s">
        <v>2536</v>
      </c>
      <c r="C43" s="2662" t="s">
        <v>2381</v>
      </c>
      <c r="D43" s="2663"/>
      <c r="E43" s="2664">
        <v>1</v>
      </c>
      <c r="F43" s="2665" t="s">
        <v>2382</v>
      </c>
      <c r="G43" s="2665"/>
    </row>
    <row r="44" spans="1:7" ht="19.5" customHeight="1">
      <c r="A44" s="3295"/>
      <c r="B44" s="3286"/>
      <c r="C44" s="2666" t="s">
        <v>2383</v>
      </c>
      <c r="D44" s="2667"/>
      <c r="E44" s="2668">
        <v>1</v>
      </c>
      <c r="F44" s="2665" t="s">
        <v>2384</v>
      </c>
      <c r="G44" s="2665"/>
    </row>
    <row r="45" spans="1:7" ht="19.5" customHeight="1">
      <c r="A45" s="3295"/>
      <c r="B45" s="3285"/>
      <c r="C45" s="2666" t="s">
        <v>2385</v>
      </c>
      <c r="D45" s="2667"/>
      <c r="E45" s="2668">
        <v>1.5</v>
      </c>
      <c r="F45" s="2665" t="s">
        <v>2386</v>
      </c>
      <c r="G45" s="2665"/>
    </row>
    <row r="46" spans="1:7" ht="19.5" customHeight="1">
      <c r="A46" s="3295"/>
      <c r="B46" s="2677" t="s">
        <v>2537</v>
      </c>
      <c r="C46" s="2666" t="s">
        <v>2538</v>
      </c>
      <c r="D46" s="2667"/>
      <c r="E46" s="2668">
        <v>2</v>
      </c>
      <c r="F46" s="2665" t="s">
        <v>2387</v>
      </c>
      <c r="G46" s="2665"/>
    </row>
    <row r="47" spans="1:7" ht="19.5" customHeight="1">
      <c r="A47" s="3295"/>
      <c r="B47" s="3284" t="s">
        <v>2539</v>
      </c>
      <c r="C47" s="2666" t="s">
        <v>2388</v>
      </c>
      <c r="D47" s="2667"/>
      <c r="E47" s="2668">
        <v>1</v>
      </c>
      <c r="F47" s="2665" t="s">
        <v>2389</v>
      </c>
      <c r="G47" s="2665"/>
    </row>
    <row r="48" spans="1:7" ht="19.5" customHeight="1">
      <c r="A48" s="3295"/>
      <c r="B48" s="3286"/>
      <c r="C48" s="2666" t="s">
        <v>2390</v>
      </c>
      <c r="D48" s="2667"/>
      <c r="E48" s="2668">
        <v>1</v>
      </c>
      <c r="F48" s="2665" t="s">
        <v>2391</v>
      </c>
      <c r="G48" s="2665"/>
    </row>
    <row r="49" spans="1:7" ht="19.5" customHeight="1">
      <c r="A49" s="3295"/>
      <c r="B49" s="3286"/>
      <c r="C49" s="2666" t="s">
        <v>2392</v>
      </c>
      <c r="D49" s="2667"/>
      <c r="E49" s="2668">
        <v>1</v>
      </c>
      <c r="F49" s="2665" t="s">
        <v>2393</v>
      </c>
      <c r="G49" s="2665"/>
    </row>
    <row r="50" spans="1:7" ht="19.5" customHeight="1">
      <c r="A50" s="3295"/>
      <c r="B50" s="3286"/>
      <c r="C50" s="2666" t="s">
        <v>2394</v>
      </c>
      <c r="D50" s="2667"/>
      <c r="E50" s="2668">
        <v>1</v>
      </c>
      <c r="F50" s="2665" t="s">
        <v>2395</v>
      </c>
      <c r="G50" s="2665"/>
    </row>
    <row r="51" spans="1:7" ht="19.5" customHeight="1">
      <c r="A51" s="3295"/>
      <c r="B51" s="3286"/>
      <c r="C51" s="2666" t="s">
        <v>2396</v>
      </c>
      <c r="D51" s="2667"/>
      <c r="E51" s="2668">
        <v>1</v>
      </c>
      <c r="F51" s="2665" t="s">
        <v>2397</v>
      </c>
      <c r="G51" s="2665"/>
    </row>
    <row r="52" spans="1:7" ht="19.5" customHeight="1">
      <c r="A52" s="3295"/>
      <c r="B52" s="3286"/>
      <c r="C52" s="2666" t="s">
        <v>2398</v>
      </c>
      <c r="D52" s="2667"/>
      <c r="E52" s="2668">
        <v>1</v>
      </c>
      <c r="F52" s="2665" t="s">
        <v>2399</v>
      </c>
      <c r="G52" s="2665"/>
    </row>
    <row r="53" spans="1:7" ht="19.5" customHeight="1" thickBot="1">
      <c r="A53" s="3296"/>
      <c r="B53" s="3293"/>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4" t="s">
        <v>2553</v>
      </c>
      <c r="C75" s="2651" t="s">
        <v>2554</v>
      </c>
      <c r="D75" s="2651" t="s">
        <v>2555</v>
      </c>
      <c r="E75" s="2677">
        <v>0.2</v>
      </c>
      <c r="F75" s="2677">
        <v>25</v>
      </c>
    </row>
    <row r="76" spans="1:7" ht="24">
      <c r="A76" s="2677">
        <v>2</v>
      </c>
      <c r="B76" s="3286"/>
      <c r="C76" s="2651" t="s">
        <v>2556</v>
      </c>
      <c r="D76" s="2651" t="s">
        <v>2557</v>
      </c>
      <c r="E76" s="2677">
        <v>0.2</v>
      </c>
      <c r="F76" s="2677">
        <v>25</v>
      </c>
    </row>
    <row r="77" spans="1:7" ht="24">
      <c r="A77" s="2677">
        <v>3</v>
      </c>
      <c r="B77" s="3286"/>
      <c r="C77" s="2651" t="s">
        <v>2558</v>
      </c>
      <c r="D77" s="2651" t="s">
        <v>2559</v>
      </c>
      <c r="E77" s="2677">
        <v>0.2</v>
      </c>
      <c r="F77" s="2677">
        <v>25</v>
      </c>
    </row>
    <row r="78" spans="1:7" ht="13.5">
      <c r="A78" s="2677">
        <v>4</v>
      </c>
      <c r="B78" s="3286"/>
      <c r="C78" s="2651" t="s">
        <v>2560</v>
      </c>
      <c r="D78" s="2651" t="s">
        <v>2561</v>
      </c>
      <c r="E78" s="2677">
        <v>0.15</v>
      </c>
      <c r="F78" s="2677">
        <v>20</v>
      </c>
    </row>
    <row r="79" spans="1:7" ht="24">
      <c r="A79" s="2677">
        <v>5</v>
      </c>
      <c r="B79" s="3286"/>
      <c r="C79" s="2651" t="s">
        <v>2562</v>
      </c>
      <c r="D79" s="2651" t="s">
        <v>2563</v>
      </c>
      <c r="E79" s="2677">
        <v>0.15</v>
      </c>
      <c r="F79" s="2677">
        <v>20</v>
      </c>
    </row>
    <row r="80" spans="1:7" ht="24">
      <c r="A80" s="2677">
        <v>6</v>
      </c>
      <c r="B80" s="3286"/>
      <c r="C80" s="2651" t="s">
        <v>2564</v>
      </c>
      <c r="D80" s="2651" t="s">
        <v>2565</v>
      </c>
      <c r="E80" s="2677">
        <v>0.15</v>
      </c>
      <c r="F80" s="2677">
        <v>20</v>
      </c>
    </row>
    <row r="81" spans="1:6" ht="24">
      <c r="A81" s="2677">
        <v>7</v>
      </c>
      <c r="B81" s="3286"/>
      <c r="C81" s="2651" t="s">
        <v>2566</v>
      </c>
      <c r="D81" s="2651" t="s">
        <v>2567</v>
      </c>
      <c r="E81" s="2677">
        <v>0.15</v>
      </c>
      <c r="F81" s="2677">
        <v>20</v>
      </c>
    </row>
    <row r="82" spans="1:6" ht="24">
      <c r="A82" s="2677">
        <v>8</v>
      </c>
      <c r="B82" s="3286"/>
      <c r="C82" s="2651" t="s">
        <v>2568</v>
      </c>
      <c r="D82" s="2651" t="s">
        <v>2569</v>
      </c>
      <c r="E82" s="2677">
        <v>0.1</v>
      </c>
      <c r="F82" s="2677">
        <v>15</v>
      </c>
    </row>
    <row r="83" spans="1:6" ht="24">
      <c r="A83" s="2677">
        <v>9</v>
      </c>
      <c r="B83" s="3286"/>
      <c r="C83" s="2651" t="s">
        <v>2570</v>
      </c>
      <c r="D83" s="2651" t="s">
        <v>2571</v>
      </c>
      <c r="E83" s="2677">
        <v>0.1</v>
      </c>
      <c r="F83" s="2677">
        <v>15</v>
      </c>
    </row>
    <row r="84" spans="1:6" ht="24">
      <c r="A84" s="2677">
        <v>10</v>
      </c>
      <c r="B84" s="3286"/>
      <c r="C84" s="2651" t="s">
        <v>2572</v>
      </c>
      <c r="D84" s="2651" t="s">
        <v>2573</v>
      </c>
      <c r="E84" s="2677">
        <v>0.1</v>
      </c>
      <c r="F84" s="2677">
        <v>15</v>
      </c>
    </row>
    <row r="85" spans="1:6" ht="24">
      <c r="A85" s="2677">
        <v>11</v>
      </c>
      <c r="B85" s="3286"/>
      <c r="C85" s="2651" t="s">
        <v>2574</v>
      </c>
      <c r="D85" s="2651" t="s">
        <v>2575</v>
      </c>
      <c r="E85" s="2677">
        <v>0.1</v>
      </c>
      <c r="F85" s="2677">
        <v>15</v>
      </c>
    </row>
    <row r="86" spans="1:6" ht="24">
      <c r="A86" s="2677">
        <v>12</v>
      </c>
      <c r="B86" s="3286"/>
      <c r="C86" s="2651" t="s">
        <v>2576</v>
      </c>
      <c r="D86" s="2651" t="s">
        <v>2577</v>
      </c>
      <c r="E86" s="2677">
        <v>0.1</v>
      </c>
      <c r="F86" s="2677">
        <v>15</v>
      </c>
    </row>
    <row r="87" spans="1:6" ht="13.5">
      <c r="A87" s="2677">
        <v>13</v>
      </c>
      <c r="B87" s="3286"/>
      <c r="C87" s="2651" t="s">
        <v>2578</v>
      </c>
      <c r="D87" s="2651" t="s">
        <v>2579</v>
      </c>
      <c r="E87" s="2677">
        <v>0.1</v>
      </c>
      <c r="F87" s="2677">
        <v>15</v>
      </c>
    </row>
    <row r="88" spans="1:6" ht="13.5">
      <c r="A88" s="2677">
        <v>14</v>
      </c>
      <c r="B88" s="3286"/>
      <c r="C88" s="2651" t="s">
        <v>2580</v>
      </c>
      <c r="D88" s="2651" t="s">
        <v>2581</v>
      </c>
      <c r="E88" s="2677">
        <v>0.1</v>
      </c>
      <c r="F88" s="2677">
        <v>15</v>
      </c>
    </row>
    <row r="89" spans="1:6" ht="13.5">
      <c r="A89" s="2677">
        <v>15</v>
      </c>
      <c r="B89" s="3286"/>
      <c r="C89" s="2651" t="s">
        <v>2582</v>
      </c>
      <c r="D89" s="2651" t="s">
        <v>2583</v>
      </c>
      <c r="E89" s="2677">
        <v>0.1</v>
      </c>
      <c r="F89" s="2677">
        <v>15</v>
      </c>
    </row>
    <row r="90" spans="1:6" ht="24">
      <c r="A90" s="2677">
        <v>16</v>
      </c>
      <c r="B90" s="3286"/>
      <c r="C90" s="2651" t="s">
        <v>2584</v>
      </c>
      <c r="D90" s="2651" t="s">
        <v>2585</v>
      </c>
      <c r="E90" s="2677">
        <v>0.1</v>
      </c>
      <c r="F90" s="2677">
        <v>15</v>
      </c>
    </row>
    <row r="91" spans="1:6" ht="24">
      <c r="A91" s="2677">
        <v>17</v>
      </c>
      <c r="B91" s="3285"/>
      <c r="C91" s="2651" t="s">
        <v>2586</v>
      </c>
      <c r="D91" s="2651" t="s">
        <v>2587</v>
      </c>
      <c r="E91" s="2677">
        <v>0.1</v>
      </c>
      <c r="F91" s="2677">
        <v>15</v>
      </c>
    </row>
    <row r="92" spans="1:6" ht="13.5">
      <c r="A92" s="2677">
        <v>18</v>
      </c>
      <c r="B92" s="3284" t="s">
        <v>2588</v>
      </c>
      <c r="C92" s="2651" t="s">
        <v>2589</v>
      </c>
      <c r="D92" s="2651" t="s">
        <v>2590</v>
      </c>
      <c r="E92" s="2677">
        <v>0.2</v>
      </c>
      <c r="F92" s="2677">
        <v>25</v>
      </c>
    </row>
    <row r="93" spans="1:6" ht="24">
      <c r="A93" s="2677">
        <v>19</v>
      </c>
      <c r="B93" s="3286"/>
      <c r="C93" s="2651" t="s">
        <v>2591</v>
      </c>
      <c r="D93" s="2651" t="s">
        <v>2592</v>
      </c>
      <c r="E93" s="2677">
        <v>0.2</v>
      </c>
      <c r="F93" s="2677">
        <v>25</v>
      </c>
    </row>
    <row r="94" spans="1:6" ht="13.5">
      <c r="A94" s="2677">
        <v>20</v>
      </c>
      <c r="B94" s="3286"/>
      <c r="C94" s="2651" t="s">
        <v>2593</v>
      </c>
      <c r="D94" s="2651" t="s">
        <v>2594</v>
      </c>
      <c r="E94" s="2677">
        <v>0.15</v>
      </c>
      <c r="F94" s="2677">
        <v>20</v>
      </c>
    </row>
    <row r="95" spans="1:6" ht="13.5">
      <c r="A95" s="2677">
        <v>21</v>
      </c>
      <c r="B95" s="3286"/>
      <c r="C95" s="2651" t="s">
        <v>2595</v>
      </c>
      <c r="D95" s="2651" t="s">
        <v>2596</v>
      </c>
      <c r="E95" s="2677">
        <v>0.15</v>
      </c>
      <c r="F95" s="2677">
        <v>20</v>
      </c>
    </row>
    <row r="96" spans="1:6" ht="13.5">
      <c r="A96" s="2677">
        <v>22</v>
      </c>
      <c r="B96" s="3286"/>
      <c r="C96" s="2651" t="s">
        <v>2597</v>
      </c>
      <c r="D96" s="2651" t="s">
        <v>2598</v>
      </c>
      <c r="E96" s="2677">
        <v>0.15</v>
      </c>
      <c r="F96" s="2677">
        <v>20</v>
      </c>
    </row>
    <row r="97" spans="1:6" ht="36">
      <c r="A97" s="2677">
        <v>23</v>
      </c>
      <c r="B97" s="3286"/>
      <c r="C97" s="2651" t="s">
        <v>2599</v>
      </c>
      <c r="D97" s="2651" t="s">
        <v>2600</v>
      </c>
      <c r="E97" s="2677">
        <v>0.15</v>
      </c>
      <c r="F97" s="2677">
        <v>20</v>
      </c>
    </row>
    <row r="98" spans="1:6" ht="13.5">
      <c r="A98" s="2677">
        <v>24</v>
      </c>
      <c r="B98" s="3286"/>
      <c r="C98" s="2651" t="s">
        <v>2601</v>
      </c>
      <c r="D98" s="2651" t="s">
        <v>2602</v>
      </c>
      <c r="E98" s="2677">
        <v>0.1</v>
      </c>
      <c r="F98" s="2677">
        <v>15</v>
      </c>
    </row>
    <row r="99" spans="1:6" ht="13.5">
      <c r="A99" s="2677">
        <v>25</v>
      </c>
      <c r="B99" s="3286"/>
      <c r="C99" s="2651" t="s">
        <v>2603</v>
      </c>
      <c r="D99" s="2651" t="s">
        <v>2604</v>
      </c>
      <c r="E99" s="2677">
        <v>0.1</v>
      </c>
      <c r="F99" s="2677">
        <v>15</v>
      </c>
    </row>
    <row r="100" spans="1:6" ht="24">
      <c r="A100" s="2677">
        <v>26</v>
      </c>
      <c r="B100" s="3286"/>
      <c r="C100" s="2651" t="s">
        <v>2605</v>
      </c>
      <c r="D100" s="2651" t="s">
        <v>2606</v>
      </c>
      <c r="E100" s="2677">
        <v>0.1</v>
      </c>
      <c r="F100" s="2677">
        <v>15</v>
      </c>
    </row>
    <row r="101" spans="1:6" ht="24">
      <c r="A101" s="2677">
        <v>27</v>
      </c>
      <c r="B101" s="3286"/>
      <c r="C101" s="2651" t="s">
        <v>2607</v>
      </c>
      <c r="D101" s="2651" t="s">
        <v>2608</v>
      </c>
      <c r="E101" s="2677">
        <v>0.1</v>
      </c>
      <c r="F101" s="2677">
        <v>15</v>
      </c>
    </row>
    <row r="102" spans="1:6" ht="13.5">
      <c r="A102" s="2677">
        <v>28</v>
      </c>
      <c r="B102" s="3286"/>
      <c r="C102" s="2651" t="s">
        <v>2609</v>
      </c>
      <c r="D102" s="2651" t="s">
        <v>2610</v>
      </c>
      <c r="E102" s="2677">
        <v>0.1</v>
      </c>
      <c r="F102" s="2677">
        <v>15</v>
      </c>
    </row>
    <row r="103" spans="1:6" ht="13.5">
      <c r="A103" s="2677">
        <v>29</v>
      </c>
      <c r="B103" s="3286"/>
      <c r="C103" s="2651" t="s">
        <v>2611</v>
      </c>
      <c r="D103" s="2651" t="s">
        <v>2612</v>
      </c>
      <c r="E103" s="2677">
        <v>0.1</v>
      </c>
      <c r="F103" s="2677">
        <v>15</v>
      </c>
    </row>
    <row r="104" spans="1:6" ht="13.5">
      <c r="A104" s="2677">
        <v>30</v>
      </c>
      <c r="B104" s="3286"/>
      <c r="C104" s="2651" t="s">
        <v>2613</v>
      </c>
      <c r="D104" s="2651" t="s">
        <v>2614</v>
      </c>
      <c r="E104" s="2677">
        <v>0.1</v>
      </c>
      <c r="F104" s="2677">
        <v>15</v>
      </c>
    </row>
    <row r="105" spans="1:6" ht="24">
      <c r="A105" s="2677">
        <v>31</v>
      </c>
      <c r="B105" s="3286"/>
      <c r="C105" s="2651" t="s">
        <v>2615</v>
      </c>
      <c r="D105" s="2651" t="s">
        <v>2616</v>
      </c>
      <c r="E105" s="2677">
        <v>0.1</v>
      </c>
      <c r="F105" s="2677">
        <v>15</v>
      </c>
    </row>
    <row r="106" spans="1:6" ht="24">
      <c r="A106" s="2677">
        <v>32</v>
      </c>
      <c r="B106" s="3286"/>
      <c r="C106" s="2651" t="s">
        <v>2617</v>
      </c>
      <c r="D106" s="2651" t="s">
        <v>2618</v>
      </c>
      <c r="E106" s="2677">
        <v>0.1</v>
      </c>
      <c r="F106" s="2677">
        <v>15</v>
      </c>
    </row>
    <row r="107" spans="1:6" ht="24">
      <c r="A107" s="2677">
        <v>33</v>
      </c>
      <c r="B107" s="3286"/>
      <c r="C107" s="2651" t="s">
        <v>2619</v>
      </c>
      <c r="D107" s="2651" t="s">
        <v>2620</v>
      </c>
      <c r="E107" s="2677">
        <v>0.1</v>
      </c>
      <c r="F107" s="2677">
        <v>15</v>
      </c>
    </row>
    <row r="108" spans="1:6" ht="24">
      <c r="A108" s="2677">
        <v>34</v>
      </c>
      <c r="B108" s="3285"/>
      <c r="C108" s="2651" t="s">
        <v>2621</v>
      </c>
      <c r="D108" s="2651" t="s">
        <v>2622</v>
      </c>
      <c r="E108" s="2677">
        <v>0.1</v>
      </c>
      <c r="F108" s="2677">
        <v>15</v>
      </c>
    </row>
    <row r="109" spans="1:6" ht="24">
      <c r="A109" s="2677">
        <v>35</v>
      </c>
      <c r="B109" s="3284" t="s">
        <v>2623</v>
      </c>
      <c r="C109" s="2677" t="s">
        <v>2624</v>
      </c>
      <c r="D109" s="2651" t="s">
        <v>2625</v>
      </c>
      <c r="E109" s="2677">
        <v>0.15</v>
      </c>
      <c r="F109" s="2677">
        <v>20</v>
      </c>
    </row>
    <row r="110" spans="1:6" ht="13.5">
      <c r="A110" s="2677">
        <v>36</v>
      </c>
      <c r="B110" s="3286"/>
      <c r="C110" s="2677" t="s">
        <v>2626</v>
      </c>
      <c r="D110" s="2651" t="s">
        <v>2627</v>
      </c>
      <c r="E110" s="2677">
        <v>0.15</v>
      </c>
      <c r="F110" s="2677">
        <v>20</v>
      </c>
    </row>
    <row r="111" spans="1:6" ht="13.5">
      <c r="A111" s="2677">
        <v>37</v>
      </c>
      <c r="B111" s="3286"/>
      <c r="C111" s="2677" t="s">
        <v>2628</v>
      </c>
      <c r="D111" s="2651" t="s">
        <v>2629</v>
      </c>
      <c r="E111" s="2677">
        <v>0.15</v>
      </c>
      <c r="F111" s="2677">
        <v>20</v>
      </c>
    </row>
    <row r="112" spans="1:6" ht="13.5">
      <c r="A112" s="2677">
        <v>38</v>
      </c>
      <c r="B112" s="3286"/>
      <c r="C112" s="2677" t="s">
        <v>2630</v>
      </c>
      <c r="D112" s="2651" t="s">
        <v>2631</v>
      </c>
      <c r="E112" s="2677">
        <v>0.1</v>
      </c>
      <c r="F112" s="2677">
        <v>15</v>
      </c>
    </row>
    <row r="113" spans="1:6" ht="24">
      <c r="A113" s="2677">
        <v>39</v>
      </c>
      <c r="B113" s="3286"/>
      <c r="C113" s="2677" t="s">
        <v>2632</v>
      </c>
      <c r="D113" s="2651" t="s">
        <v>2633</v>
      </c>
      <c r="E113" s="2677">
        <v>0.1</v>
      </c>
      <c r="F113" s="2677">
        <v>15</v>
      </c>
    </row>
    <row r="114" spans="1:6" ht="24">
      <c r="A114" s="2677">
        <v>40</v>
      </c>
      <c r="B114" s="3285"/>
      <c r="C114" s="2677" t="s">
        <v>2634</v>
      </c>
      <c r="D114" s="2651" t="s">
        <v>2635</v>
      </c>
      <c r="E114" s="2677">
        <v>0.1</v>
      </c>
      <c r="F114" s="2677">
        <v>15</v>
      </c>
    </row>
    <row r="115" spans="1:6" ht="13.5">
      <c r="A115" s="2677">
        <v>41</v>
      </c>
      <c r="B115" s="3283" t="s">
        <v>2636</v>
      </c>
      <c r="C115" s="2677" t="s">
        <v>2637</v>
      </c>
      <c r="D115" s="2651" t="s">
        <v>2638</v>
      </c>
      <c r="E115" s="2677">
        <v>0.1</v>
      </c>
      <c r="F115" s="2677">
        <v>15</v>
      </c>
    </row>
    <row r="116" spans="1:6" ht="13.5">
      <c r="A116" s="2677">
        <v>42</v>
      </c>
      <c r="B116" s="3283"/>
      <c r="C116" s="2677" t="s">
        <v>2639</v>
      </c>
      <c r="D116" s="2651" t="s">
        <v>2640</v>
      </c>
      <c r="E116" s="2677">
        <v>0.1</v>
      </c>
      <c r="F116" s="2677">
        <v>15</v>
      </c>
    </row>
    <row r="117" spans="1:6" ht="24">
      <c r="A117" s="2677">
        <v>43</v>
      </c>
      <c r="B117" s="3283"/>
      <c r="C117" s="2677" t="s">
        <v>2641</v>
      </c>
      <c r="D117" s="2651" t="s">
        <v>2642</v>
      </c>
      <c r="E117" s="2677">
        <v>0.1</v>
      </c>
      <c r="F117" s="2677">
        <v>15</v>
      </c>
    </row>
    <row r="118" spans="1:6" ht="13.5">
      <c r="A118" s="2677">
        <v>44</v>
      </c>
      <c r="B118" s="3284" t="s">
        <v>2643</v>
      </c>
      <c r="C118" s="2677" t="s">
        <v>2644</v>
      </c>
      <c r="D118" s="2651" t="s">
        <v>2645</v>
      </c>
      <c r="E118" s="2677">
        <v>0.1</v>
      </c>
      <c r="F118" s="2677">
        <v>15</v>
      </c>
    </row>
    <row r="119" spans="1:6" ht="24">
      <c r="A119" s="2677">
        <v>45</v>
      </c>
      <c r="B119" s="3285"/>
      <c r="C119" s="2651" t="s">
        <v>2646</v>
      </c>
      <c r="D119" s="2651" t="s">
        <v>2647</v>
      </c>
      <c r="E119" s="2677">
        <v>0.1</v>
      </c>
      <c r="F119" s="2677">
        <v>15</v>
      </c>
    </row>
    <row r="120" spans="1:6" ht="24">
      <c r="A120" s="2677">
        <v>46</v>
      </c>
      <c r="B120" s="3284" t="s">
        <v>2648</v>
      </c>
      <c r="C120" s="2677" t="s">
        <v>2649</v>
      </c>
      <c r="D120" s="2651" t="s">
        <v>2650</v>
      </c>
      <c r="E120" s="2677">
        <v>0.1</v>
      </c>
      <c r="F120" s="2677">
        <v>15</v>
      </c>
    </row>
    <row r="121" spans="1:6" ht="24">
      <c r="A121" s="2677">
        <v>47</v>
      </c>
      <c r="B121" s="3285"/>
      <c r="C121" s="2677" t="s">
        <v>2651</v>
      </c>
      <c r="D121" s="2651" t="s">
        <v>2652</v>
      </c>
      <c r="E121" s="2677">
        <v>0.1</v>
      </c>
      <c r="F121" s="2677">
        <v>15</v>
      </c>
    </row>
    <row r="122" spans="1:6" ht="13.5">
      <c r="A122" s="2677">
        <v>48</v>
      </c>
      <c r="B122" s="3284" t="s">
        <v>2653</v>
      </c>
      <c r="C122" s="2677" t="s">
        <v>2654</v>
      </c>
      <c r="D122" s="2651" t="s">
        <v>2655</v>
      </c>
      <c r="E122" s="2677">
        <v>0.1</v>
      </c>
      <c r="F122" s="2677">
        <v>15</v>
      </c>
    </row>
    <row r="123" spans="1:6" ht="13.5">
      <c r="A123" s="2677">
        <v>49</v>
      </c>
      <c r="B123" s="3285"/>
      <c r="C123" s="2677" t="s">
        <v>2656</v>
      </c>
      <c r="D123" s="2651" t="s">
        <v>2657</v>
      </c>
      <c r="E123" s="2677">
        <v>0.1</v>
      </c>
      <c r="F123" s="2677">
        <v>15</v>
      </c>
    </row>
    <row r="124" spans="1:6" ht="24">
      <c r="A124" s="2677">
        <v>50</v>
      </c>
      <c r="B124" s="3283" t="s">
        <v>2658</v>
      </c>
      <c r="C124" s="2677" t="s">
        <v>2659</v>
      </c>
      <c r="D124" s="2651" t="s">
        <v>2660</v>
      </c>
      <c r="E124" s="2677">
        <v>0.1</v>
      </c>
      <c r="F124" s="2677">
        <v>15</v>
      </c>
    </row>
    <row r="125" spans="1:6" ht="24">
      <c r="A125" s="2677">
        <v>51</v>
      </c>
      <c r="B125" s="3283"/>
      <c r="C125" s="2677" t="s">
        <v>2661</v>
      </c>
      <c r="D125" s="2651" t="s">
        <v>2662</v>
      </c>
      <c r="E125" s="2677">
        <v>0.1</v>
      </c>
      <c r="F125" s="2677">
        <v>15</v>
      </c>
    </row>
    <row r="126" spans="1:6" ht="24">
      <c r="A126" s="2677">
        <v>52</v>
      </c>
      <c r="B126" s="3283" t="s">
        <v>2663</v>
      </c>
      <c r="C126" s="2677" t="s">
        <v>2664</v>
      </c>
      <c r="D126" s="2651" t="s">
        <v>2665</v>
      </c>
      <c r="E126" s="2677">
        <v>0.1</v>
      </c>
      <c r="F126" s="2677">
        <v>15</v>
      </c>
    </row>
    <row r="127" spans="1:6" ht="24">
      <c r="A127" s="2677">
        <v>53</v>
      </c>
      <c r="B127" s="3283"/>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3" t="s">
        <v>2671</v>
      </c>
      <c r="C129" s="2677" t="s">
        <v>2672</v>
      </c>
      <c r="D129" s="2651" t="s">
        <v>2673</v>
      </c>
      <c r="E129" s="2677">
        <v>0.1</v>
      </c>
      <c r="F129" s="2677">
        <v>15</v>
      </c>
    </row>
    <row r="130" spans="1:6" ht="13.5">
      <c r="A130" s="2677">
        <v>56</v>
      </c>
      <c r="B130" s="3283"/>
      <c r="C130" s="2677" t="s">
        <v>2674</v>
      </c>
      <c r="D130" s="2651" t="s">
        <v>2675</v>
      </c>
      <c r="E130" s="2677">
        <v>0.1</v>
      </c>
      <c r="F130" s="2677">
        <v>15</v>
      </c>
    </row>
    <row r="131" spans="1:6" ht="24">
      <c r="A131" s="2677">
        <v>57</v>
      </c>
      <c r="B131" s="3283"/>
      <c r="C131" s="2677" t="s">
        <v>2676</v>
      </c>
      <c r="D131" s="2651" t="s">
        <v>2677</v>
      </c>
      <c r="E131" s="2677">
        <v>0.1</v>
      </c>
      <c r="F131" s="2677">
        <v>15</v>
      </c>
    </row>
    <row r="132" spans="1:6" ht="24">
      <c r="A132" s="2677">
        <v>58</v>
      </c>
      <c r="B132" s="3283" t="s">
        <v>2678</v>
      </c>
      <c r="C132" s="2677" t="s">
        <v>2679</v>
      </c>
      <c r="D132" s="2651" t="s">
        <v>2680</v>
      </c>
      <c r="E132" s="2677">
        <v>0.1</v>
      </c>
      <c r="F132" s="2677">
        <v>15</v>
      </c>
    </row>
    <row r="133" spans="1:6" ht="13.5">
      <c r="A133" s="2677">
        <v>59</v>
      </c>
      <c r="B133" s="3283"/>
      <c r="C133" s="2677" t="s">
        <v>2681</v>
      </c>
      <c r="D133" s="2651" t="s">
        <v>2682</v>
      </c>
      <c r="E133" s="2677">
        <v>0.1</v>
      </c>
      <c r="F133" s="2677">
        <v>15</v>
      </c>
    </row>
    <row r="134" spans="1:6" ht="13.5">
      <c r="A134" s="2677">
        <v>60</v>
      </c>
      <c r="B134" s="3284" t="s">
        <v>2683</v>
      </c>
      <c r="C134" s="2677" t="s">
        <v>2684</v>
      </c>
      <c r="D134" s="2651" t="s">
        <v>2685</v>
      </c>
      <c r="E134" s="2677">
        <v>0.1</v>
      </c>
      <c r="F134" s="2677">
        <v>15</v>
      </c>
    </row>
    <row r="135" spans="1:6" ht="13.5">
      <c r="A135" s="2677">
        <v>61</v>
      </c>
      <c r="B135" s="3285"/>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3" t="s">
        <v>2691</v>
      </c>
      <c r="C137" s="2677" t="s">
        <v>2692</v>
      </c>
      <c r="D137" s="2651" t="s">
        <v>2693</v>
      </c>
      <c r="E137" s="2677">
        <v>0.1</v>
      </c>
      <c r="F137" s="2677">
        <v>15</v>
      </c>
    </row>
    <row r="138" spans="1:6" ht="13.5">
      <c r="A138" s="2677">
        <v>64</v>
      </c>
      <c r="B138" s="3283"/>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1" t="s">
        <v>89</v>
      </c>
    </row>
    <row r="43" spans="1:7" ht="13.5" customHeight="1">
      <c r="A43" s="712" t="s">
        <v>342</v>
      </c>
      <c r="B43" s="206" t="s">
        <v>421</v>
      </c>
      <c r="C43" s="229" t="e">
        <f ca="1">ROUND(IF('数据-取费表'!B22&lt;=1,C39*F22*'数据-取费表'!B21/2,C39*(POWER((1+F22),'数据-取费表'!B21/2)-1)),0)</f>
        <v>#VALUE!</v>
      </c>
      <c r="D43" s="229"/>
      <c r="E43" s="229"/>
      <c r="F43" s="230"/>
      <c r="G43" s="3182"/>
    </row>
    <row r="44" spans="1:7" ht="13.5" customHeight="1">
      <c r="A44" s="712" t="s">
        <v>343</v>
      </c>
      <c r="B44" s="206" t="s">
        <v>423</v>
      </c>
      <c r="C44" s="229" t="e">
        <f ca="1">ROUND(IF('数据-取费表'!B22&lt;=1,C40*F22*'数据-取费表'!B21/2,C40*(POWER((1+F22),'数据-取费表'!B21/2)-1)),4)</f>
        <v>#VALUE!</v>
      </c>
      <c r="D44" s="229"/>
      <c r="E44" s="229"/>
      <c r="F44" s="230"/>
      <c r="G44" s="3183"/>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297" t="s">
        <v>3083</v>
      </c>
      <c r="B1" s="3297"/>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298" t="s">
        <v>3134</v>
      </c>
      <c r="B1" s="3298"/>
      <c r="C1" s="3298"/>
      <c r="D1" s="3298"/>
      <c r="E1" s="3298"/>
      <c r="F1" s="3299"/>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v>
      </c>
      <c r="B3" s="3005"/>
      <c r="C3" s="3005"/>
      <c r="D3" s="3005"/>
      <c r="E3" s="3005"/>
    </row>
    <row r="4" spans="1:5" ht="19.5" thickBot="1">
      <c r="A4" s="1278"/>
      <c r="B4" s="3003" t="s">
        <v>911</v>
      </c>
      <c r="C4" s="3003"/>
      <c r="D4" s="3003"/>
      <c r="E4" s="1278"/>
    </row>
    <row r="5" spans="1:5" ht="16.5" thickTop="1">
      <c r="B5" s="3001" t="s">
        <v>903</v>
      </c>
      <c r="C5" s="1279" t="s">
        <v>904</v>
      </c>
      <c r="D5" s="775" t="e">
        <f ca="1">结果表!H101</f>
        <v>#REF!</v>
      </c>
    </row>
    <row r="6" spans="1:5" ht="15.75">
      <c r="B6" s="3001"/>
      <c r="C6" s="1279" t="s">
        <v>905</v>
      </c>
      <c r="D6" s="775" t="e">
        <f ca="1">NUMBERSTRING(INT(D5*10000),2)&amp;"元整"</f>
        <v>#REF!</v>
      </c>
    </row>
    <row r="7" spans="1:5" ht="15.75">
      <c r="B7" s="3006"/>
      <c r="C7" s="1280" t="s">
        <v>906</v>
      </c>
      <c r="D7" s="776" t="e">
        <f ca="1">结果表!H102</f>
        <v>#REF!</v>
      </c>
    </row>
    <row r="8" spans="1:5" ht="15.75">
      <c r="B8" s="3007" t="str">
        <f>结果表!E103</f>
        <v>2.估价师知悉的法定优先受偿款</v>
      </c>
      <c r="C8" s="1281" t="s">
        <v>907</v>
      </c>
      <c r="D8" s="776">
        <f>结果表!H103</f>
        <v>0</v>
      </c>
    </row>
    <row r="9" spans="1:5" ht="15.75">
      <c r="B9" s="3009"/>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0" t="str">
        <f>结果表!E107</f>
        <v>3.房地产抵押价值</v>
      </c>
      <c r="C13" s="1284" t="s">
        <v>904</v>
      </c>
      <c r="D13" s="778" t="e">
        <f ca="1">结果表!H107</f>
        <v>#REF!</v>
      </c>
    </row>
    <row r="14" spans="1:5" ht="15.75">
      <c r="B14" s="3001"/>
      <c r="C14" s="1279" t="s">
        <v>905</v>
      </c>
      <c r="D14" s="775" t="e">
        <f ca="1">NUMBERSTRING(INT(D13*10000),2)&amp;"元整"</f>
        <v>#REF!</v>
      </c>
    </row>
    <row r="15" spans="1:5" ht="15">
      <c r="B15" s="3006"/>
      <c r="C15" s="1280" t="s">
        <v>915</v>
      </c>
      <c r="D15" s="784" t="e">
        <f ca="1">结果表!H108</f>
        <v>#REF!</v>
      </c>
    </row>
    <row r="16" spans="1:5" ht="15">
      <c r="B16" s="3007" t="str">
        <f>结果表!E109</f>
        <v>——</v>
      </c>
      <c r="C16" s="1284" t="s">
        <v>916</v>
      </c>
      <c r="D16" s="1285" t="str">
        <f>结果表!H109</f>
        <v>——</v>
      </c>
    </row>
    <row r="17" spans="1:5" ht="15.75">
      <c r="B17" s="3008"/>
      <c r="C17" s="1279" t="s">
        <v>917</v>
      </c>
      <c r="D17" s="775" t="e">
        <f>NUMBERSTRING(INT(D16*10000),2)&amp;"元整"</f>
        <v>#VALUE!</v>
      </c>
    </row>
    <row r="18" spans="1:5" ht="15">
      <c r="B18" s="3009"/>
      <c r="C18" s="1280" t="s">
        <v>906</v>
      </c>
      <c r="D18" s="784" t="str">
        <f>结果表!H110</f>
        <v>——</v>
      </c>
    </row>
    <row r="19" spans="1:5" ht="15.75">
      <c r="B19" s="3000" t="str">
        <f>结果表!E111</f>
        <v>——</v>
      </c>
      <c r="C19" s="1284" t="s">
        <v>904</v>
      </c>
      <c r="D19" s="776" t="str">
        <f>结果表!H111</f>
        <v>——</v>
      </c>
    </row>
    <row r="20" spans="1:5" ht="15.75">
      <c r="B20" s="3001"/>
      <c r="C20" s="1279" t="s">
        <v>917</v>
      </c>
      <c r="D20" s="775" t="e">
        <f>NUMBERSTRING(INT(D19*10000),2)&amp;"元整"</f>
        <v>#VALUE!</v>
      </c>
    </row>
    <row r="21" spans="1:5" ht="15.75" thickBot="1">
      <c r="B21" s="3002"/>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46031</v>
      </c>
      <c r="B1" s="2749" t="s">
        <v>3278</v>
      </c>
      <c r="C1" s="2750"/>
      <c r="D1" s="2750"/>
      <c r="E1" s="2750"/>
      <c r="F1" s="2750"/>
      <c r="G1" s="2750"/>
      <c r="H1" s="2750"/>
      <c r="I1" s="2750"/>
      <c r="J1" s="2716"/>
      <c r="K1" s="2750" t="s">
        <v>449</v>
      </c>
      <c r="L1" s="2750"/>
      <c r="M1" s="2750"/>
      <c r="N1" s="2750"/>
      <c r="O1" s="2750"/>
      <c r="P1" s="2750"/>
      <c r="Q1" s="2716"/>
      <c r="R1" s="3300" t="s">
        <v>451</v>
      </c>
      <c r="S1" s="3301"/>
      <c r="T1" s="3301"/>
      <c r="U1" s="3301"/>
      <c r="V1" s="3301"/>
      <c r="W1" s="3301"/>
      <c r="X1" s="2716"/>
      <c r="Y1" s="3300" t="s">
        <v>452</v>
      </c>
      <c r="Z1" s="3301"/>
      <c r="AA1" s="3301"/>
      <c r="AB1" s="3301"/>
      <c r="AC1" s="3301"/>
      <c r="AD1" s="3301"/>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0" t="s">
        <v>2729</v>
      </c>
      <c r="S29" s="3301"/>
      <c r="T29" s="3301"/>
      <c r="U29" s="3301"/>
      <c r="V29" s="3301"/>
      <c r="W29" s="3301"/>
      <c r="X29" s="2716"/>
      <c r="Y29" s="3300" t="s">
        <v>2730</v>
      </c>
      <c r="Z29" s="3301"/>
      <c r="AA29" s="3301"/>
      <c r="AB29" s="3301"/>
      <c r="AC29" s="3301"/>
      <c r="AD29" s="3301"/>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5" t="s">
        <v>447</v>
      </c>
      <c r="C1" s="3305"/>
      <c r="D1" s="3305"/>
      <c r="E1" s="3305"/>
      <c r="F1" s="3305"/>
      <c r="G1" s="3301" t="s">
        <v>448</v>
      </c>
      <c r="H1" s="3301"/>
      <c r="I1" s="3301"/>
      <c r="J1" s="3301"/>
      <c r="K1" s="3301"/>
      <c r="L1" s="3301"/>
      <c r="N1" s="3301" t="s">
        <v>449</v>
      </c>
      <c r="O1" s="3301"/>
      <c r="P1" s="3301"/>
      <c r="Q1" s="3301"/>
      <c r="S1" s="3301" t="s">
        <v>450</v>
      </c>
      <c r="T1" s="3301"/>
      <c r="U1" s="3301"/>
      <c r="V1" s="3301"/>
      <c r="X1" s="3300" t="s">
        <v>451</v>
      </c>
      <c r="Y1" s="3301"/>
      <c r="Z1" s="3301"/>
      <c r="AA1" s="3301"/>
      <c r="AB1" s="3301"/>
      <c r="AD1" s="3300" t="s">
        <v>452</v>
      </c>
      <c r="AE1" s="3301"/>
      <c r="AF1" s="3301"/>
      <c r="AG1" s="3301"/>
      <c r="AH1" s="3301"/>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3">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3"/>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3"/>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0"/>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6">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3"/>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3"/>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0"/>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6">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3"/>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3"/>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4"/>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2">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3"/>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3"/>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4"/>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2">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3"/>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3"/>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4"/>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07">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08"/>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08"/>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09"/>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2">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3"/>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3"/>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4"/>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2">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3">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3">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4">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2">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3">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3">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4">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2">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3">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3">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4">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2">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3">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3">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4">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2">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3">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3">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4">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2">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3">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3">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4">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2">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3">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3">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4">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2">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3">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3">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4">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2">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3">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3">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4">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2">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3">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3">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4">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3" t="s">
        <v>2741</v>
      </c>
      <c r="B1" s="3313"/>
      <c r="C1" s="3313"/>
      <c r="D1" s="3313"/>
      <c r="E1" s="3313"/>
      <c r="F1" s="3313"/>
      <c r="G1" s="3314"/>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1"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2"/>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46031</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922</v>
      </c>
      <c r="B2" s="3018" t="s">
        <v>923</v>
      </c>
      <c r="C2" s="3018" t="s">
        <v>924</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3"/>
      <c r="B3" s="3013"/>
      <c r="C3" s="3013"/>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3" t="s">
        <v>921</v>
      </c>
      <c r="B5" s="3013"/>
      <c r="C5" s="3013"/>
      <c r="D5" s="3013" t="e">
        <f ca="1">结果表!D119</f>
        <v>#REF!</v>
      </c>
      <c r="E5" s="3013"/>
      <c r="F5" s="3013" t="e">
        <f ca="1">结果表!F119</f>
        <v>#REF!</v>
      </c>
      <c r="G5" s="3013"/>
      <c r="H5" s="3013" t="e">
        <f ca="1">结果表!H119</f>
        <v>#REF!</v>
      </c>
      <c r="I5" s="3013"/>
    </row>
    <row r="6" spans="1:9" ht="15.75">
      <c r="A6" s="3012" t="str">
        <f>结果表!A120</f>
        <v>估价师知悉的法定优先受偿款</v>
      </c>
      <c r="B6" s="3012"/>
      <c r="C6" s="3012"/>
      <c r="D6" s="3012">
        <f>结果表!D120</f>
        <v>0</v>
      </c>
      <c r="E6" s="3012"/>
      <c r="F6" s="3012"/>
      <c r="G6" s="3012"/>
      <c r="H6" s="3012"/>
      <c r="I6" s="3012"/>
    </row>
    <row r="7" spans="1:9" ht="15">
      <c r="A7" s="3013" t="s">
        <v>921</v>
      </c>
      <c r="B7" s="3013"/>
      <c r="C7" s="3013"/>
      <c r="D7" s="3014" t="str">
        <f>结果表!D121</f>
        <v>零元整</v>
      </c>
      <c r="E7" s="3015"/>
      <c r="F7" s="3015"/>
      <c r="G7" s="3015"/>
      <c r="H7" s="3015"/>
      <c r="I7" s="3016"/>
    </row>
    <row r="8" spans="1:9" ht="15.75">
      <c r="A8" s="3012" t="str">
        <f>结果表!A122</f>
        <v>房地产抵押价值</v>
      </c>
      <c r="B8" s="3012"/>
      <c r="C8" s="3012"/>
      <c r="D8" s="3012" t="e">
        <f ca="1">结果表!D122</f>
        <v>#REF!</v>
      </c>
      <c r="E8" s="3012"/>
      <c r="F8" s="3012"/>
      <c r="G8" s="3012"/>
      <c r="H8" s="3012"/>
      <c r="I8" s="3012"/>
    </row>
    <row r="9" spans="1:9" ht="15">
      <c r="A9" s="3013" t="s">
        <v>921</v>
      </c>
      <c r="B9" s="3013"/>
      <c r="C9" s="3013"/>
      <c r="D9" s="3013" t="e">
        <f ca="1">结果表!D123</f>
        <v>#REF!</v>
      </c>
      <c r="E9" s="3013"/>
      <c r="F9" s="3013"/>
      <c r="G9" s="3013"/>
      <c r="H9" s="3013"/>
      <c r="I9" s="3013"/>
    </row>
    <row r="10" spans="1:9" ht="15.75">
      <c r="A10" s="3012" t="str">
        <f>结果表!A124</f>
        <v/>
      </c>
      <c r="B10" s="3012"/>
      <c r="C10" s="3012"/>
      <c r="D10" s="3012" t="str">
        <f>结果表!D124</f>
        <v>——</v>
      </c>
      <c r="E10" s="3012"/>
      <c r="F10" s="3012"/>
      <c r="G10" s="3012"/>
      <c r="H10" s="3012"/>
      <c r="I10" s="3012"/>
    </row>
    <row r="11" spans="1:9" ht="15">
      <c r="A11" s="3013" t="s">
        <v>921</v>
      </c>
      <c r="B11" s="3013"/>
      <c r="C11" s="3013"/>
      <c r="D11" s="3013" t="e">
        <f>结果表!D125</f>
        <v>#VALUE!</v>
      </c>
      <c r="E11" s="3013"/>
      <c r="F11" s="3013"/>
      <c r="G11" s="3013"/>
      <c r="H11" s="3013"/>
      <c r="I11" s="3013"/>
    </row>
    <row r="12" spans="1:9" ht="15.75">
      <c r="A12" s="3012" t="str">
        <f>结果表!A126</f>
        <v/>
      </c>
      <c r="B12" s="3012"/>
      <c r="C12" s="3012"/>
      <c r="D12" s="3012" t="str">
        <f>结果表!D126</f>
        <v>——</v>
      </c>
      <c r="E12" s="3012"/>
      <c r="F12" s="3012"/>
      <c r="G12" s="3012"/>
      <c r="H12" s="3012"/>
      <c r="I12" s="3012"/>
    </row>
    <row r="13" spans="1:9" ht="15.75" thickBot="1">
      <c r="A13" s="3010" t="s">
        <v>921</v>
      </c>
      <c r="B13" s="3010"/>
      <c r="C13" s="3010"/>
      <c r="D13" s="3010" t="e">
        <f>结果表!D127</f>
        <v>#VALUE!</v>
      </c>
      <c r="E13" s="3010"/>
      <c r="F13" s="3010"/>
      <c r="G13" s="3010"/>
      <c r="H13" s="3010"/>
      <c r="I13" s="3010"/>
    </row>
    <row r="14" spans="1:9" ht="15" thickTop="1">
      <c r="A14" s="3011" t="s">
        <v>926</v>
      </c>
      <c r="B14" s="3011"/>
      <c r="C14" s="3011"/>
      <c r="D14" s="3011"/>
      <c r="E14" s="3011"/>
      <c r="F14" s="3011"/>
      <c r="G14" s="3011"/>
      <c r="H14" s="3011"/>
      <c r="I14" s="3011"/>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5" t="s">
        <v>943</v>
      </c>
      <c r="B1" s="3025"/>
      <c r="C1" s="3025"/>
      <c r="D1" s="3025"/>
    </row>
    <row r="2" spans="1:4" ht="18">
      <c r="A2" s="3026" t="s">
        <v>927</v>
      </c>
      <c r="B2" s="3026"/>
      <c r="C2" s="3026"/>
      <c r="D2" s="3026"/>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6" t="s">
        <v>933</v>
      </c>
      <c r="B6" s="3026"/>
      <c r="C6" s="3026"/>
      <c r="D6" s="3026"/>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7" t="s">
        <v>936</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19" t="str">
        <f>IF(项目基本情况!B8="抵押","3.抵押双方在办理抵押登记手续时，应使用本公司出具的正式《房地产评估报告》，特提醒报告使用者注意。","——")</f>
        <v>——</v>
      </c>
      <c r="B13" s="3024"/>
      <c r="C13" s="3024"/>
      <c r="D13" s="3024"/>
    </row>
    <row r="14" spans="1:4" ht="15.75" customHeight="1">
      <c r="A14" s="3019" t="str">
        <f>IF(项目基本情况!B8="抵押","4.本次评估估价师所知悉的法定优先受偿款情况说明如下：","——")</f>
        <v>——</v>
      </c>
      <c r="B14" s="3024"/>
      <c r="C14" s="3024"/>
      <c r="D14" s="3024"/>
    </row>
    <row r="15" spans="1:4" ht="42" customHeight="1">
      <c r="A15" s="3019" t="str">
        <f>IF(项目基本情况!B8="抵押","（1）"&amp;CONCATENATE(项目基本情况!L20,项目基本情况!L21,项目基本情况!L22),"——")</f>
        <v>——</v>
      </c>
      <c r="B15" s="3019"/>
      <c r="C15" s="3019"/>
      <c r="D15" s="3019"/>
    </row>
    <row r="16" spans="1:4" ht="30" customHeight="1">
      <c r="A16" s="3021" t="s">
        <v>937</v>
      </c>
      <c r="B16" s="3021"/>
      <c r="C16" s="3021"/>
      <c r="D16" s="3021"/>
    </row>
    <row r="17" spans="1:4" ht="144" customHeight="1">
      <c r="A17" s="3021" t="s">
        <v>938</v>
      </c>
      <c r="B17" s="3021"/>
      <c r="C17" s="3021"/>
      <c r="D17" s="3021"/>
    </row>
    <row r="18" spans="1:4" ht="15.75" customHeight="1">
      <c r="A18" s="3019" t="str">
        <f>IF(项目基本情况!B8="抵押",结果表!K120,"——")</f>
        <v>——</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939</v>
      </c>
      <c r="B22" s="3023"/>
      <c r="C22" s="3023"/>
      <c r="D22" s="3023"/>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3" t="s">
        <v>950</v>
      </c>
      <c r="B15" s="3028" t="s">
        <v>104</v>
      </c>
      <c r="C15" s="3029"/>
    </row>
    <row r="16" spans="1:7" ht="13.5">
      <c r="A16" s="3034"/>
      <c r="B16" s="3028" t="s">
        <v>37</v>
      </c>
      <c r="C16" s="3029"/>
    </row>
    <row r="17" spans="1:3" ht="13.5">
      <c r="A17" s="3034"/>
      <c r="B17" s="3031" t="s">
        <v>951</v>
      </c>
      <c r="C17" s="1316" t="s">
        <v>950</v>
      </c>
    </row>
    <row r="18" spans="1:3" ht="13.5">
      <c r="A18" s="3034"/>
      <c r="B18" s="3031"/>
      <c r="C18" s="1316" t="s">
        <v>952</v>
      </c>
    </row>
    <row r="19" spans="1:3" ht="13.5">
      <c r="A19" s="3034"/>
      <c r="B19" s="3031"/>
      <c r="C19" s="1316" t="s">
        <v>953</v>
      </c>
    </row>
    <row r="20" spans="1:3" ht="13.5">
      <c r="A20" s="3035"/>
      <c r="B20" s="3030" t="s">
        <v>954</v>
      </c>
      <c r="C20" s="3029"/>
    </row>
    <row r="21" spans="1:3" ht="13.5">
      <c r="A21" s="1317" t="s">
        <v>955</v>
      </c>
      <c r="B21" s="1318"/>
      <c r="C21" s="1319"/>
    </row>
    <row r="22" spans="1:3" ht="13.5">
      <c r="A22" s="3032" t="s">
        <v>956</v>
      </c>
      <c r="B22" s="3030" t="s">
        <v>957</v>
      </c>
      <c r="C22" s="3029"/>
    </row>
    <row r="23" spans="1:3" ht="13.5">
      <c r="A23" s="3032"/>
      <c r="B23" s="3030" t="s">
        <v>958</v>
      </c>
      <c r="C23" s="3029"/>
    </row>
    <row r="24" spans="1:3" ht="13.5">
      <c r="A24" s="3032"/>
      <c r="B24" s="3030" t="s">
        <v>959</v>
      </c>
      <c r="C24" s="3029"/>
    </row>
    <row r="25" spans="1:3" ht="13.5">
      <c r="A25" s="3032"/>
      <c r="B25" s="3031" t="s">
        <v>960</v>
      </c>
      <c r="C25" s="1316" t="s">
        <v>961</v>
      </c>
    </row>
    <row r="26" spans="1:3" ht="13.5">
      <c r="A26" s="3032"/>
      <c r="B26" s="3031"/>
      <c r="C26" s="1316" t="s">
        <v>962</v>
      </c>
    </row>
    <row r="27" spans="1:3" ht="13.5">
      <c r="A27" s="3032"/>
      <c r="B27" s="3031"/>
      <c r="C27" s="1316" t="s">
        <v>963</v>
      </c>
    </row>
    <row r="28" spans="1:3" ht="13.5">
      <c r="A28" s="3032"/>
      <c r="B28" s="3031"/>
      <c r="C28" s="1316" t="s">
        <v>964</v>
      </c>
    </row>
    <row r="29" spans="1:3" ht="13.5">
      <c r="A29" s="3032"/>
      <c r="B29" s="3031"/>
      <c r="C29" s="1316" t="s">
        <v>965</v>
      </c>
    </row>
    <row r="30" spans="1:3" ht="13.5">
      <c r="A30" s="3032"/>
      <c r="B30" s="3031"/>
      <c r="C30" s="1316" t="s">
        <v>966</v>
      </c>
    </row>
    <row r="31" spans="1:3" ht="13.5">
      <c r="A31" s="3032"/>
      <c r="B31" s="3031"/>
      <c r="C31" s="1316" t="s">
        <v>967</v>
      </c>
    </row>
    <row r="32" spans="1:3" ht="13.5">
      <c r="A32" s="3032"/>
      <c r="B32" s="3031"/>
      <c r="C32" s="1316" t="s">
        <v>968</v>
      </c>
    </row>
    <row r="33" spans="1:3" ht="13.5">
      <c r="A33" s="3032"/>
      <c r="B33" s="3031"/>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46051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6" t="s">
        <v>2062</v>
      </c>
      <c r="B17" s="3036"/>
      <c r="C17" s="3036"/>
      <c r="D17" s="3036"/>
      <c r="E17" s="3036"/>
      <c r="F17" s="3036"/>
      <c r="G17" s="3036"/>
      <c r="H17" s="3036"/>
    </row>
    <row r="18" spans="1:8" ht="24" customHeight="1">
      <c r="A18" s="3037" t="s">
        <v>2063</v>
      </c>
      <c r="B18" s="3037"/>
      <c r="C18" s="3037"/>
      <c r="D18" s="1984"/>
      <c r="E18" s="3038" t="s">
        <v>2064</v>
      </c>
      <c r="F18" s="3037"/>
      <c r="G18" s="3037"/>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2026-01-29T01:48:42Z</dcterms:modified>
</cp:coreProperties>
</file>