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7"/>
  </bookViews>
  <sheets>
    <sheet name="收益法 (元)"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程地质条件工">'比较法-工业'!$B$116:$M$116</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毗邻道路的类型与等级">'比较法-工业'!$B$99:$M$99</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 name="宗地开发程度工">'比较法-工业'!$B$114:$M$114</definedName>
    <definedName name="宗地形状工">'比较法-工业'!$B$112:$M$112</definedName>
  </definedNames>
  <calcPr calcId="145621"/>
</workbook>
</file>

<file path=xl/calcChain.xml><?xml version="1.0" encoding="utf-8"?>
<calcChain xmlns="http://schemas.openxmlformats.org/spreadsheetml/2006/main">
  <c r="D30" i="46" l="1"/>
  <c r="D5" i="9"/>
  <c r="C28" i="43" l="1"/>
  <c r="AB3" i="59"/>
  <c r="AA3" i="59"/>
  <c r="Y3" i="59"/>
  <c r="X3" i="59"/>
  <c r="AB5" i="59"/>
  <c r="AA5" i="59"/>
  <c r="Y5" i="59"/>
  <c r="X5" i="59"/>
  <c r="F19" i="6"/>
  <c r="D29" i="46" s="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40" i="68"/>
  <c r="M23" i="68"/>
  <c r="F13" i="68"/>
  <c r="F8" i="68"/>
  <c r="F9" i="68"/>
  <c r="M8" i="68"/>
  <c r="F6" i="68"/>
  <c r="M24" i="68"/>
  <c r="J15" i="68"/>
  <c r="M9" i="68"/>
  <c r="F37" i="68"/>
  <c r="M28" i="68"/>
  <c r="M22" i="68"/>
  <c r="F42" i="68"/>
  <c r="F26" i="68"/>
  <c r="C76" i="68"/>
  <c r="M26" i="68"/>
  <c r="F38" i="68"/>
  <c r="F36" i="68"/>
  <c r="F1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2" i="67"/>
  <c r="B8" i="67"/>
  <c r="E8" i="67"/>
  <c r="F10" i="67"/>
  <c r="B11" i="67"/>
  <c r="E14" i="67"/>
  <c r="E12" i="67"/>
  <c r="B10" i="67"/>
  <c r="F8" i="67"/>
  <c r="F11" i="67"/>
  <c r="F9" i="67"/>
  <c r="F12" i="67"/>
  <c r="E13" i="67"/>
  <c r="F14" i="67"/>
  <c r="B9" i="67"/>
  <c r="B14" i="67"/>
  <c r="F13" i="67"/>
  <c r="E11" i="67"/>
  <c r="E10" i="67"/>
  <c r="E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I7" i="65"/>
  <c r="J4" i="65"/>
  <c r="I5" i="65"/>
  <c r="N4" i="65"/>
  <c r="N3" i="65"/>
  <c r="I3" i="65"/>
  <c r="N6" i="65"/>
  <c r="J7" i="65"/>
  <c r="C4" i="65" l="1"/>
  <c r="B39" i="1" s="1"/>
  <c r="I4" i="65"/>
  <c r="J6" i="65"/>
  <c r="J5" i="65"/>
  <c r="J3" i="65"/>
  <c r="I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E9"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Z5" i="59"/>
  <c r="F9" i="59"/>
  <c r="X6" i="59"/>
  <c r="X7" i="59"/>
  <c r="X8" i="59"/>
  <c r="X9" i="59"/>
  <c r="AA6" i="59"/>
  <c r="AA7" i="59"/>
  <c r="AA8" i="59"/>
  <c r="AA9" i="59"/>
  <c r="Y6" i="59"/>
  <c r="Z6" i="59" s="1"/>
  <c r="Y7" i="59"/>
  <c r="Z7" i="59" s="1"/>
  <c r="Y8" i="59"/>
  <c r="Z8" i="59" s="1"/>
  <c r="Y9" i="59"/>
  <c r="Z9" i="59" s="1"/>
  <c r="Z3" i="59"/>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C7" i="59" l="1"/>
  <c r="D8"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AZ505" i="3" s="1"/>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c r="BQ536" i="3"/>
  <c r="BQ534" i="3"/>
  <c r="BL534" i="3" s="1"/>
  <c r="AZ534" i="3" s="1"/>
  <c r="BQ532" i="3"/>
  <c r="BL532" i="3" s="1"/>
  <c r="AZ532" i="3" s="1"/>
  <c r="BQ530" i="3"/>
  <c r="BL530" i="3" s="1"/>
  <c r="BQ528" i="3"/>
  <c r="BQ526" i="3"/>
  <c r="BL526" i="3" s="1"/>
  <c r="AZ526" i="3" s="1"/>
  <c r="BQ524" i="3"/>
  <c r="BL524" i="3" s="1"/>
  <c r="AZ524" i="3" s="1"/>
  <c r="BQ522" i="3"/>
  <c r="BQ520" i="3"/>
  <c r="BL520" i="3"/>
  <c r="BQ518" i="3"/>
  <c r="BQ516" i="3"/>
  <c r="BL516" i="3" s="1"/>
  <c r="AZ516" i="3" s="1"/>
  <c r="BQ514" i="3"/>
  <c r="BL514" i="3" s="1"/>
  <c r="AZ514" i="3" s="1"/>
  <c r="BQ512" i="3"/>
  <c r="BQ510" i="3"/>
  <c r="BL510" i="3"/>
  <c r="BQ508" i="3"/>
  <c r="BL508" i="3"/>
  <c r="AC506" i="3"/>
  <c r="G506" i="3"/>
  <c r="BQ506" i="3"/>
  <c r="G502" i="3"/>
  <c r="G498" i="3"/>
  <c r="BQ504" i="3"/>
  <c r="BQ502" i="3"/>
  <c r="BL502" i="3"/>
  <c r="AZ502" i="3" s="1"/>
  <c r="BQ500" i="3"/>
  <c r="BL500" i="3"/>
  <c r="BQ498" i="3"/>
  <c r="BQ496" i="3"/>
  <c r="BL496" i="3" s="1"/>
  <c r="AC494" i="3"/>
  <c r="BQ494" i="3"/>
  <c r="BL493" i="3"/>
  <c r="G492" i="3"/>
  <c r="G488" i="3"/>
  <c r="G484" i="3"/>
  <c r="G20" i="3"/>
  <c r="BQ492" i="3"/>
  <c r="BL492" i="3" s="1"/>
  <c r="BQ490" i="3"/>
  <c r="BQ488" i="3"/>
  <c r="BL488" i="3"/>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W36" i="40"/>
  <c r="U40" i="39"/>
  <c r="F90" i="40"/>
  <c r="H21" i="40" s="1"/>
  <c r="AB21" i="40" s="1"/>
  <c r="G90" i="40"/>
  <c r="S27" i="31"/>
  <c r="AZ558" i="3"/>
  <c r="AZ560" i="3"/>
  <c r="G483" i="3"/>
  <c r="G515" i="3"/>
  <c r="G507" i="3"/>
  <c r="G501" i="3"/>
  <c r="BA15" i="3"/>
  <c r="BL17" i="3"/>
  <c r="BL15" i="3"/>
  <c r="BA14" i="3"/>
  <c r="AZ14" i="3" s="1"/>
  <c r="J57" i="39"/>
  <c r="H13" i="40"/>
  <c r="U13" i="40" s="1"/>
  <c r="H12" i="48"/>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S13" i="39" s="1"/>
  <c r="J13" i="39"/>
  <c r="AC13" i="39" s="1"/>
  <c r="AA36" i="35"/>
  <c r="H11" i="37"/>
  <c r="AB11" i="37" s="1"/>
  <c r="W37" i="37"/>
  <c r="AA30" i="33"/>
  <c r="AA36" i="37"/>
  <c r="S42" i="33"/>
  <c r="U32" i="33"/>
  <c r="AB17" i="37"/>
  <c r="AZ48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G99" i="37"/>
  <c r="F33" i="37" s="1"/>
  <c r="AB19" i="39"/>
  <c r="U46" i="34"/>
  <c r="AA14" i="34"/>
  <c r="U29" i="33"/>
  <c r="U17" i="34"/>
  <c r="AA11" i="34"/>
  <c r="W32" i="33"/>
  <c r="H15" i="33"/>
  <c r="U15" i="33" s="1"/>
  <c r="AA11" i="33"/>
  <c r="U17" i="21"/>
  <c r="AA13" i="39"/>
  <c r="U16" i="40"/>
  <c r="W34" i="40"/>
  <c r="AB34" i="40"/>
  <c r="AB42" i="40"/>
  <c r="U42" i="40"/>
  <c r="AC16"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D73" i="9"/>
  <c r="N73" i="9" s="1"/>
  <c r="J51" i="15"/>
  <c r="B11" i="1"/>
  <c r="E11" i="1" s="1"/>
  <c r="K11" i="1"/>
  <c r="M11" i="1" s="1"/>
  <c r="B9" i="1"/>
  <c r="E9" i="1" s="1"/>
  <c r="K9" i="1"/>
  <c r="M9" i="1" s="1"/>
  <c r="B7" i="1"/>
  <c r="E7" i="1" s="1"/>
  <c r="K7" i="1"/>
  <c r="M7" i="1" s="1"/>
  <c r="O7" i="1" s="1"/>
  <c r="P7" i="1" s="1"/>
  <c r="L47" i="68"/>
  <c r="E2" i="65"/>
  <c r="J17" i="40" l="1"/>
  <c r="AC17" i="40" s="1"/>
  <c r="F86" i="40"/>
  <c r="G86" i="40" s="1"/>
  <c r="J21" i="40"/>
  <c r="AC21" i="40" s="1"/>
  <c r="F21" i="40"/>
  <c r="S21" i="40" s="1"/>
  <c r="H32" i="40"/>
  <c r="U32" i="40" s="1"/>
  <c r="F32" i="40"/>
  <c r="AA32" i="40" s="1"/>
  <c r="J32" i="40"/>
  <c r="AC32" i="40" s="1"/>
  <c r="F38" i="40"/>
  <c r="AA38" i="40" s="1"/>
  <c r="J38" i="40"/>
  <c r="AC38" i="40" s="1"/>
  <c r="U30" i="40"/>
  <c r="W23" i="40"/>
  <c r="F80" i="46"/>
  <c r="H81" i="46" s="1"/>
  <c r="F72" i="9"/>
  <c r="F66" i="9"/>
  <c r="P72" i="9" s="1"/>
  <c r="G13" i="1"/>
  <c r="BL13" i="3"/>
  <c r="BF5" i="3"/>
  <c r="N6" i="46"/>
  <c r="M11" i="46"/>
  <c r="N2" i="46"/>
  <c r="M6" i="46"/>
  <c r="H9" i="48"/>
  <c r="L59" i="68"/>
  <c r="N59" i="68"/>
  <c r="M59" i="68"/>
  <c r="AZ492" i="3"/>
  <c r="S27" i="33"/>
  <c r="AA27" i="33"/>
  <c r="U13" i="21"/>
  <c r="AB13" i="21"/>
  <c r="AC9" i="34"/>
  <c r="W9" i="34"/>
  <c r="AC24" i="35"/>
  <c r="W24" i="35"/>
  <c r="W24" i="36"/>
  <c r="AC24" i="36"/>
  <c r="AC39" i="37"/>
  <c r="W39" i="37"/>
  <c r="AC13" i="40"/>
  <c r="U11" i="36"/>
  <c r="AB29" i="39"/>
  <c r="AA34" i="33"/>
  <c r="AB23" i="40"/>
  <c r="W15" i="39"/>
  <c r="AA40" i="21"/>
  <c r="AC13" i="33"/>
  <c r="W12" i="34"/>
  <c r="AC30" i="34"/>
  <c r="AA29" i="35"/>
  <c r="AB38" i="34"/>
  <c r="H100" i="40"/>
  <c r="I100" i="40" s="1"/>
  <c r="J100" i="40" s="1"/>
  <c r="K100" i="40" s="1"/>
  <c r="L100" i="40" s="1"/>
  <c r="M100" i="40" s="1"/>
  <c r="AB16" i="39"/>
  <c r="W27" i="39"/>
  <c r="W35" i="40"/>
  <c r="AB14" i="40"/>
  <c r="AC45" i="21"/>
  <c r="U31" i="37"/>
  <c r="AA9" i="21"/>
  <c r="AA23" i="37"/>
  <c r="AB43" i="33"/>
  <c r="AZ520" i="3"/>
  <c r="AZ544" i="3"/>
  <c r="AZ562" i="3"/>
  <c r="AB31" i="33"/>
  <c r="S38" i="37"/>
  <c r="AA38" i="37"/>
  <c r="U13" i="35"/>
  <c r="AB13" i="35"/>
  <c r="AB30" i="33"/>
  <c r="U30" i="33"/>
  <c r="AA31" i="33"/>
  <c r="S31" i="33"/>
  <c r="AZ392" i="3"/>
  <c r="AC34" i="36"/>
  <c r="H5" i="3"/>
  <c r="F9" i="34"/>
  <c r="AA9" i="34" s="1"/>
  <c r="J9" i="35"/>
  <c r="W9" i="35" s="1"/>
  <c r="F34" i="35"/>
  <c r="H24" i="36"/>
  <c r="J25" i="37"/>
  <c r="C92" i="9"/>
  <c r="A30" i="51"/>
  <c r="A30" i="64"/>
  <c r="AZ408" i="3"/>
  <c r="AZ413" i="3"/>
  <c r="AZ424" i="3"/>
  <c r="AZ437" i="3"/>
  <c r="AZ451" i="3"/>
  <c r="AZ457" i="3"/>
  <c r="AZ470" i="3"/>
  <c r="AZ473" i="3"/>
  <c r="AZ318" i="3"/>
  <c r="AZ334" i="3"/>
  <c r="AZ350" i="3"/>
  <c r="AZ208" i="3"/>
  <c r="AZ211" i="3"/>
  <c r="AZ224" i="3"/>
  <c r="AZ227" i="3"/>
  <c r="AZ240" i="3"/>
  <c r="AZ243" i="3"/>
  <c r="AZ256" i="3"/>
  <c r="AZ259" i="3"/>
  <c r="AZ275" i="3"/>
  <c r="AZ279" i="3"/>
  <c r="C18" i="9"/>
  <c r="D18" i="9" s="1"/>
  <c r="M44" i="9" s="1"/>
  <c r="AZ395" i="3"/>
  <c r="AZ397" i="3"/>
  <c r="AZ129" i="3"/>
  <c r="AZ132" i="3"/>
  <c r="AZ145" i="3"/>
  <c r="AZ148" i="3"/>
  <c r="AZ287" i="3"/>
  <c r="AZ291" i="3"/>
  <c r="AZ113" i="3"/>
  <c r="AZ116" i="3"/>
  <c r="AZ156" i="3"/>
  <c r="AZ159" i="3"/>
  <c r="AZ172" i="3"/>
  <c r="AZ175" i="3"/>
  <c r="AZ202" i="3"/>
  <c r="AZ28" i="3"/>
  <c r="AZ34" i="3"/>
  <c r="AZ37" i="3"/>
  <c r="AZ44" i="3"/>
  <c r="AZ50" i="3"/>
  <c r="AZ53" i="3"/>
  <c r="AZ60" i="3"/>
  <c r="BA21" i="3"/>
  <c r="AZ21" i="3" s="1"/>
  <c r="AZ73" i="3"/>
  <c r="AZ87" i="3"/>
  <c r="AZ89" i="3"/>
  <c r="AZ93" i="3"/>
  <c r="K13" i="1"/>
  <c r="M13" i="1" s="1"/>
  <c r="O13" i="1" s="1"/>
  <c r="P13" i="1" s="1"/>
  <c r="D73" i="46"/>
  <c r="N73" i="46"/>
  <c r="F6" i="1"/>
  <c r="G11" i="1"/>
  <c r="M22" i="44"/>
  <c r="F32" i="15"/>
  <c r="F59" i="15" s="1"/>
  <c r="F29" i="12"/>
  <c r="F70" i="9"/>
  <c r="D86" i="9"/>
  <c r="M20" i="44"/>
  <c r="F31" i="43"/>
  <c r="F30" i="44"/>
  <c r="C30" i="44" s="1"/>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44"/>
  <c r="F7" i="68"/>
  <c r="F40" i="15"/>
  <c r="M29" i="68"/>
  <c r="M24" i="15"/>
  <c r="F43" i="68"/>
  <c r="F43" i="15"/>
  <c r="F8" i="15"/>
  <c r="M8" i="44"/>
  <c r="F10" i="44"/>
  <c r="F13" i="15"/>
  <c r="F26" i="15"/>
  <c r="F9" i="15"/>
  <c r="M11" i="44"/>
  <c r="M6" i="15"/>
  <c r="F8" i="44"/>
  <c r="M23" i="15"/>
  <c r="M26" i="44"/>
  <c r="F45" i="44"/>
  <c r="F18" i="44"/>
  <c r="L49" i="44"/>
  <c r="M22" i="15"/>
  <c r="F28" i="44"/>
  <c r="M10" i="44"/>
  <c r="M31" i="44"/>
  <c r="M8" i="15"/>
  <c r="L48" i="68"/>
  <c r="F42" i="15"/>
  <c r="F37" i="15"/>
  <c r="M9" i="15"/>
  <c r="M30" i="44"/>
  <c r="AB32" i="40" l="1"/>
  <c r="W32" i="40"/>
  <c r="W37" i="40"/>
  <c r="U17" i="40"/>
  <c r="S17" i="40"/>
  <c r="L56" i="68"/>
  <c r="I54" i="68"/>
  <c r="J57" i="68"/>
  <c r="J55" i="68" s="1"/>
  <c r="J58" i="68" s="1"/>
  <c r="Q50" i="68" s="1"/>
  <c r="L58" i="68"/>
  <c r="F71" i="68"/>
  <c r="M7" i="68"/>
  <c r="F50" i="68"/>
  <c r="C6" i="68"/>
  <c r="C5" i="68" s="1"/>
  <c r="AB24" i="36"/>
  <c r="U24" i="36"/>
  <c r="Q74" i="68"/>
  <c r="Q61" i="68"/>
  <c r="AA15" i="21"/>
  <c r="C16" i="46"/>
  <c r="C5" i="46" s="1"/>
  <c r="T8" i="46" s="1"/>
  <c r="V8" i="46" s="1"/>
  <c r="AC9" i="35"/>
  <c r="AP6" i="1"/>
  <c r="W25" i="37"/>
  <c r="AC25" i="37"/>
  <c r="AA34" i="35"/>
  <c r="S34" i="35"/>
  <c r="M6" i="1"/>
  <c r="C15" i="43" s="1"/>
  <c r="G6" i="1"/>
  <c r="J53" i="15"/>
  <c r="F1" i="15" s="1"/>
  <c r="I55" i="44"/>
  <c r="J54" i="44"/>
  <c r="J60" i="44"/>
  <c r="J58" i="44"/>
  <c r="J56" i="44" s="1"/>
  <c r="J59" i="44" s="1"/>
  <c r="Q52" i="44" s="1"/>
  <c r="L57" i="44"/>
  <c r="J61" i="44"/>
  <c r="Q50" i="44" s="1"/>
  <c r="E86" i="3"/>
  <c r="AE11" i="46"/>
  <c r="AE13" i="46" s="1"/>
  <c r="F29" i="6"/>
  <c r="F28" i="6"/>
  <c r="C10" i="15"/>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T13" i="46"/>
  <c r="V13" i="46"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G33" i="46"/>
  <c r="I33" i="46" s="1"/>
  <c r="Q16" i="1"/>
  <c r="F18" i="11" s="1"/>
  <c r="C18" i="11" s="1"/>
  <c r="C19" i="11" s="1"/>
  <c r="AP16" i="1"/>
  <c r="F22" i="11" s="1"/>
  <c r="E4" i="4"/>
  <c r="C4" i="4"/>
  <c r="F64" i="15"/>
  <c r="C27" i="15"/>
  <c r="F50" i="15"/>
  <c r="F67" i="15"/>
  <c r="F70" i="15"/>
  <c r="G66" i="36"/>
  <c r="J18" i="36"/>
  <c r="AE8" i="1"/>
  <c r="AE7" i="1"/>
  <c r="F33" i="44"/>
  <c r="F31" i="68"/>
  <c r="M26" i="15"/>
  <c r="M28" i="44"/>
  <c r="C18" i="44"/>
  <c r="L47" i="15"/>
  <c r="F40" i="44"/>
  <c r="F6" i="15"/>
  <c r="J15" i="15"/>
  <c r="F15" i="44"/>
  <c r="F38" i="15"/>
  <c r="F16" i="15"/>
  <c r="F39" i="44"/>
  <c r="J17" i="44"/>
  <c r="C16" i="68"/>
  <c r="M24" i="44"/>
  <c r="F43" i="44"/>
  <c r="F11" i="44"/>
  <c r="F41" i="15"/>
  <c r="J36" i="15"/>
  <c r="M25" i="44"/>
  <c r="M17" i="68"/>
  <c r="L48" i="44"/>
  <c r="L48" i="15"/>
  <c r="M28" i="15"/>
  <c r="F9" i="44"/>
  <c r="F7" i="15"/>
  <c r="M29" i="15"/>
  <c r="F36" i="15"/>
  <c r="F59" i="68"/>
  <c r="C12" i="44" l="1"/>
  <c r="K107" i="46"/>
  <c r="F103" i="46"/>
  <c r="F106" i="46"/>
  <c r="C107" i="46"/>
  <c r="C104" i="46"/>
  <c r="J107" i="46"/>
  <c r="T9" i="46"/>
  <c r="V9" i="46" s="1"/>
  <c r="T10" i="46"/>
  <c r="V10" i="46" s="1"/>
  <c r="C37" i="46"/>
  <c r="G37" i="46" s="1"/>
  <c r="I37" i="46" s="1"/>
  <c r="C39" i="46"/>
  <c r="G39" i="46" s="1"/>
  <c r="I39" i="46" s="1"/>
  <c r="C38" i="46"/>
  <c r="G38" i="46" s="1"/>
  <c r="I38" i="46" s="1"/>
  <c r="T15" i="46"/>
  <c r="V15" i="46" s="1"/>
  <c r="T11" i="46"/>
  <c r="V11" i="46" s="1"/>
  <c r="T16" i="46"/>
  <c r="V16" i="46" s="1"/>
  <c r="T12" i="46"/>
  <c r="V12" i="46" s="1"/>
  <c r="O6" i="1"/>
  <c r="P6" i="1" s="1"/>
  <c r="C15" i="12" s="1"/>
  <c r="I54" i="15"/>
  <c r="L56" i="15"/>
  <c r="J57" i="15"/>
  <c r="J55" i="15" s="1"/>
  <c r="J58" i="15" s="1"/>
  <c r="Q51" i="15" s="1"/>
  <c r="Q72" i="15"/>
  <c r="L59" i="15"/>
  <c r="Q75" i="15" s="1"/>
  <c r="L58" i="15"/>
  <c r="Q74" i="15" s="1"/>
  <c r="Q73" i="44"/>
  <c r="M7" i="15"/>
  <c r="J6" i="15" s="1"/>
  <c r="J5" i="15" s="1"/>
  <c r="J18" i="15" s="1"/>
  <c r="F49" i="15"/>
  <c r="F65" i="15"/>
  <c r="L59" i="44"/>
  <c r="Q75" i="44" s="1"/>
  <c r="L60" i="44"/>
  <c r="Q63" i="44" s="1"/>
  <c r="C6" i="15"/>
  <c r="C5" i="15" s="1"/>
  <c r="F63" i="15"/>
  <c r="M9" i="44"/>
  <c r="J8" i="44" s="1"/>
  <c r="J7" i="44" s="1"/>
  <c r="C8" i="44"/>
  <c r="C7" i="44" s="1"/>
  <c r="C40" i="44" s="1"/>
  <c r="C49" i="68"/>
  <c r="C48" i="68" s="1"/>
  <c r="Q73" i="68"/>
  <c r="Q60" i="68"/>
  <c r="C38" i="68"/>
  <c r="C32" i="68"/>
  <c r="J6" i="68"/>
  <c r="J5" i="68" s="1"/>
  <c r="I116" i="46"/>
  <c r="J116" i="46" s="1"/>
  <c r="K116" i="46" s="1"/>
  <c r="L116" i="46" s="1"/>
  <c r="M116" i="46" s="1"/>
  <c r="K102" i="46"/>
  <c r="K103" i="46"/>
  <c r="K106" i="46"/>
  <c r="F105" i="46"/>
  <c r="F104" i="46"/>
  <c r="F102" i="46"/>
  <c r="C109" i="46"/>
  <c r="C102" i="46"/>
  <c r="C103" i="46"/>
  <c r="J102" i="46"/>
  <c r="J106" i="46"/>
  <c r="H7" i="37"/>
  <c r="J7" i="37"/>
  <c r="W7" i="37" s="1"/>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C23" i="46" s="1"/>
  <c r="C21" i="46" s="1"/>
  <c r="C29" i="46" s="1"/>
  <c r="E29" i="46" s="1"/>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I53" i="34"/>
  <c r="J53" i="34" s="1"/>
  <c r="Q53" i="15"/>
  <c r="AB12" i="39"/>
  <c r="C20" i="11"/>
  <c r="C21" i="11" s="1"/>
  <c r="C22" i="11" s="1"/>
  <c r="C23" i="11" s="1"/>
  <c r="B2" i="11" s="1"/>
  <c r="AC12" i="40"/>
  <c r="W12" i="40"/>
  <c r="E46" i="37"/>
  <c r="F46" i="37" s="1"/>
  <c r="C48" i="33"/>
  <c r="C49" i="33"/>
  <c r="B3" i="33" s="1"/>
  <c r="B2" i="33" s="1"/>
  <c r="M19" i="44"/>
  <c r="M17" i="15"/>
  <c r="F31" i="15"/>
  <c r="F58" i="15"/>
  <c r="M29" i="44"/>
  <c r="L52" i="44"/>
  <c r="AE6" i="1"/>
  <c r="F46" i="44" s="1"/>
  <c r="C16" i="15"/>
  <c r="M27" i="15"/>
  <c r="M27" i="68"/>
  <c r="F41" i="68"/>
  <c r="F69" i="68" l="1"/>
  <c r="Q76" i="44"/>
  <c r="E38" i="46"/>
  <c r="E37" i="46"/>
  <c r="Q62" i="44"/>
  <c r="E39" i="46"/>
  <c r="C30" i="46"/>
  <c r="E30" i="46" s="1"/>
  <c r="C27" i="46" s="1"/>
  <c r="S6" i="46"/>
  <c r="T6" i="46" s="1"/>
  <c r="V6" i="46" s="1"/>
  <c r="S7" i="46"/>
  <c r="T7" i="46" s="1"/>
  <c r="V7" i="46" s="1"/>
  <c r="S4" i="46"/>
  <c r="T4" i="46" s="1"/>
  <c r="V4" i="46" s="1"/>
  <c r="S5" i="46"/>
  <c r="T5" i="46" s="1"/>
  <c r="V5" i="46" s="1"/>
  <c r="S2" i="46"/>
  <c r="T2" i="46" s="1"/>
  <c r="V2" i="46" s="1"/>
  <c r="S3" i="46"/>
  <c r="T3" i="46" s="1"/>
  <c r="V3" i="46" s="1"/>
  <c r="Q61" i="15"/>
  <c r="C66" i="68"/>
  <c r="C60" i="68"/>
  <c r="C48" i="15"/>
  <c r="Q62" i="15"/>
  <c r="J26" i="68"/>
  <c r="J29" i="68" s="1"/>
  <c r="J18" i="68"/>
  <c r="J24"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7" i="67"/>
  <c r="C19" i="44"/>
  <c r="C17" i="15"/>
  <c r="C17" i="68"/>
  <c r="C14" i="68"/>
  <c r="C26" i="46" l="1"/>
  <c r="B2" i="46" s="1"/>
  <c r="D4" i="46" s="1"/>
  <c r="E4" i="67"/>
  <c r="C15" i="68"/>
  <c r="C18" i="68"/>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7" i="67"/>
  <c r="E3" i="67" l="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5" i="15"/>
  <c r="M21" i="68"/>
  <c r="M23" i="44"/>
  <c r="M21" i="15"/>
  <c r="F37" i="44"/>
  <c r="C57" i="68" l="1"/>
  <c r="C64" i="68" s="1"/>
  <c r="J19" i="68"/>
  <c r="J59" i="68"/>
  <c r="J60" i="68" s="1"/>
  <c r="Q48" i="68" s="1"/>
  <c r="C13" i="68"/>
  <c r="Q70" i="68" s="1"/>
  <c r="C33" i="68"/>
  <c r="C36" i="68"/>
  <c r="J14" i="68"/>
  <c r="J22" i="68" s="1"/>
  <c r="Q49" i="68"/>
  <c r="J20" i="68"/>
  <c r="C34" i="68"/>
  <c r="F63" i="68"/>
  <c r="C62" i="68" s="1"/>
  <c r="C75"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7" i="68" l="1"/>
  <c r="C56" i="68"/>
  <c r="C65" i="68" s="1"/>
  <c r="J17" i="68"/>
  <c r="C31" i="68"/>
  <c r="C61" i="68"/>
  <c r="C59" i="68" s="1"/>
  <c r="J13" i="68"/>
  <c r="J23" i="68" s="1"/>
  <c r="C28" i="44"/>
  <c r="C31" i="44" s="1"/>
  <c r="C35" i="44" s="1"/>
  <c r="I5" i="6"/>
  <c r="C26" i="15"/>
  <c r="C29" i="15" s="1"/>
  <c r="J59" i="15" s="1"/>
  <c r="J60" i="15" s="1"/>
  <c r="Q49" i="15" s="1"/>
  <c r="C23" i="12"/>
  <c r="C35" i="12" s="1"/>
  <c r="C33" i="12" s="1"/>
  <c r="C19" i="43"/>
  <c r="C22" i="43" s="1"/>
  <c r="C21" i="43" s="1"/>
  <c r="K67" i="40"/>
  <c r="L65" i="40"/>
  <c r="K72" i="39"/>
  <c r="L70" i="39"/>
  <c r="J16" i="68" l="1"/>
  <c r="J25" i="68" s="1"/>
  <c r="C30" i="68"/>
  <c r="C39" i="68" s="1"/>
  <c r="Q69" i="68" s="1"/>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30" i="43" s="1"/>
  <c r="L72" i="39"/>
  <c r="M70" i="39"/>
  <c r="M65" i="40"/>
  <c r="L67" i="40"/>
  <c r="C33" i="15"/>
  <c r="C80" i="68" l="1"/>
  <c r="C79" i="68" s="1"/>
  <c r="C40" i="68"/>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L51" i="68"/>
  <c r="L57" i="68" l="1"/>
  <c r="L60" i="68" s="1"/>
  <c r="Q66" i="68" s="1"/>
  <c r="Q67" i="68"/>
  <c r="Q57" i="68"/>
  <c r="Q56" i="68"/>
  <c r="Q65" i="68"/>
  <c r="C43" i="68"/>
  <c r="Q47" i="68"/>
  <c r="Q53" i="68" s="1"/>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12"/>
  <c r="B4" i="12"/>
  <c r="B5" i="12"/>
  <c r="B3" i="43"/>
  <c r="B5" i="43"/>
  <c r="B4" i="43"/>
  <c r="J9" i="40"/>
  <c r="F9" i="40"/>
  <c r="H9" i="40"/>
  <c r="J9" i="39"/>
  <c r="H9" i="39"/>
  <c r="F9" i="39"/>
  <c r="Q62" i="68" l="1"/>
  <c r="Q75" i="68"/>
  <c r="L46" i="68"/>
  <c r="D2" i="68" s="1"/>
  <c r="B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68"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0" i="9"/>
  <c r="C20" i="9"/>
  <c r="D21"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<sst xmlns="http://schemas.openxmlformats.org/spreadsheetml/2006/main" count="7315" uniqueCount="3263">
  <si>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</si>
  <si>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</si>
  <si>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</si>
  <si>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</si>
  <si>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</si>
  <si>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</si>
  <si>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</si>
  <si>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</si>
  <si>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</si>
  <si>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</si>
  <si>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</si>
  <si>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</si>
  <si>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</si>
  <si>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</si>
  <si>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</si>
  <si>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</si>
  <si>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</si>
  <si>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</si>
  <si>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</si>
  <si>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</si>
  <si>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</si>
  <si>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</si>
  <si>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</si>
  <si>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</si>
  <si>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</si>
  <si>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</si>
  <si>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</si>
  <si>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</si>
  <si>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</si>
  <si>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</si>
  <si>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</si>
  <si>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</si>
  <si>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</si>
  <si>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</si>
  <si>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</si>
  <si>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</si>
  <si>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</si>
  <si>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</si>
  <si>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</si>
  <si>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</si>
  <si>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</si>
  <si>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</si>
  <si>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</si>
  <si>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</si>
  <si>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</si>
  <si>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</si>
  <si>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</si>
  <si>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</si>
  <si>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</si>
  <si>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</si>
  <si>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</si>
  <si>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</si>
  <si>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</si>
  <si>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</si>
  <si>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</si>
  <si>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</si>
  <si>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</si>
  <si>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</si>
  <si>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</si>
  <si>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</si>
  <si>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</si>
  <si>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</si>
  <si>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</si>
  <si>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</si>
  <si>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</si>
  <si>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</si>
  <si>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</si>
  <si>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</si>
  <si>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</si>
  <si>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</si>
  <si>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</si>
  <si>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</si>
  <si>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</si>
  <si>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</si>
  <si>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</si>
  <si>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</si>
  <si>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</si>
  <si>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</si>
  <si>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</si>
  <si>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</si>
  <si>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</si>
  <si>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</si>
  <si>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</si>
  <si>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</si>
  <si>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</si>
  <si>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</si>
  <si>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</si>
  <si>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</si>
  <si>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</si>
  <si>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</si>
  <si>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</si>
  <si>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</si>
  <si>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</si>
  <si>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</si>
  <si>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</si>
  <si>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</si>
  <si>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</si>
  <si>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</si>
  <si>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</si>
  <si>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</si>
  <si>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</si>
  <si>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</si>
  <si>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</si>
  <si>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</si>
  <si>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</si>
  <si>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</si>
  <si>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</si>
  <si>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</si>
  <si>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</si>
  <si>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</si>
  <si>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</si>
  <si>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</si>
  <si>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</si>
  <si>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</si>
  <si>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</si>
  <si>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</si>
  <si>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</si>
  <si>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</si>
  <si>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</si>
  <si>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</si>
  <si>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</si>
  <si>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</si>
  <si>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</si>
  <si>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</si>
  <si>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</si>
  <si>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</si>
  <si>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</si>
  <si>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</si>
  <si>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</si>
  <si>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</si>
  <si>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</si>
  <si>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</si>
  <si>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</si>
  <si>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</si>
  <si>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</si>
  <si>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</si>
  <si>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</si>
  <si>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</si>
  <si>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</si>
  <si>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</si>
  <si>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</si>
  <si>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</si>
  <si>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</si>
  <si>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</si>
  <si>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</si>
  <si>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</si>
  <si>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</si>
  <si>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</si>
  <si>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</si>
  <si>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</si>
  <si>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</si>
  <si>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</si>
  <si>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</si>
  <si>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</si>
  <si>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</si>
  <si>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</si>
  <si>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</si>
  <si>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</si>
  <si>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</si>
  <si>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</si>
  <si>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</si>
  <si>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</si>
  <si>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</si>
  <si>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</si>
  <si>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</si>
  <si>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</si>
  <si>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</si>
  <si>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</si>
  <si>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</si>
  <si>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</si>
  <si>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</si>
  <si>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</si>
  <si>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</si>
  <si>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</si>
  <si>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</si>
  <si>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</si>
  <si>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</si>
  <si>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</si>
  <si>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</si>
  <si>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</si>
  <si>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</si>
  <si>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</si>
  <si>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</si>
  <si>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</si>
  <si>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</si>
  <si>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</si>
  <si>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</si>
  <si>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</si>
  <si>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</si>
  <si>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</si>
  <si>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</si>
  <si>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</si>
  <si>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</si>
  <si>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</si>
  <si>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</si>
  <si>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</si>
  <si>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</si>
  <si>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</si>
  <si>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</si>
  <si>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</si>
  <si>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</si>
  <si>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</si>
  <si>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</si>
  <si>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</si>
  <si>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</si>
  <si>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</si>
  <si>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</si>
  <si>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</si>
  <si>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</si>
  <si>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</si>
  <si>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</si>
  <si>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</si>
  <si>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</si>
  <si>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</si>
  <si>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</si>
  <si>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</si>
  <si>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</si>
  <si>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</si>
  <si>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</si>
  <si>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</si>
  <si>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</si>
  <si>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</si>
  <si>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</si>
  <si>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</si>
  <si>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</si>
  <si>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</si>
  <si>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</si>
  <si>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</si>
  <si>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</si>
  <si>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</si>
  <si>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</si>
  <si>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</si>
  <si>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</si>
  <si>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</si>
  <si>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</si>
  <si>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</si>
  <si>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</si>
  <si>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</si>
  <si>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</si>
  <si>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</si>
  <si>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</si>
  <si>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</si>
  <si>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</si>
  <si>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</si>
  <si>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</si>
  <si>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</si>
  <si>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</si>
  <si>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</si>
  <si>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</si>
  <si>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</si>
  <si>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</si>
  <si>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</si>
  <si>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</si>
  <si>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</si>
  <si>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</si>
  <si>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</si>
  <si>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</si>
  <si>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</si>
  <si>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</si>
  <si>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</si>
  <si>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</si>
  <si>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</si>
  <si>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</si>
  <si>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</si>
  <si>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</si>
  <si>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</si>
  <si>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</si>
  <si>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</si>
  <si>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</si>
  <si>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</si>
  <si>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</si>
  <si>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</si>
  <si>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</si>
  <si>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</si>
  <si>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</si>
  <si>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</si>
  <si>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</si>
  <si>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</si>
  <si>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</si>
  <si>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</si>
  <si>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</si>
  <si>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</si>
  <si>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</si>
  <si>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</si>
  <si>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</si>
  <si>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</si>
  <si>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</si>
  <si>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</si>
  <si>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</si>
  <si>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</si>
  <si>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</si>
  <si>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</si>
  <si>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</si>
  <si>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</si>
  <si>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</si>
  <si>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</si>
  <si>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</si>
  <si>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</si>
  <si>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</si>
  <si>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</si>
  <si>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</si>
  <si>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</si>
  <si>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</si>
  <si>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</si>
  <si>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</si>
  <si>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</si>
  <si>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</si>
  <si>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</si>
  <si>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</si>
  <si>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</si>
  <si>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</si>
  <si>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</si>
  <si>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</si>
  <si>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</si>
  <si>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</si>
  <si>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</si>
  <si>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</si>
  <si>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</si>
  <si>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</si>
  <si>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</si>
  <si>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</si>
  <si>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</si>
  <si>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</si>
  <si>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</si>
  <si>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</si>
  <si>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</si>
  <si>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</si>
  <si>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</si>
  <si>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</si>
  <si>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</si>
  <si>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</si>
  <si>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</si>
  <si>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</si>
  <si>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</si>
  <si>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</si>
  <si>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</si>
  <si>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</si>
  <si>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</si>
  <si>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</si>
  <si>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</si>
  <si>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</si>
  <si>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</si>
  <si>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</si>
  <si>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</si>
  <si>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</si>
  <si>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</si>
  <si>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</si>
  <si>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</si>
  <si>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</si>
  <si>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</si>
  <si>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</si>
  <si>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</si>
  <si>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</si>
  <si>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</si>
  <si>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</si>
  <si>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</si>
  <si>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</si>
  <si>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</si>
  <si>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</si>
  <si>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</si>
  <si>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</si>
  <si>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</si>
  <si>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</si>
  <si>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</si>
  <si>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</si>
  <si>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</si>
  <si>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</si>
  <si>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</si>
  <si>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</si>
  <si>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</si>
  <si>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</si>
  <si>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</si>
  <si>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</si>
  <si>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</si>
  <si>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</si>
  <si>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</si>
  <si>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</si>
  <si>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</si>
  <si>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</si>
  <si>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</si>
  <si>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</si>
  <si>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</si>
  <si>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</si>
  <si>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</si>
  <si>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</si>
  <si>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</si>
  <si>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</si>
  <si>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</si>
  <si>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</si>
  <si>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</si>
  <si>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</si>
  <si>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</si>
  <si>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</si>
  <si>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</si>
  <si>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</si>
  <si>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</si>
  <si>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</si>
  <si>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</si>
  <si>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</si>
  <si>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</si>
  <si>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</si>
  <si>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</si>
  <si>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</si>
  <si>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</si>
  <si>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</si>
  <si>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</si>
  <si>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</si>
  <si>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</si>
  <si>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</si>
  <si>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</si>
  <si>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</si>
  <si>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</si>
  <si>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</si>
  <si>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</si>
  <si>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</si>
  <si>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</si>
  <si>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</si>
  <si>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</si>
  <si>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</si>
  <si>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</si>
  <si>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</si>
  <si>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</si>
  <si>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</si>
  <si>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</si>
  <si>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</si>
  <si>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</si>
  <si>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</si>
  <si>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</si>
  <si>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</si>
  <si>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</si>
  <si>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</si>
  <si>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</si>
  <si>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</si>
  <si>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</si>
  <si>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</si>
  <si>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</si>
  <si>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</si>
  <si>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</si>
  <si>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</si>
  <si>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</si>
  <si>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</si>
  <si>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</si>
  <si>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</si>
  <si>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</si>
  <si>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</si>
  <si>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</si>
  <si>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</si>
  <si>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</si>
  <si>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</si>
  <si>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</si>
  <si>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</si>
  <si>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</si>
  <si>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</si>
  <si>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</si>
  <si>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</si>
  <si>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</si>
  <si>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</si>
  <si>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</si>
  <si>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</si>
  <si>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</si>
  <si>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</si>
  <si>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</si>
  <si>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</si>
  <si>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</si>
  <si>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</si>
  <si>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</si>
  <si>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</si>
  <si>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</si>
  <si>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</si>
  <si>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</si>
  <si>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</si>
  <si>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</si>
  <si>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</si>
  <si>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</si>
  <si>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</si>
  <si>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</si>
  <si>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</si>
  <si>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</si>
  <si>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</si>
  <si>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</si>
  <si>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</si>
  <si>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</si>
  <si>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</si>
  <si>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</si>
  <si>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</si>
  <si>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</si>
  <si>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</si>
  <si>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</si>
  <si>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</si>
  <si>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</si>
  <si>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</si>
  <si>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</si>
  <si>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</si>
  <si>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</si>
  <si>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</si>
  <si>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</si>
  <si>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</si>
  <si>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</si>
  <si>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</si>
  <si>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</si>
  <si>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</si>
  <si>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</si>
  <si>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</si>
  <si>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</si>
  <si>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</si>
  <si>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</si>
  <si>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</si>
  <si>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</si>
  <si>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</si>
  <si>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</si>
  <si>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</si>
  <si>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</si>
  <si>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</si>
  <si>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</si>
  <si>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</si>
  <si>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</si>
  <si>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</si>
  <si>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</si>
  <si>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</si>
  <si>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</si>
  <si>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</si>
  <si>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</si>
  <si>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</si>
  <si>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</si>
  <si>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</si>
  <si>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</si>
  <si>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</si>
  <si>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</si>
  <si>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</si>
  <si>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</si>
  <si>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</si>
  <si>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</si>
  <si>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</si>
  <si>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</si>
  <si>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</si>
  <si>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</si>
  <si>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</si>
  <si>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</si>
  <si>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</si>
  <si>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</si>
  <si>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</si>
  <si>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</si>
  <si>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</si>
  <si>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</si>
  <si>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</si>
  <si>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</si>
  <si>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</si>
  <si>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</si>
  <si>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</si>
  <si>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</si>
  <si>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</si>
  <si>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</si>
  <si>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</si>
  <si>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</si>
  <si>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</si>
  <si>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</si>
  <si>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</si>
  <si>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</si>
  <si>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</si>
  <si>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</si>
  <si>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</si>
  <si>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</si>
  <si>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</si>
  <si>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</si>
  <si>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</si>
  <si>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</si>
  <si>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</si>
  <si>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</si>
  <si>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</si>
  <si>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</si>
  <si>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</si>
  <si>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</si>
  <si>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</si>
  <si>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</si>
  <si>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</si>
  <si>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</si>
  <si>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</si>
  <si>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</si>
  <si>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</si>
  <si>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</si>
  <si>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</si>
  <si>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</si>
  <si>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</si>
  <si>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</si>
  <si>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</si>
  <si>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</si>
  <si>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</si>
  <si>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</si>
  <si>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</si>
  <si>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</si>
  <si>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</si>
  <si>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</si>
  <si>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</si>
  <si>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</si>
  <si>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</si>
  <si>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</si>
  <si>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</si>
  <si>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</si>
  <si>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</si>
  <si>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</si>
  <si>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</si>
  <si>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</si>
  <si>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</si>
  <si>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</si>
  <si>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</si>
  <si>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</si>
  <si>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</si>
  <si>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</si>
  <si>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</si>
  <si>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</si>
  <si>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</si>
  <si>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</si>
  <si>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</si>
  <si>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</si>
  <si>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</si>
  <si>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</si>
  <si>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</si>
  <si>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</si>
  <si>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</si>
  <si>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</si>
  <si>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</si>
  <si>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</si>
  <si>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</si>
  <si>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</si>
  <si>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</si>
  <si>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</si>
  <si>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</si>
  <si>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</si>
  <si>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</si>
  <si>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</si>
  <si>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</si>
  <si>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</si>
  <si>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</si>
  <si>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</si>
  <si>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</si>
  <si>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</si>
  <si>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</si>
  <si>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</si>
  <si>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</si>
  <si>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</si>
  <si>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</si>
  <si>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</si>
  <si>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</si>
  <si>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</si>
  <si>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</si>
  <si>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</si>
  <si>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</si>
  <si>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</si>
  <si>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</si>
  <si>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</si>
  <si>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</si>
  <si>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</si>
  <si>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</si>
  <si>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</si>
  <si>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</si>
  <si>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</si>
  <si>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</si>
  <si>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</si>
  <si>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</si>
  <si>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</si>
  <si>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</si>
  <si>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</si>
  <si>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</si>
  <si>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</si>
  <si>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</si>
  <si>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</si>
  <si>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</si>
  <si>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</si>
  <si>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</si>
  <si>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</si>
  <si>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</si>
  <si>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</si>
  <si>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</si>
  <si>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</si>
  <si>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</si>
  <si>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</si>
  <si>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</si>
  <si>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</si>
  <si>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</si>
  <si>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</si>
  <si>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</si>
  <si>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</si>
  <si>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</si>
  <si>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</si>
  <si>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</si>
  <si>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</si>
  <si>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</si>
  <si>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</si>
  <si>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</si>
  <si>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</si>
  <si>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</si>
  <si>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</si>
  <si>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</si>
  <si>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</si>
  <si>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</si>
  <si>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</si>
  <si>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</si>
  <si>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</si>
  <si>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</si>
  <si>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</si>
  <si>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</si>
  <si>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</si>
  <si>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</si>
  <si>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</si>
  <si>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</si>
  <si>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</si>
  <si>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</si>
  <si>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</si>
  <si>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</si>
  <si>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</si>
  <si>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</si>
  <si>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</si>
  <si>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</si>
  <si>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</si>
  <si>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</si>
  <si>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</si>
  <si>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</si>
  <si>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</si>
  <si>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</si>
  <si>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</si>
  <si>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</si>
  <si>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</si>
  <si>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</si>
  <si>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</si>
  <si>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</si>
  <si>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</si>
  <si>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</si>
  <si>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</si>
  <si>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</si>
  <si>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</si>
  <si>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</si>
  <si>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</si>
  <si>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</si>
  <si>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</si>
  <si>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</si>
  <si>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</si>
  <si>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</si>
  <si>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</si>
  <si>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</si>
  <si>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</si>
  <si>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</si>
  <si>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</si>
  <si>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</si>
  <si>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</si>
  <si>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</si>
  <si>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</si>
  <si>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</si>
  <si>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</si>
  <si>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</si>
  <si>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</si>
  <si>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</si>
  <si>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</si>
  <si>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</si>
  <si>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</si>
  <si>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</si>
  <si>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</si>
  <si>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</si>
  <si>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</si>
  <si>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</si>
  <si>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</si>
  <si>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</si>
  <si>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</si>
  <si>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</si>
  <si>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</si>
  <si>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</si>
  <si>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</si>
  <si>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</si>
  <si>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</si>
  <si>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</si>
  <si>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</si>
  <si>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</si>
  <si>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</si>
  <si>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</si>
  <si>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</si>
  <si>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</si>
  <si>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</si>
  <si>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</si>
  <si>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</si>
  <si>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</si>
  <si>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</si>
  <si>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</si>
  <si>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</si>
  <si>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</si>
  <si>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</si>
  <si>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</si>
  <si>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</si>
  <si>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</si>
  <si>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</si>
  <si>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</si>
  <si>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</si>
  <si>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</si>
  <si>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</si>
  <si>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</si>
  <si>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</si>
  <si>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</si>
  <si>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</si>
  <si>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</si>
  <si>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</si>
  <si>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</si>
  <si>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</si>
  <si>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</si>
  <si>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</si>
  <si>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</si>
  <si>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</si>
  <si>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</si>
  <si>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</si>
  <si>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</si>
  <si>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</si>
  <si>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</si>
  <si>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</si>
  <si>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</si>
  <si>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</si>
  <si>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</si>
  <si>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</si>
  <si>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</si>
  <si>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</si>
  <si>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</si>
  <si>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</si>
  <si>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</si>
  <si>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</si>
  <si>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</si>
  <si>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</si>
  <si>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</si>
  <si>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</si>
  <si>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</si>
  <si>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</si>
  <si>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</si>
  <si>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</si>
  <si>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</si>
  <si>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</si>
  <si>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</si>
  <si>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</si>
  <si>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</si>
  <si>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</si>
  <si>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</si>
  <si>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</si>
  <si>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</si>
  <si>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</si>
  <si>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</si>
  <si>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</si>
  <si>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</si>
  <si>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</si>
  <si>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</si>
  <si>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</si>
  <si>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</si>
  <si>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</si>
  <si>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</si>
  <si>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</si>
  <si>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</si>
  <si>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</si>
  <si>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</si>
  <si>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</si>
  <si>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</si>
  <si>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</si>
  <si>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</si>
  <si>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</si>
  <si>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</si>
  <si>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</si>
  <si>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</si>
  <si>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</si>
  <si>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</si>
  <si>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</si>
  <si>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</si>
  <si>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</si>
  <si>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</si>
  <si>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</si>
  <si>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</si>
  <si>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</si>
  <si>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</si>
  <si>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</si>
  <si>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</si>
  <si>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</si>
  <si>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</si>
  <si>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</si>
  <si>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</si>
  <si>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</si>
  <si>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</si>
  <si>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</si>
  <si>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</si>
  <si>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</si>
  <si>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</si>
  <si>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</si>
  <si>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</si>
  <si>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</si>
  <si>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</si>
  <si>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</si>
  <si>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</si>
  <si>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</si>
  <si>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</si>
  <si>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</si>
  <si>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</si>
  <si>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</si>
  <si>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</si>
  <si>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</si>
  <si>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</si>
  <si>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</si>
  <si>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</si>
  <si>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</si>
  <si>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</si>
  <si>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</si>
  <si>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</si>
  <si>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</si>
  <si>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</si>
  <si>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</si>
  <si>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</si>
  <si>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</si>
  <si>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</si>
  <si>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</si>
  <si>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</si>
  <si>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</si>
  <si>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</si>
  <si>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</si>
  <si>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</si>
  <si>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</si>
  <si>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</si>
  <si>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</si>
  <si>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</si>
  <si>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</si>
  <si>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</si>
  <si>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</si>
  <si>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</si>
  <si>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</si>
  <si>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</si>
  <si>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</si>
  <si>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</si>
  <si>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</si>
  <si>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</si>
  <si>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</si>
  <si>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</si>
  <si>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</si>
  <si>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</si>
  <si>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</si>
  <si>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</si>
  <si>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</si>
  <si>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</si>
  <si>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</si>
  <si>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</si>
  <si>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</si>
  <si>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</si>
  <si>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</si>
  <si>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</si>
  <si>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</si>
  <si>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</si>
  <si>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</si>
  <si>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</si>
  <si>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</si>
  <si>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</si>
  <si>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</si>
  <si>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</si>
  <si>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</si>
  <si>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</si>
  <si>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</si>
  <si>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</si>
  <si>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</si>
  <si>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</si>
  <si>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</si>
  <si>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</si>
  <si>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</si>
  <si>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</si>
  <si>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</si>
  <si>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</si>
  <si>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</si>
  <si>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</si>
  <si>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</si>
  <si>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</si>
  <si>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</si>
  <si>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</si>
  <si>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</si>
  <si>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</si>
  <si>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</si>
  <si>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</si>
  <si>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</si>
  <si>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</si>
  <si>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</si>
  <si>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</si>
  <si>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</si>
  <si>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</si>
  <si>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</si>
  <si>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</si>
  <si>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</si>
  <si>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</si>
  <si>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</si>
  <si>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</si>
  <si>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</si>
  <si>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</si>
  <si>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</si>
  <si>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</si>
  <si>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</si>
  <si>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</si>
  <si>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</si>
  <si>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</si>
  <si>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</si>
  <si>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</si>
  <si>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</si>
  <si>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</si>
  <si>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</si>
  <si>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</si>
  <si>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</si>
  <si>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</si>
  <si>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</si>
  <si>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</si>
  <si>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</si>
  <si>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</si>
  <si>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</si>
  <si>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</si>
  <si>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</si>
  <si>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</si>
  <si>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</si>
  <si>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</si>
  <si>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</si>
  <si>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</si>
  <si>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</si>
  <si>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</si>
  <si>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</si>
  <si>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</si>
  <si>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</si>
  <si>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</si>
  <si>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</si>
  <si>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</si>
  <si>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</si>
  <si>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</si>
  <si>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</si>
  <si>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</si>
  <si>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</si>
  <si>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</si>
  <si>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</si>
  <si>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</si>
  <si>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</si>
  <si>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</si>
  <si>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</si>
  <si>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</si>
  <si>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</si>
  <si>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</si>
  <si>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</si>
  <si>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</si>
  <si>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</si>
  <si>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</si>
  <si>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</si>
  <si>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</si>
  <si>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</si>
  <si>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</si>
  <si>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</si>
  <si>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</si>
  <si>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</si>
  <si>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</si>
  <si>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</si>
  <si>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</si>
  <si>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</si>
  <si>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</si>
  <si>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</si>
  <si>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</si>
  <si>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</si>
  <si>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</si>
  <si>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</si>
  <si>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</si>
  <si>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</si>
  <si>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</si>
  <si>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</si>
  <si>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</si>
  <si>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</si>
  <si>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</si>
  <si>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</si>
  <si>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</si>
  <si>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</si>
  <si>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</si>
  <si>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</si>
  <si>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</si>
  <si>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</si>
  <si>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</si>
  <si>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</si>
  <si>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</si>
  <si>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</si>
  <si>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</si>
  <si>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</si>
  <si>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</si>
  <si>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</si>
  <si>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</si>
  <si>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</si>
  <si>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</si>
  <si>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</si>
  <si>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</si>
  <si>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</si>
  <si>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</si>
  <si>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</si>
  <si>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</si>
  <si>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</si>
  <si>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</si>
  <si>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</si>
  <si>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</si>
  <si>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</si>
  <si>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</si>
  <si>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</si>
  <si>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</si>
  <si>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</si>
  <si>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</si>
  <si>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</si>
  <si>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</si>
  <si>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</si>
  <si>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</si>
  <si>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</si>
  <si>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</si>
  <si>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</si>
  <si>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</si>
  <si>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</si>
  <si>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</si>
  <si>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</si>
  <si>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</si>
  <si>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</si>
  <si>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</si>
  <si>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</si>
  <si>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</si>
  <si>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</si>
  <si>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</si>
  <si>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</si>
  <si>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</si>
  <si>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</si>
  <si>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</si>
  <si>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</si>
  <si>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</si>
  <si>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</si>
  <si>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</si>
  <si>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</si>
  <si>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</si>
  <si>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</si>
  <si>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</si>
  <si>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</si>
  <si>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</si>
  <si>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</si>
  <si>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</si>
  <si>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</si>
  <si>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</si>
  <si>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</si>
  <si>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</si>
  <si>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</si>
  <si>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</si>
  <si>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</si>
  <si>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</si>
  <si>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</si>
  <si>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</si>
  <si>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</si>
  <si>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</si>
  <si>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</si>
  <si>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</si>
  <si>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</si>
  <si>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</si>
  <si>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</si>
  <si>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</si>
  <si>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</si>
  <si>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</si>
  <si>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</si>
  <si>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</si>
  <si>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</si>
  <si>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</si>
  <si>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</si>
  <si>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</si>
  <si>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</si>
  <si>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</si>
  <si>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</si>
  <si>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</si>
  <si>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</si>
  <si>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</si>
  <si>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</si>
  <si>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</si>
  <si>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</si>
  <si>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</si>
  <si>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</si>
  <si>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</si>
  <si>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</si>
  <si>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</si>
  <si>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</si>
  <si>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</si>
  <si>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</si>
  <si>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</si>
  <si>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</si>
  <si>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</si>
  <si>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</si>
  <si>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</si>
  <si>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</si>
  <si>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</si>
  <si>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</si>
  <si>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</si>
  <si>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</si>
  <si>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</si>
  <si>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</si>
  <si>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</si>
  <si>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</si>
  <si>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</si>
  <si>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</si>
  <si>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</si>
  <si>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</si>
  <si>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</si>
  <si>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</si>
  <si>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</si>
  <si>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</si>
  <si>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</si>
  <si>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</si>
  <si>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</si>
  <si>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</si>
  <si>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</si>
  <si>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</si>
  <si>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</si>
  <si>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</si>
  <si>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</si>
  <si>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</si>
  <si>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</si>
  <si>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</si>
  <si>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</si>
  <si>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</si>
  <si>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</si>
  <si>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</si>
  <si>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</si>
  <si>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</si>
  <si>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</si>
  <si>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</si>
  <si>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</si>
  <si>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</si>
  <si>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</si>
  <si>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</si>
  <si>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</si>
  <si>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</si>
  <si>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</si>
  <si>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</si>
  <si>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</si>
  <si>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</si>
  <si>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</si>
  <si>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</si>
  <si>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</si>
  <si>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</si>
  <si>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</si>
  <si>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</si>
  <si>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</si>
  <si>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</si>
  <si>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</si>
  <si>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</si>
  <si>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</si>
  <si>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</si>
  <si>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</si>
  <si>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</si>
  <si>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</si>
  <si>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</si>
  <si>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</si>
  <si>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</si>
  <si>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</si>
  <si>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</si>
  <si>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</si>
  <si>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</si>
  <si>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</si>
  <si>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</si>
  <si>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</si>
  <si>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</si>
  <si>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</si>
  <si>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</si>
  <si>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</si>
  <si>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</si>
  <si>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</si>
  <si>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</si>
  <si>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</si>
  <si>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</si>
  <si>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</si>
  <si>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</si>
  <si>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</si>
  <si>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</si>
  <si>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</si>
  <si>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</si>
  <si>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</si>
  <si>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</si>
  <si>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</si>
  <si>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</si>
  <si>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</si>
  <si>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</si>
  <si>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</si>
  <si>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</si>
  <si>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</si>
  <si>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</si>
  <si>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</si>
  <si>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</si>
  <si>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</si>
  <si>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</si>
  <si>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</si>
  <si>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</si>
  <si>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</si>
  <si>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</si>
  <si>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</si>
  <si>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</si>
  <si>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</si>
  <si>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</si>
  <si>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</si>
  <si>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</si>
  <si>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</si>
  <si>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</si>
  <si>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</si>
  <si>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</si>
  <si>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</si>
  <si>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</si>
  <si>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</si>
  <si>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</si>
  <si>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</si>
  <si>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</si>
  <si>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</si>
  <si>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</si>
  <si>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</si>
  <si>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</si>
  <si>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</si>
  <si>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</si>
  <si>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</si>
  <si>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</si>
  <si>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</si>
  <si>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</si>
  <si>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</si>
  <si>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</si>
  <si>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</si>
  <si>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</si>
  <si>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</si>
  <si>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</si>
  <si>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</si>
  <si>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</si>
  <si>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</si>
  <si>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</si>
  <si>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</si>
  <si>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</si>
  <si>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</si>
  <si>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</si>
  <si>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</si>
  <si>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</si>
  <si>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</si>
  <si>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</si>
  <si>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</si>
  <si>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</si>
  <si>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</si>
  <si>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</si>
  <si>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</si>
  <si>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</si>
  <si>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</si>
  <si>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</si>
  <si>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</si>
  <si>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</si>
  <si>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</si>
  <si>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</si>
  <si>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</si>
  <si>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</si>
  <si>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</si>
  <si>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</si>
  <si>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</si>
  <si>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</si>
  <si>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</si>
  <si>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</si>
  <si>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</si>
  <si>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</si>
  <si>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</si>
  <si>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</si>
  <si>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</si>
  <si>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</si>
  <si>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</si>
  <si>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</si>
  <si>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</si>
  <si>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</si>
  <si>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</si>
  <si>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</si>
  <si>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</si>
  <si>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</si>
  <si>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</si>
  <si>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</si>
  <si>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</si>
  <si>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</si>
  <si>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</si>
  <si>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</si>
  <si>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</si>
  <si>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</si>
  <si>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</si>
  <si>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</si>
  <si>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</si>
  <si>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</si>
  <si>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</si>
  <si>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</si>
  <si>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</si>
  <si>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</si>
  <si>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</si>
  <si>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</si>
  <si>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</si>
  <si>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</si>
  <si>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</si>
  <si>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</si>
  <si>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</si>
  <si>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</si>
  <si>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</si>
  <si>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</si>
  <si>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</si>
  <si>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</si>
  <si>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</si>
  <si>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</si>
  <si>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</si>
  <si>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</si>
  <si>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</si>
  <si>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</si>
  <si>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</si>
  <si>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</si>
  <si>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</si>
  <si>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</si>
  <si>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</si>
  <si>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</si>
  <si>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</si>
  <si>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</si>
  <si>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</si>
  <si>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</si>
  <si>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</si>
  <si>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</si>
  <si>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</si>
  <si>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</si>
  <si>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</si>
  <si>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</si>
  <si>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</si>
  <si>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</si>
  <si>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</si>
  <si>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</si>
  <si>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</si>
  <si>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</si>
  <si>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</si>
  <si>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</si>
  <si>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</si>
  <si>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</si>
  <si>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</si>
  <si>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</si>
  <si>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</si>
  <si>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</si>
  <si>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</si>
  <si>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</si>
  <si>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</si>
  <si>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</si>
  <si>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</si>
  <si>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</si>
  <si>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</si>
  <si>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</si>
  <si>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</si>
  <si>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</si>
  <si>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</si>
  <si>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</si>
  <si>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</si>
  <si>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</si>
  <si>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</si>
  <si>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</si>
  <si>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</si>
  <si>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</si>
  <si>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</si>
  <si>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</si>
  <si>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</si>
  <si>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</si>
  <si>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</si>
  <si>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</si>
  <si>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</si>
  <si>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</si>
  <si>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</si>
  <si>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</si>
  <si>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</si>
  <si>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</si>
  <si>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</si>
  <si>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</si>
  <si>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</si>
  <si>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</si>
  <si>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</si>
  <si>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</si>
  <si>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</si>
  <si>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</si>
  <si>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</si>
  <si>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</si>
  <si>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</si>
  <si>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</si>
  <si>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</si>
  <si>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</si>
  <si>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</si>
  <si>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</si>
  <si>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</si>
  <si>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</si>
  <si>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</si>
  <si>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</si>
  <si>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</si>
  <si>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</si>
  <si>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</si>
  <si>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</si>
  <si>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</si>
  <si>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</si>
  <si>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</si>
  <si>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</si>
  <si>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</si>
  <si>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</si>
  <si>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</si>
  <si>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</si>
  <si>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</si>
  <si>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</si>
  <si>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</si>
  <si>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</si>
  <si>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</si>
  <si>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</si>
  <si>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</si>
  <si>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</si>
  <si>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</si>
  <si>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</si>
  <si>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</si>
  <si>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</si>
  <si>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</si>
  <si>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</si>
  <si>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</si>
  <si>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</si>
  <si>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</si>
  <si>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</si>
  <si>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</si>
  <si>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</si>
  <si>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</si>
  <si>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</si>
  <si>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</si>
  <si>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</si>
  <si>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</si>
  <si>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</si>
  <si>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</si>
  <si>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</si>
  <si>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</si>
  <si>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</si>
  <si>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</si>
  <si>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</si>
  <si>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</si>
  <si>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</si>
  <si>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</si>
  <si>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</si>
  <si>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</si>
  <si>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</si>
  <si>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</si>
  <si>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</si>
  <si>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</si>
  <si>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</si>
  <si>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</si>
  <si>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</si>
  <si>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</si>
  <si>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</si>
  <si>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</si>
  <si>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</si>
  <si>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</si>
  <si>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</si>
  <si>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</si>
  <si>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</si>
  <si>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</si>
  <si>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</si>
  <si>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</si>
  <si>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</si>
  <si>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</si>
  <si>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</si>
  <si>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</si>
  <si>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</si>
  <si>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</si>
  <si>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</si>
  <si>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</si>
  <si>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</si>
  <si>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</si>
  <si>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</si>
  <si>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</si>
  <si>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</si>
  <si>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</si>
  <si>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</si>
  <si>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</si>
  <si>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</si>
  <si>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</si>
  <si>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</si>
  <si>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</si>
  <si>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</si>
  <si>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</si>
  <si>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</si>
  <si>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</si>
  <si>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</si>
  <si>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</si>
  <si>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</si>
  <si>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</si>
  <si>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</si>
  <si>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</si>
  <si>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</si>
  <si>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</si>
  <si>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</si>
  <si>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</si>
  <si>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</si>
  <si>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</si>
  <si>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</si>
  <si>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</si>
  <si>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</si>
  <si>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</si>
  <si>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</si>
  <si>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</si>
  <si>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</si>
  <si>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</si>
  <si>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</si>
  <si>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</si>
  <si>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</si>
  <si>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</si>
  <si>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</si>
  <si>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</si>
  <si>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</si>
  <si>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</si>
  <si>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</si>
  <si>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</si>
  <si>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</si>
  <si>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</si>
  <si>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</si>
  <si>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</si>
  <si>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</si>
  <si>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</si>
  <si>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</si>
  <si>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</si>
  <si>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</si>
  <si>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</si>
  <si>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</si>
  <si>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</si>
  <si>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</si>
  <si>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</si>
  <si>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</si>
  <si>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</si>
  <si>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</si>
  <si>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</si>
  <si>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</si>
  <si>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</si>
  <si>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</si>
  <si>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</si>
  <si>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</si>
  <si>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</si>
  <si>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</si>
  <si>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</si>
  <si>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</si>
  <si>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</si>
  <si>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</si>
  <si>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</si>
  <si>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</si>
  <si>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</si>
  <si>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</si>
  <si>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</si>
  <si>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</si>
  <si>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</si>
  <si>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</si>
  <si>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</si>
  <si>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</si>
  <si>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</si>
  <si>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</si>
  <si>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</si>
  <si>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</si>
  <si>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</si>
  <si>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</si>
  <si>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</si>
  <si>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</si>
  <si>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</si>
  <si>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</si>
  <si>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</si>
  <si>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</si>
  <si>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</si>
  <si>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</si>
  <si>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</si>
  <si>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</si>
  <si>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</si>
  <si>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</si>
  <si>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</si>
  <si>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</si>
  <si>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</si>
  <si>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</si>
  <si>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</si>
  <si>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</si>
  <si>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</si>
  <si>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</si>
  <si>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</si>
  <si>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</si>
  <si>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</si>
  <si>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</si>
  <si>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</si>
  <si>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</si>
  <si>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</si>
  <si>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</si>
  <si>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</si>
  <si>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</si>
  <si>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</si>
  <si>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</si>
  <si>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</si>
  <si>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</si>
  <si>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</si>
  <si>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</si>
  <si>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</si>
  <si>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</si>
  <si>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</si>
  <si>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</si>
  <si>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</si>
  <si>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</si>
  <si>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</si>
  <si>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</si>
  <si>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</si>
  <si>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</si>
  <si>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</si>
  <si>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</si>
  <si>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</si>
  <si>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</si>
  <si>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</si>
  <si>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</si>
  <si>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</si>
  <si>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</si>
  <si>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</si>
  <si>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</si>
  <si>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</si>
  <si>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</si>
  <si>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</si>
  <si>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</si>
  <si>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</si>
  <si>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</si>
  <si>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</si>
  <si>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</si>
  <si>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</si>
  <si>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</si>
  <si>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</si>
  <si>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</si>
  <si>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</si>
  <si>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</si>
  <si>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</si>
  <si>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</si>
  <si>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</si>
  <si>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</si>
  <si>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</si>
  <si>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</si>
  <si>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</si>
  <si>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</si>
  <si>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</si>
  <si>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</si>
  <si>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</si>
  <si>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</si>
  <si>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</si>
  <si>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</si>
  <si>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</si>
  <si>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</si>
  <si>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</si>
  <si>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</si>
  <si>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</si>
  <si>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</si>
  <si>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</si>
  <si>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</si>
  <si>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</si>
  <si>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</si>
  <si>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</si>
  <si>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</si>
  <si>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</si>
  <si>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</si>
  <si>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</si>
  <si>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</si>
  <si>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</si>
  <si>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</si>
  <si>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</si>
  <si>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</si>
  <si>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</si>
  <si>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</si>
  <si>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</si>
  <si>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</si>
  <si>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</si>
  <si>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</si>
  <si>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</si>
  <si>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</si>
  <si>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</si>
  <si>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</si>
  <si>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</si>
  <si>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</si>
  <si>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</si>
  <si>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</si>
  <si>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</si>
  <si>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</si>
  <si>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</si>
  <si>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</si>
  <si>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</si>
  <si>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</si>
  <si>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</si>
  <si>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</si>
  <si>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</si>
  <si>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</si>
  <si>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</si>
  <si>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</si>
  <si>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</si>
  <si>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</si>
  <si>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</si>
  <si>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</si>
  <si>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</si>
  <si>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</si>
  <si>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</si>
  <si>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</si>
  <si>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</si>
  <si>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</si>
  <si>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</si>
  <si>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</si>
  <si>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</si>
  <si>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</si>
  <si>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</si>
  <si>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</si>
  <si>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</si>
  <si>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</si>
  <si>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</si>
  <si>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</si>
  <si>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</si>
  <si>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</si>
  <si>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</si>
  <si>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</si>
  <si>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</si>
  <si>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</si>
  <si>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</si>
  <si>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</si>
  <si>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</si>
  <si>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</si>
  <si>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</si>
  <si>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</si>
  <si>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</si>
  <si>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</si>
  <si>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</si>
  <si>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</si>
  <si>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</si>
  <si>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</si>
  <si>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</si>
  <si>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</si>
  <si>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</si>
  <si>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</si>
  <si>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</si>
  <si>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</si>
  <si>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</si>
  <si>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</si>
  <si>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</si>
  <si>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</si>
  <si>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</si>
  <si>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</si>
  <si>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</si>
  <si>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</si>
  <si>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</si>
  <si>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</si>
  <si>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</si>
  <si>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</si>
  <si>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</si>
  <si>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</si>
  <si>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</si>
  <si>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</si>
  <si>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</si>
  <si>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</si>
  <si>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</si>
  <si>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</si>
  <si>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</si>
  <si>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</si>
  <si>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</si>
  <si>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</si>
  <si>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</si>
  <si>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</si>
  <si>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</si>
  <si>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</si>
  <si>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</si>
  <si>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</si>
  <si>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</si>
  <si>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</si>
  <si>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</si>
  <si>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</si>
  <si>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</si>
  <si>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</si>
  <si>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</si>
  <si>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</si>
  <si>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</si>
  <si>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</si>
  <si>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</si>
  <si>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</si>
  <si>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</si>
  <si>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</si>
  <si>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</si>
  <si>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</si>
  <si>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</si>
  <si>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</si>
  <si>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</si>
  <si>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</si>
  <si>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</si>
  <si>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</si>
  <si>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</si>
  <si>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</si>
  <si>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</si>
  <si>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</si>
  <si>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</si>
  <si>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</si>
  <si>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</si>
  <si>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</si>
  <si>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</si>
  <si>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</si>
  <si>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</si>
  <si>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</si>
  <si>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</si>
  <si>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</si>
  <si>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</si>
  <si>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</si>
  <si>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</si>
  <si>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</si>
  <si>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</si>
  <si>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</si>
  <si>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</si>
  <si>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</si>
  <si>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</si>
  <si>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</si>
  <si>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</si>
  <si>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</si>
  <si>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</si>
  <si>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</si>
  <si>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</si>
  <si>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</si>
  <si>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</si>
  <si>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</si>
  <si>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</si>
  <si>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</si>
  <si>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</si>
  <si>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</si>
  <si>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</si>
  <si>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</si>
  <si>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</si>
  <si>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</si>
  <si>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</si>
  <si>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</si>
  <si>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</si>
  <si>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</si>
  <si>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</si>
  <si>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</si>
  <si>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</si>
  <si>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</si>
  <si>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</si>
  <si>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</si>
  <si>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</si>
  <si>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</si>
  <si>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</si>
  <si>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</si>
  <si>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</si>
  <si>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</si>
  <si>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</si>
  <si>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</si>
  <si>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</si>
  <si>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</si>
  <si>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</si>
  <si>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</si>
  <si>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</si>
  <si>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</si>
  <si>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</si>
  <si>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</si>
  <si>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</si>
  <si>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</si>
  <si>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</si>
  <si>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</si>
  <si>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</si>
  <si>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</si>
  <si>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</si>
  <si>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</si>
  <si>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</si>
  <si>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</si>
  <si>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</si>
  <si>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</si>
  <si>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</si>
  <si>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</si>
  <si>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</si>
  <si>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</si>
  <si>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</si>
  <si>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</si>
  <si>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</si>
  <si>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</si>
  <si>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</si>
  <si>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</si>
  <si>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</si>
  <si>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</si>
  <si>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</si>
  <si>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</si>
  <si>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</si>
  <si>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</si>
  <si>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</si>
  <si>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</si>
  <si>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</si>
  <si>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</si>
  <si>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</si>
  <si>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</si>
  <si>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</si>
  <si>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</si>
  <si>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</si>
  <si>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</si>
  <si>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</si>
  <si>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</si>
  <si>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</si>
  <si>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</si>
  <si>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</si>
  <si>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</si>
  <si>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</si>
  <si>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</si>
  <si>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</si>
  <si>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</si>
  <si>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</si>
  <si>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</si>
  <si>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</si>
  <si>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</si>
  <si>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</si>
  <si>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</si>
  <si>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</si>
  <si>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</si>
  <si>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</si>
  <si>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</si>
  <si>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</si>
  <si>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</si>
  <si>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</si>
  <si>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</si>
  <si>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</si>
  <si>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</si>
  <si>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</si>
  <si>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</si>
  <si>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</si>
  <si>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</si>
  <si>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</si>
  <si>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</si>
  <si>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</si>
  <si>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</si>
  <si>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</si>
  <si>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</si>
  <si>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</si>
  <si>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</si>
  <si>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</si>
  <si>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</si>
  <si>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</si>
  <si>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</si>
  <si>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</si>
  <si>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</si>
  <si>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</si>
  <si>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</si>
  <si>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</si>
  <si>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</si>
  <si>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</si>
  <si>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</si>
  <si>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</si>
  <si>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</si>
  <si>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</si>
  <si>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</si>
  <si>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</si>
  <si>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</si>
  <si>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</si>
  <si>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</si>
  <si>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</si>
  <si>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</si>
  <si>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</si>
  <si>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</si>
  <si>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</si>
  <si>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</si>
  <si>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</si>
  <si>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</si>
  <si>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</si>
  <si>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</si>
  <si>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</si>
  <si>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</si>
  <si>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</si>
  <si>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</si>
  <si>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</si>
  <si>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</si>
  <si>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</si>
  <si>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</si>
  <si>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</si>
  <si>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</si>
  <si>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</si>
  <si>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</si>
  <si>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</si>
  <si>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</si>
  <si>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</si>
  <si>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</si>
  <si>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</si>
  <si>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</si>
  <si>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</si>
  <si>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</si>
  <si>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</si>
  <si>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</si>
  <si>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</si>
  <si>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</si>
  <si>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</si>
  <si>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</si>
  <si>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</si>
  <si>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</si>
  <si>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</si>
  <si>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</si>
  <si>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</si>
  <si>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</si>
  <si>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</si>
  <si>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</si>
  <si>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</si>
  <si>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</si>
  <si>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</si>
  <si>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</si>
  <si>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</si>
  <si>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</si>
  <si>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</si>
  <si>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</si>
  <si>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</si>
  <si>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</si>
  <si>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</si>
  <si>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</si>
  <si>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</si>
  <si>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</si>
  <si>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</si>
  <si>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</si>
  <si>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</si>
  <si>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</si>
  <si>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</si>
  <si>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</si>
  <si>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</si>
  <si>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</si>
  <si>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</si>
  <si>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</si>
  <si>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</si>
  <si>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</si>
  <si>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</si>
  <si>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</si>
  <si>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</si>
  <si>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</si>
  <si>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</si>
  <si>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</si>
  <si>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</si>
  <si>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</si>
  <si>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</si>
  <si>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</si>
  <si>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</si>
  <si>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</si>
  <si>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</si>
  <si>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</si>
  <si>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</si>
  <si>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</si>
  <si>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</si>
  <si>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</si>
  <si>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</si>
  <si>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</si>
  <si>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</si>
  <si>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</si>
  <si>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</si>
  <si>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</si>
  <si>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</si>
  <si>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</si>
  <si>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</si>
  <si>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</si>
  <si>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</si>
  <si>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</si>
  <si>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</si>
  <si>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</si>
  <si>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</si>
  <si>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</si>
  <si>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</si>
  <si>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</si>
  <si>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</si>
  <si>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</si>
  <si>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</si>
  <si>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</si>
  <si>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</si>
  <si>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</si>
  <si>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</si>
  <si>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</si>
  <si>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</si>
  <si>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</si>
  <si>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</si>
  <si>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</si>
  <si>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</si>
  <si>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</si>
  <si>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</si>
  <si>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</si>
  <si>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</si>
  <si>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</si>
  <si>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</si>
  <si>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</si>
  <si>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</si>
  <si>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</si>
  <si>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</si>
  <si>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</si>
  <si>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</si>
  <si>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</si>
  <si>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</si>
  <si>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</si>
  <si>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</si>
  <si>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</si>
  <si>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</si>
  <si>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</si>
  <si>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</si>
  <si>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</si>
  <si>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</si>
  <si>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</si>
  <si>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</si>
  <si>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</si>
  <si>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</si>
  <si>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</si>
  <si>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</si>
  <si>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</si>
  <si>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</si>
  <si>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</si>
  <si>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</si>
  <si>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</si>
  <si>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</si>
  <si>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</si>
  <si>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</si>
  <si>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</si>
  <si>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</si>
  <si>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</si>
  <si>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</si>
  <si>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</si>
  <si>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</si>
  <si>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</si>
  <si>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</si>
  <si>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</si>
  <si>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</si>
  <si>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</si>
  <si>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</si>
  <si>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</si>
  <si>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</si>
  <si>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</si>
  <si>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</si>
  <si>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</si>
  <si>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</si>
  <si>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</si>
  <si>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</si>
  <si>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</si>
  <si>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</si>
  <si>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</si>
  <si>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</si>
  <si>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</si>
  <si>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</si>
  <si>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</si>
  <si>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</si>
  <si>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</si>
  <si>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</si>
  <si>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</si>
  <si>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</si>
  <si>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</si>
  <si>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</si>
  <si>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</si>
  <si>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</si>
  <si>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</si>
  <si>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</si>
  <si>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</si>
  <si>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</si>
  <si>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</si>
  <si>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</si>
  <si>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</si>
  <si>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</si>
  <si>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</si>
  <si>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</si>
  <si>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</si>
  <si>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</si>
  <si>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</si>
  <si>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</si>
  <si>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</si>
  <si>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</si>
  <si>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</si>
  <si>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</si>
  <si>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</si>
  <si>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</si>
  <si>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</si>
  <si>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</si>
  <si>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</si>
  <si>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</si>
  <si>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</si>
  <si>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</si>
  <si>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</si>
  <si>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</si>
  <si>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</si>
  <si>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</si>
  <si>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</si>
  <si>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</si>
  <si>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</si>
  <si>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</si>
  <si>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</si>
  <si>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</si>
  <si>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</si>
  <si>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</si>
  <si>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</si>
  <si>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</si>
  <si>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</si>
  <si>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</si>
  <si>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</si>
  <si>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</si>
  <si>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</si>
  <si>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</si>
  <si>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</si>
  <si>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</si>
  <si>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</si>
  <si>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</si>
  <si>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</si>
  <si>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</si>
  <si>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</si>
  <si>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</si>
  <si>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</si>
  <si>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</si>
  <si>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</si>
  <si>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</si>
  <si>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</si>
  <si>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</si>
  <si>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</si>
  <si>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</si>
  <si>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</si>
  <si>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</si>
  <si>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</si>
  <si>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</si>
  <si>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</si>
  <si>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</si>
  <si>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</si>
  <si>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</si>
  <si>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</si>
  <si>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</si>
  <si>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</si>
  <si>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</si>
  <si>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</si>
  <si>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</si>
  <si>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</si>
  <si>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</si>
  <si>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</si>
  <si>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</si>
  <si>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</si>
  <si>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</si>
  <si>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</si>
  <si>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</si>
  <si>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</si>
  <si>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</si>
  <si>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</si>
  <si>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</si>
  <si>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</si>
  <si>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</si>
  <si>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</si>
  <si>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</si>
  <si>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</si>
  <si>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</si>
  <si>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</si>
  <si>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</si>
  <si>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</si>
  <si>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</si>
  <si>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</si>
  <si>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</si>
  <si>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</si>
  <si>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</si>
  <si>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</si>
  <si>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</si>
  <si>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</si>
  <si>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</si>
  <si>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</si>
  <si>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</si>
  <si>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</si>
  <si>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</si>
  <si>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</si>
  <si>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</si>
  <si>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</si>
  <si>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</si>
  <si>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</si>
  <si>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</si>
  <si>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</si>
  <si>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</si>
  <si>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</si>
  <si>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</si>
  <si>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</si>
  <si>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</si>
  <si>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</si>
  <si>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</si>
  <si>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</si>
  <si>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</si>
  <si>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</si>
  <si>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</si>
  <si>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</si>
  <si>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</si>
  <si>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</si>
  <si>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</si>
  <si>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</si>
  <si>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</si>
  <si>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</si>
  <si>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</si>
  <si>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</si>
  <si>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</si>
  <si>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</si>
  <si>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</si>
  <si>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</si>
  <si>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</si>
  <si>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</si>
  <si>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</si>
  <si>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</si>
  <si>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</si>
  <si>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</si>
  <si>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</si>
  <si>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</si>
  <si>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</si>
  <si>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</si>
  <si>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</si>
  <si>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</si>
  <si>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</si>
  <si>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</si>
  <si>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</si>
  <si>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</si>
  <si>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</si>
  <si>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</si>
  <si>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</si>
  <si>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</si>
  <si>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</si>
  <si>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</si>
  <si>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</si>
  <si>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</si>
  <si>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</si>
  <si>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</si>
  <si>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</si>
  <si>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</si>
  <si>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</si>
  <si>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</si>
  <si>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</si>
  <si>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</si>
  <si>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</si>
  <si>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</si>
  <si>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</si>
  <si>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</si>
  <si>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</si>
  <si>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</si>
  <si>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</si>
  <si>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</si>
  <si>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</si>
  <si>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</si>
  <si>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</si>
  <si>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</si>
  <si>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</si>
  <si>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</si>
  <si>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</si>
  <si>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</si>
  <si>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</si>
  <si>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</si>
  <si>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</si>
  <si>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</si>
  <si>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</si>
  <si>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</si>
  <si>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</si>
  <si>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</si>
  <si>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</si>
  <si>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</si>
  <si>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</si>
  <si>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</si>
  <si>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</si>
  <si>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</si>
  <si>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</si>
  <si>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</si>
  <si>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</si>
  <si>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</si>
  <si>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</si>
  <si>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</si>
  <si>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</si>
  <si>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</si>
  <si>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</si>
  <si>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</si>
  <si>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</si>
  <si>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</si>
  <si>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</si>
  <si>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</si>
  <si>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</si>
  <si>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</si>
  <si>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</si>
  <si>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</si>
  <si>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</si>
  <si>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</si>
  <si>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</si>
  <si>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</si>
  <si>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</si>
  <si>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</si>
  <si>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</si>
  <si>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</si>
  <si>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</si>
  <si>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</si>
  <si>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</si>
  <si>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</si>
  <si>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</si>
  <si>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</si>
  <si>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</si>
  <si>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</si>
  <si>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</si>
  <si>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</si>
  <si>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</si>
  <si>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</si>
  <si>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</si>
  <si>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</si>
  <si>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</si>
  <si>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</si>
  <si>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</si>
  <si>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</si>
  <si>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</si>
  <si>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</si>
  <si>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</si>
  <si>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</si>
  <si>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</si>
  <si>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</si>
  <si>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</si>
  <si>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</si>
  <si>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</si>
  <si>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</si>
  <si>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</si>
  <si>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</si>
  <si>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</si>
  <si>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</si>
  <si>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</si>
  <si>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</si>
  <si>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</si>
  <si>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</si>
  <si>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</si>
  <si>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</si>
  <si>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</si>
  <si>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</si>
  <si>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</si>
  <si>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</si>
  <si>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</si>
  <si>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</si>
  <si>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</si>
  <si>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</si>
  <si>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</si>
  <si>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</si>
  <si>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</si>
  <si>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</si>
  <si>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</si>
  <si>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</si>
  <si>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</si>
  <si>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</si>
  <si>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</si>
  <si>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</si>
  <si>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</si>
  <si>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</si>
  <si>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</si>
  <si>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</si>
  <si>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</si>
  <si>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</si>
  <si>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</si>
  <si>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</si>
  <si>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</si>
  <si>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</si>
  <si>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</si>
  <si>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</si>
  <si>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</si>
  <si>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</si>
  <si>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</si>
  <si>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</si>
  <si>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</si>
  <si>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</si>
  <si>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</si>
  <si>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</si>
  <si>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</si>
  <si>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</si>
  <si>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</si>
  <si>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</si>
  <si>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</si>
  <si>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</si>
  <si>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</si>
  <si>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</si>
  <si>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</si>
  <si>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</si>
  <si>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</si>
  <si>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</si>
  <si>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</si>
  <si>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</si>
  <si>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</si>
  <si>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</si>
  <si>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</si>
  <si>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</si>
  <si>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</si>
  <si>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</si>
  <si>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</si>
  <si>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</si>
  <si>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</si>
  <si>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</si>
  <si>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</si>
  <si>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</si>
  <si>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</si>
  <si>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</si>
  <si>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</si>
  <si>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</si>
  <si>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</si>
  <si>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</si>
  <si>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</si>
  <si>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</si>
  <si>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</si>
  <si>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</si>
  <si>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</si>
  <si>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</si>
  <si>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</si>
  <si>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</si>
  <si>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</si>
  <si>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</si>
  <si>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</si>
  <si>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</si>
  <si>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</si>
  <si>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</si>
  <si>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</si>
  <si>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</si>
  <si>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</si>
  <si>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</si>
  <si>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</si>
  <si>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</si>
  <si>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</si>
  <si>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</si>
  <si>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</si>
  <si>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</si>
  <si>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</si>
  <si>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</si>
  <si>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</si>
  <si>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</si>
  <si>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</si>
  <si>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</si>
  <si>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</si>
  <si>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</si>
  <si>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</si>
  <si>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</si>
  <si>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</si>
  <si>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</si>
  <si>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</si>
  <si>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</si>
  <si>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</si>
  <si>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</si>
  <si>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</si>
  <si>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</si>
  <si>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</si>
  <si>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</si>
  <si>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</si>
  <si>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</si>
  <si>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</si>
  <si>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</si>
  <si>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</si>
  <si>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</si>
  <si>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</si>
  <si>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</si>
  <si>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</si>
  <si>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</si>
  <si>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</si>
  <si>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</si>
  <si>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</si>
  <si>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</si>
  <si>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</si>
  <si>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</si>
  <si>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</si>
  <si>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</si>
  <si>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</si>
  <si>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</si>
  <si>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</si>
  <si>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</si>
  <si>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</si>
  <si>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</si>
  <si>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</si>
  <si>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</si>
  <si>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</si>
  <si>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</si>
  <si>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</si>
  <si>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</si>
  <si>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</si>
  <si>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</si>
  <si>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</si>
  <si>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</si>
  <si>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</si>
  <si>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</si>
  <si>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</si>
  <si>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</si>
  <si>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</si>
  <si>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</si>
  <si>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</si>
  <si>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</si>
  <si>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</si>
  <si>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</si>
  <si>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</si>
  <si>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</si>
  <si>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</si>
  <si>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</si>
  <si>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</si>
  <si>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</si>
  <si>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</si>
  <si>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</si>
  <si>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</si>
  <si>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</si>
  <si>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</si>
  <si>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</si>
  <si>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</si>
  <si>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</si>
  <si>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</si>
  <si>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</si>
  <si>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</si>
  <si>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</si>
  <si>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</si>
  <si>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</si>
  <si>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</si>
  <si>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</si>
  <si>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</si>
  <si>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</si>
  <si>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</si>
  <si>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</si>
  <si>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</si>
  <si>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</si>
  <si>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</si>
  <si>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</si>
  <si>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</si>
  <si>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</si>
  <si>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</si>
  <si>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</si>
  <si>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</si>
  <si>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</si>
  <si>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</si>
  <si>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</si>
  <si>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</si>
  <si>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</si>
  <si>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</si>
  <si>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</si>
  <si>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</si>
  <si>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</si>
  <si>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</si>
  <si>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</si>
  <si>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</si>
  <si>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</si>
  <si>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</si>
  <si>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</si>
  <si>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</si>
  <si>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</si>
  <si>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</si>
  <si>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</si>
  <si>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</si>
  <si>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</si>
  <si>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</si>
  <si>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</si>
  <si>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</si>
  <si>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</si>
  <si>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</si>
  <si>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</si>
  <si>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</si>
  <si>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</si>
  <si>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</si>
  <si>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</si>
  <si>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</si>
  <si>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</si>
  <si>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</si>
  <si>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</si>
  <si>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</si>
  <si>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</si>
  <si>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</si>
  <si>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</si>
  <si>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</si>
  <si>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</si>
  <si>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</si>
  <si>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</si>
  <si>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</si>
  <si>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</si>
  <si>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</si>
  <si>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</si>
  <si>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</si>
  <si>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</si>
  <si>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</si>
  <si>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</si>
  <si>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</si>
  <si>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</si>
  <si>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</si>
  <si>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</si>
  <si>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</si>
  <si>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</si>
  <si>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</si>
  <si>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</si>
  <si>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</si>
  <si>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</si>
  <si>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</si>
  <si>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</si>
  <si>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</si>
  <si>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</si>
  <si>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</si>
  <si>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</si>
  <si>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</si>
  <si>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</si>
  <si>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</si>
  <si>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</si>
  <si>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</si>
  <si>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</si>
  <si>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</si>
  <si>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</si>
  <si>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</si>
  <si>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</si>
  <si>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</si>
  <si>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</si>
  <si>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</si>
  <si>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</si>
  <si>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</si>
  <si>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</si>
  <si>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</si>
  <si>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</si>
  <si>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</si>
  <si>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</si>
  <si>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</si>
  <si>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</si>
  <si>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</si>
  <si>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</si>
  <si>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</si>
  <si>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</si>
  <si>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</si>
  <si>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</si>
  <si>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</si>
  <si>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</si>
  <si>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</si>
  <si>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</si>
  <si>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</si>
  <si>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</si>
  <si>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</si>
  <si>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</si>
  <si>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</si>
  <si>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</si>
  <si>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</si>
  <si>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</si>
  <si>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</si>
  <si>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</si>
  <si>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</si>
  <si>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</si>
  <si>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</si>
  <si>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</si>
  <si>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</si>
  <si>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</si>
  <si>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</si>
  <si>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</si>
  <si>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</si>
  <si>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</si>
  <si>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</si>
  <si>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</si>
  <si>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</si>
  <si>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</si>
  <si>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</si>
  <si>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</si>
  <si>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</si>
  <si>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</si>
  <si>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</si>
  <si>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</si>
  <si>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</si>
  <si>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</si>
  <si>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</si>
  <si>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</si>
  <si>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</si>
  <si>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</si>
  <si>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</si>
  <si>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</si>
  <si>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</si>
  <si>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</si>
  <si>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</si>
  <si>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</si>
  <si>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</si>
  <si>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</si>
  <si>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</si>
  <si>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</si>
  <si>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</si>
  <si>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</si>
  <si>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</si>
  <si>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</si>
  <si>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</si>
  <si>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</si>
  <si>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</si>
  <si>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</si>
  <si>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</si>
  <si>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</si>
  <si>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</si>
  <si>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</si>
  <si>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</si>
  <si>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</si>
  <si>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</si>
  <si>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</si>
  <si>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</si>
  <si>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</si>
  <si>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</si>
  <si>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</si>
  <si>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</si>
  <si>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</si>
  <si>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</si>
  <si>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</si>
  <si>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</si>
  <si>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</si>
  <si>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</si>
  <si>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</si>
  <si>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</si>
  <si>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</si>
  <si>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</si>
  <si>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</si>
  <si>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</si>
  <si>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</si>
  <si>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</si>
  <si>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</si>
  <si>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</si>
  <si>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</si>
  <si>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</si>
  <si>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</si>
  <si>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</si>
  <si>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</si>
  <si>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</si>
  <si>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</si>
  <si>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</si>
  <si>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</si>
  <si>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</si>
  <si>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</si>
  <si>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</si>
  <si>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</si>
  <si>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</si>
  <si>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</si>
  <si>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</si>
  <si>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</si>
  <si>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</si>
  <si>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</si>
  <si>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</si>
  <si>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</si>
  <si>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</si>
  <si>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</si>
  <si>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</si>
  <si>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</si>
  <si>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</si>
  <si>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</si>
  <si>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</si>
  <si>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</si>
  <si>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</si>
  <si>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</si>
  <si>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</si>
  <si>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</si>
  <si>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</si>
  <si>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</si>
  <si>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</si>
  <si>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</si>
  <si>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</si>
  <si>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</si>
  <si>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</si>
  <si>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</si>
  <si>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</si>
  <si>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</si>
  <si>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</si>
  <si>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</si>
  <si>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</si>
  <si>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</si>
  <si>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</si>
  <si>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</si>
  <si>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</si>
  <si>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</si>
  <si>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</si>
  <si>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</si>
  <si>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</si>
  <si>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</si>
  <si>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</si>
  <si>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</si>
  <si>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</si>
  <si>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</si>
  <si>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</si>
  <si>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</si>
  <si>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</si>
  <si>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</si>
  <si>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</si>
  <si>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</si>
  <si>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</si>
  <si>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</si>
  <si>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</si>
  <si>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</si>
  <si>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</si>
  <si>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</si>
  <si>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</si>
  <si>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</si>
  <si>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</si>
  <si>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</si>
  <si>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</si>
  <si>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</si>
  <si>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</si>
  <si>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</si>
  <si>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</si>
  <si>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</si>
  <si>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</si>
  <si>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</si>
  <si>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</si>
  <si>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</si>
  <si>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</si>
  <si>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</si>
  <si>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</si>
  <si>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</si>
  <si>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</si>
  <si>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</si>
  <si>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</si>
  <si>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</si>
  <si>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</si>
  <si>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</si>
  <si>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</si>
  <si>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</si>
  <si>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</si>
  <si>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</si>
  <si>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</si>
  <si>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</si>
  <si>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</si>
  <si>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</si>
  <si>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</si>
  <si>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</si>
  <si>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</si>
  <si>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</si>
  <si>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</si>
  <si>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</si>
  <si>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</si>
  <si>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</si>
  <si>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</si>
  <si>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</si>
  <si>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</si>
  <si>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</si>
  <si>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</si>
  <si>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</si>
  <si>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</si>
  <si>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</si>
  <si>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</si>
  <si>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</si>
  <si>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</si>
  <si>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</si>
  <si>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</si>
  <si>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</si>
  <si>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</si>
  <si>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</si>
  <si>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</si>
  <si>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</si>
  <si>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</si>
  <si>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</si>
  <si>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</si>
  <si>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</si>
  <si>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</si>
  <si>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</si>
  <si>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</si>
  <si>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</si>
  <si>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</si>
  <si>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</si>
  <si>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</si>
  <si>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</si>
  <si>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</si>
  <si>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</si>
  <si>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</si>
  <si>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</si>
  <si>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</si>
  <si>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</si>
  <si>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</si>
  <si>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</si>
  <si>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</si>
  <si>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</si>
  <si>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</si>
  <si>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</si>
  <si>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</si>
  <si>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</si>
  <si>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</si>
  <si>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</si>
  <si>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</si>
  <si>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</si>
  <si>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</si>
  <si>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</si>
  <si>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</si>
  <si>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</si>
  <si>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</si>
  <si>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</si>
  <si>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</si>
  <si>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</si>
  <si>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</si>
  <si>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</si>
  <si>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</si>
  <si>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</si>
  <si>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</si>
  <si>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</si>
  <si>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</si>
  <si>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</si>
  <si>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</si>
  <si>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</si>
  <si>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</si>
  <si>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</si>
  <si>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</si>
  <si>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</si>
  <si>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</si>
  <si>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</si>
  <si>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</si>
  <si>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</si>
  <si>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</si>
  <si>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</si>
  <si>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</si>
  <si>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</si>
  <si>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</si>
  <si>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</si>
  <si>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</si>
  <si>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</si>
  <si>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</si>
  <si>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</si>
  <si>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</si>
  <si>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</si>
  <si>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</si>
  <si>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</si>
  <si>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</si>
  <si>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</si>
  <si>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</si>
  <si>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</si>
  <si>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</si>
  <si>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</si>
  <si>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</si>
  <si>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</si>
  <si>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</si>
  <si>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</si>
  <si>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</si>
  <si>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</si>
  <si>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</si>
  <si>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</si>
  <si>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</si>
  <si>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</si>
  <si>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</si>
  <si>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</si>
  <si>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</si>
  <si>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</si>
  <si>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</si>
  <si>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</si>
  <si>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</si>
  <si>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</si>
  <si>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</si>
  <si>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</si>
  <si>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</si>
  <si>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</si>
  <si>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</si>
  <si>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</si>
  <si>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</si>
  <si>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</si>
  <si>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</si>
  <si>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</si>
  <si>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</si>
  <si>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</si>
  <si>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</si>
  <si>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</si>
  <si>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</si>
  <si>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</si>
  <si>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</si>
  <si>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</si>
  <si>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</si>
  <si>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</si>
  <si>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</si>
  <si>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</si>
  <si>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</si>
  <si>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</si>
  <si>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</si>
  <si>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</si>
  <si>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</si>
  <si>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</si>
  <si>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</si>
  <si>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</si>
  <si>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</si>
  <si>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</si>
  <si>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</si>
  <si>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</si>
  <si>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</si>
  <si>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</si>
  <si>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</si>
  <si>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</si>
  <si>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</si>
  <si>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</si>
  <si>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</si>
  <si>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</si>
  <si>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</si>
  <si>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</si>
  <si>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</si>
  <si>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</si>
  <si>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</si>
  <si>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</si>
  <si>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</si>
  <si>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</si>
  <si>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</si>
  <si>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</si>
  <si>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</si>
  <si>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</si>
  <si>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</si>
  <si>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</si>
  <si>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</si>
  <si>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</si>
  <si>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</si>
  <si>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</si>
  <si>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</si>
  <si>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</si>
  <si>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</si>
  <si>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</si>
  <si>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</si>
  <si>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</si>
  <si>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</si>
  <si>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</si>
  <si>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</si>
  <si>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</si>
  <si>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</si>
  <si>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</si>
  <si>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</si>
  <si>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</si>
  <si>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</si>
  <si>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</si>
  <si>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</si>
  <si>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</si>
  <si>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</si>
  <si>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</si>
  <si>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</si>
  <si>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</si>
  <si>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</si>
  <si>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</si>
  <si>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</si>
  <si>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</si>
  <si>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</si>
  <si>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</si>
  <si>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</si>
  <si>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</si>
  <si>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</si>
  <si>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</si>
  <si>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</si>
  <si>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</si>
  <si>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</si>
  <si>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</si>
  <si>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</si>
  <si>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</si>
  <si>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</si>
  <si>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</si>
  <si>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</si>
  <si>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</si>
  <si>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</si>
  <si>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</si>
  <si>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</si>
  <si>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</si>
  <si>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</si>
  <si>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</si>
  <si>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</si>
  <si>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</si>
  <si>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</si>
  <si>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</si>
  <si>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</si>
  <si>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陈颖</t>
  </si>
  <si>
    <t>叶凌</t>
  </si>
  <si>
    <t>核定资产</t>
  </si>
  <si>
    <t>市场价格</t>
  </si>
  <si>
    <t>Ⅶ-01</t>
  </si>
  <si>
    <t>地上</t>
  </si>
  <si>
    <t>标准厂房</t>
  </si>
  <si>
    <t>锅炉房</t>
    <phoneticPr fontId="7" type="noConversion"/>
  </si>
  <si>
    <t>公共设施用地</t>
  </si>
  <si>
    <t>按公示增长率计算</t>
  </si>
  <si>
    <t>容积率修正</t>
  </si>
  <si>
    <t>宗地容积率</t>
  </si>
  <si>
    <t>七通一平</t>
  </si>
  <si>
    <t>一致</t>
  </si>
  <si>
    <t>正常</t>
  </si>
  <si>
    <t>较差</t>
  </si>
  <si>
    <t>一般</t>
  </si>
  <si>
    <t>好</t>
  </si>
  <si>
    <t>较好</t>
  </si>
  <si>
    <t>顺义新城第14街区SY00-0014-6001M1一类工业用地项目</t>
    <phoneticPr fontId="3" type="noConversion"/>
  </si>
  <si>
    <t>工业</t>
    <phoneticPr fontId="28" type="noConversion"/>
  </si>
  <si>
    <t>七通一平</t>
    <phoneticPr fontId="28" type="noConversion"/>
  </si>
  <si>
    <t>六通一平</t>
    <phoneticPr fontId="28" type="noConversion"/>
  </si>
  <si>
    <t>五通一平</t>
  </si>
  <si>
    <t>五通一平</t>
    <phoneticPr fontId="28" type="noConversion"/>
  </si>
  <si>
    <t>四通一平</t>
    <phoneticPr fontId="28" type="noConversion"/>
  </si>
  <si>
    <t>三通一平</t>
  </si>
  <si>
    <t>三通一平</t>
    <phoneticPr fontId="28" type="noConversion"/>
  </si>
  <si>
    <t>七级</t>
    <phoneticPr fontId="21" type="noConversion"/>
  </si>
  <si>
    <t>五级</t>
    <phoneticPr fontId="28" type="noConversion"/>
  </si>
  <si>
    <t>六级</t>
    <phoneticPr fontId="28" type="noConversion"/>
  </si>
  <si>
    <t>七级</t>
    <phoneticPr fontId="28" type="noConversion"/>
  </si>
  <si>
    <t>八级</t>
    <phoneticPr fontId="28" type="noConversion"/>
  </si>
  <si>
    <t>九级</t>
    <phoneticPr fontId="28" type="noConversion"/>
  </si>
  <si>
    <t>七通</t>
  </si>
  <si>
    <t>多面临街</t>
  </si>
  <si>
    <t>规则</t>
  </si>
  <si>
    <t>规则</t>
    <phoneticPr fontId="28" type="noConversion"/>
  </si>
  <si>
    <t>较规则</t>
    <phoneticPr fontId="28" type="noConversion"/>
  </si>
  <si>
    <t>一般</t>
    <phoneticPr fontId="28" type="noConversion"/>
  </si>
  <si>
    <t>较不规则</t>
    <phoneticPr fontId="28" type="noConversion"/>
  </si>
  <si>
    <t>不规则</t>
    <phoneticPr fontId="28" type="noConversion"/>
  </si>
  <si>
    <t>楼面地价</t>
  </si>
  <si>
    <t>好</t>
    <phoneticPr fontId="28" type="noConversion"/>
  </si>
  <si>
    <t>较好</t>
    <phoneticPr fontId="28" type="noConversion"/>
  </si>
  <si>
    <t>一般</t>
    <phoneticPr fontId="28" type="noConversion"/>
  </si>
  <si>
    <t>较差</t>
    <phoneticPr fontId="28" type="noConversion"/>
  </si>
  <si>
    <t>差</t>
    <phoneticPr fontId="28" type="noConversion"/>
  </si>
  <si>
    <t>单面临街</t>
  </si>
  <si>
    <t>城市支路</t>
  </si>
  <si>
    <t>城市支路</t>
    <phoneticPr fontId="21" type="noConversion"/>
  </si>
  <si>
    <t>城市主干道</t>
  </si>
  <si>
    <t>城市次干道</t>
  </si>
  <si>
    <t>城市主干道</t>
    <phoneticPr fontId="28" type="noConversion"/>
  </si>
  <si>
    <t>城市次干道</t>
    <phoneticPr fontId="28" type="noConversion"/>
  </si>
  <si>
    <t>城市支路</t>
    <phoneticPr fontId="28" type="noConversion"/>
  </si>
  <si>
    <r>
      <rPr>
        <sz val="11"/>
        <color theme="9" tint="-0.249977111117893"/>
        <rFont val="宋体"/>
        <family val="3"/>
        <charset val="134"/>
      </rPr>
      <t>顺义区金马工业区</t>
    </r>
    <r>
      <rPr>
        <sz val="11"/>
        <color theme="9" tint="-0.249977111117893"/>
        <rFont val="Arial"/>
        <family val="2"/>
      </rPr>
      <t>D1-01-1</t>
    </r>
    <r>
      <rPr>
        <sz val="11"/>
        <color theme="9" tint="-0.249977111117893"/>
        <rFont val="宋体"/>
        <family val="3"/>
        <charset val="134"/>
      </rPr>
      <t>地块工业项目</t>
    </r>
    <phoneticPr fontId="28" type="noConversion"/>
  </si>
  <si>
    <t>北京经济技术开发区路南区N31M2地块工业项目</t>
    <phoneticPr fontId="3" type="noConversion"/>
  </si>
  <si>
    <t>收益还原法</t>
  </si>
  <si>
    <t>锅炉房</t>
  </si>
  <si>
    <t>企业</t>
  </si>
  <si>
    <t>按租金收入计税</t>
  </si>
  <si>
    <t>租金</t>
    <phoneticPr fontId="233" type="noConversion"/>
  </si>
  <si>
    <t>租金</t>
    <phoneticPr fontId="233" type="noConversion"/>
  </si>
  <si>
    <t>无产权</t>
    <phoneticPr fontId="23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</si>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</sst>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75" fillId="14" borderId="0" xfId="0" applyNumberFormat="1" applyFont="1" applyFill="1" applyBorder="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lignmen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32</xdr:row>
      <xdr:rowOff>19050</xdr:rowOff>
    </xdr:to>
    <xdr:pic>
      <xdr:nvPicPr>
        <xdr:cNvPr id="2" name="图片 1" descr="C:\Documents and Settings\Administrator\Application Data\Tencent\Users\4036162\QQ\WinTemp\RichOle\`KO5R2OBLIPFBOM`UH[T1S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10</xdr:col>
      <xdr:colOff>9525</xdr:colOff>
      <xdr:row>67</xdr:row>
      <xdr:rowOff>114300</xdr:rowOff>
    </xdr:to>
    <xdr:pic>
      <xdr:nvPicPr>
        <xdr:cNvPr id="3" name="图片 2" descr="C:\Documents and Settings\Administrator\Application Data\Tencent\Users\4036162\QQ\WinTemp\RichOle\AEZE81{%4L4[C}G)20E~V3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00750"/>
          <a:ext cx="68675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9</xdr:col>
      <xdr:colOff>590550</xdr:colOff>
      <xdr:row>102</xdr:row>
      <xdr:rowOff>0</xdr:rowOff>
    </xdr:to>
    <xdr:pic>
      <xdr:nvPicPr>
        <xdr:cNvPr id="4" name="图片 3" descr="C:\Documents and Settings\Administrator\Application Data\Tencent\Users\4036162\QQ\WinTemp\RichOle\8F0X42AT{5BQ8(AY05EIMJ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676275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9</xdr:col>
      <xdr:colOff>333375</xdr:colOff>
      <xdr:row>138</xdr:row>
      <xdr:rowOff>9525</xdr:rowOff>
    </xdr:to>
    <xdr:pic>
      <xdr:nvPicPr>
        <xdr:cNvPr id="5" name="图片 4" descr="C:\Documents and Settings\Administrator\Application Data\Tencent\Users\4036162\QQ\WinTemp\RichOle\4(3V`THJ9PPQ@64G3DBPPR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
          <a:ext cx="6505575"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v>0</v>
          </cell>
        </row>
      </sheetData>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cell r="L14">
            <v>0</v>
          </cell>
        </row>
        <row r="15">
          <cell r="A15" t="str">
            <v>公共配套及物业（住宅）</v>
          </cell>
        </row>
        <row r="16">
          <cell r="A16" t="str">
            <v>合计</v>
          </cell>
        </row>
        <row r="20">
          <cell r="B20">
            <v>0</v>
          </cell>
        </row>
        <row r="22">
          <cell r="B22">
            <v>0</v>
          </cell>
        </row>
        <row r="24">
          <cell r="B24">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2981</v>
      </c>
      <c r="B1" s="3180"/>
      <c r="C1" s="3181"/>
      <c r="D1" s="3182"/>
      <c r="E1" s="3183" t="s">
        <v>2982</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2983</v>
      </c>
      <c r="B2" s="3192" t="e">
        <f ca="1">ROUND(D2/10000,0)</f>
        <v>#DIV/0!</v>
      </c>
      <c r="C2" s="3193" t="s">
        <v>2984</v>
      </c>
      <c r="D2" s="3194" t="e">
        <f ca="1">C40+J29+L46</f>
        <v>#DIV/0!</v>
      </c>
      <c r="E2" s="3195" t="s">
        <v>2985</v>
      </c>
      <c r="F2" s="3196"/>
      <c r="G2" s="3197"/>
      <c r="H2" s="3198"/>
      <c r="I2" s="3198"/>
      <c r="J2" s="3198"/>
      <c r="K2" s="3199"/>
      <c r="L2" s="3198"/>
      <c r="M2" s="3198"/>
    </row>
    <row r="3" spans="1:37" ht="18" customHeight="1" thickBot="1">
      <c r="A3" s="3202" t="s">
        <v>2986</v>
      </c>
      <c r="B3" s="3203">
        <f ca="1">IF(ISERROR(D2/F43),0,ROUND(D2/F43,0))</f>
        <v>0</v>
      </c>
      <c r="C3" s="3193" t="s">
        <v>2987</v>
      </c>
      <c r="D3" s="3193"/>
      <c r="E3" s="3195"/>
      <c r="F3" s="3196"/>
      <c r="G3" s="3197"/>
      <c r="H3" s="3204" t="s">
        <v>2988</v>
      </c>
      <c r="I3" s="3198"/>
      <c r="J3" s="3198"/>
      <c r="K3" s="3199"/>
      <c r="L3" s="3198"/>
      <c r="M3" s="3198"/>
    </row>
    <row r="4" spans="1:37" ht="18" customHeight="1">
      <c r="A4" s="3205" t="s">
        <v>2989</v>
      </c>
      <c r="B4" s="3206" t="s">
        <v>2990</v>
      </c>
      <c r="C4" s="3206" t="s">
        <v>2991</v>
      </c>
      <c r="D4" s="3206" t="s">
        <v>2992</v>
      </c>
      <c r="E4" s="3207" t="s">
        <v>2993</v>
      </c>
      <c r="F4" s="3208"/>
      <c r="G4" s="3209"/>
      <c r="H4" s="3205" t="s">
        <v>2994</v>
      </c>
      <c r="I4" s="3206" t="s">
        <v>2995</v>
      </c>
      <c r="J4" s="3206" t="s">
        <v>2996</v>
      </c>
      <c r="K4" s="3206" t="s">
        <v>2997</v>
      </c>
      <c r="L4" s="3207" t="s">
        <v>2993</v>
      </c>
      <c r="M4" s="3208"/>
    </row>
    <row r="5" spans="1:37" ht="18" customHeight="1">
      <c r="A5" s="3210">
        <v>1</v>
      </c>
      <c r="B5" s="3211" t="s">
        <v>2998</v>
      </c>
      <c r="C5" s="3212">
        <f ca="1">C6+C10+C12</f>
        <v>4927500</v>
      </c>
      <c r="D5" s="3213" t="s">
        <v>2999</v>
      </c>
      <c r="E5" s="3214"/>
      <c r="F5" s="3215"/>
      <c r="G5" s="3209"/>
      <c r="H5" s="3210">
        <v>1</v>
      </c>
      <c r="I5" s="3211" t="s">
        <v>2998</v>
      </c>
      <c r="J5" s="3212">
        <f ca="1">J6+J10+J12</f>
        <v>0</v>
      </c>
      <c r="K5" s="3213" t="s">
        <v>2999</v>
      </c>
      <c r="L5" s="3214"/>
      <c r="M5" s="3215"/>
    </row>
    <row r="6" spans="1:37" ht="18" customHeight="1">
      <c r="A6" s="3216" t="s">
        <v>3000</v>
      </c>
      <c r="B6" s="3486" t="s">
        <v>3001</v>
      </c>
      <c r="C6" s="3217">
        <f ca="1">ROUND(F6*F8*F7*(1-F9),0)</f>
        <v>4927500</v>
      </c>
      <c r="D6" s="3218" t="s">
        <v>3002</v>
      </c>
      <c r="E6" s="3219" t="s">
        <v>3003</v>
      </c>
      <c r="F6" s="3220">
        <f ca="1">INDIRECT("'数据-取费表'!u"&amp;$G$1)</f>
        <v>1.5</v>
      </c>
      <c r="G6" s="3209"/>
      <c r="H6" s="3216" t="s">
        <v>3000</v>
      </c>
      <c r="I6" s="3486" t="s">
        <v>3001</v>
      </c>
      <c r="J6" s="3221">
        <f ca="1">ROUND(M6*M8*M7*(1-M9),0)</f>
        <v>0</v>
      </c>
      <c r="K6" s="3222" t="s">
        <v>3004</v>
      </c>
      <c r="L6" s="3219" t="s">
        <v>3003</v>
      </c>
      <c r="M6" s="3220">
        <f ca="1">INDIRECT("'数据-取费表'!z"&amp;$G$1)</f>
        <v>0</v>
      </c>
    </row>
    <row r="7" spans="1:37" ht="18" customHeight="1">
      <c r="A7" s="3223"/>
      <c r="B7" s="3487"/>
      <c r="C7" s="3224"/>
      <c r="D7" s="3225"/>
      <c r="E7" s="3226" t="s">
        <v>3005</v>
      </c>
      <c r="F7" s="3220">
        <f ca="1">IF(INDIRECT("'数据-取费表'!ah"&amp;$G$1)="",INDIRECT("'数据-取费表'!k"&amp;$G$1),INDIRECT("'数据-取费表'!ah"&amp;$G$1))</f>
        <v>10000</v>
      </c>
      <c r="G7" s="3209"/>
      <c r="H7" s="3227"/>
      <c r="I7" s="3487"/>
      <c r="J7" s="3228"/>
      <c r="K7" s="3225"/>
      <c r="L7" s="3219" t="s">
        <v>3005</v>
      </c>
      <c r="M7" s="3220">
        <f ca="1">F7</f>
        <v>10000</v>
      </c>
    </row>
    <row r="8" spans="1:37" ht="18" customHeight="1">
      <c r="A8" s="3227"/>
      <c r="B8" s="3487"/>
      <c r="C8" s="3228"/>
      <c r="D8" s="3225"/>
      <c r="E8" s="3219" t="s">
        <v>3006</v>
      </c>
      <c r="F8" s="3220">
        <f ca="1">INDIRECT("'数据-取费表'!ai"&amp;$G$1)</f>
        <v>365</v>
      </c>
      <c r="G8" s="3209"/>
      <c r="H8" s="3227"/>
      <c r="I8" s="3487"/>
      <c r="J8" s="3228"/>
      <c r="K8" s="3225"/>
      <c r="L8" s="3219" t="s">
        <v>3006</v>
      </c>
      <c r="M8" s="3220">
        <f ca="1">INDIRECT("'数据-取费表'!ai"&amp;$G$1)</f>
        <v>365</v>
      </c>
    </row>
    <row r="9" spans="1:37" ht="18" customHeight="1">
      <c r="A9" s="3227"/>
      <c r="B9" s="3488"/>
      <c r="C9" s="3228"/>
      <c r="D9" s="3225"/>
      <c r="E9" s="3219" t="s">
        <v>3007</v>
      </c>
      <c r="F9" s="3229">
        <f ca="1">INDIRECT("'数据-取费表'!w"&amp;$G$1)</f>
        <v>0.1</v>
      </c>
      <c r="G9" s="3209"/>
      <c r="H9" s="3227"/>
      <c r="I9" s="3488"/>
      <c r="J9" s="3228"/>
      <c r="K9" s="3225"/>
      <c r="L9" s="3230" t="s">
        <v>3007</v>
      </c>
      <c r="M9" s="3231">
        <f ca="1">INDIRECT("'数据-取费表'!ab"&amp;$G$1)</f>
        <v>0</v>
      </c>
    </row>
    <row r="10" spans="1:37" ht="18" customHeight="1">
      <c r="A10" s="3216" t="s">
        <v>3008</v>
      </c>
      <c r="B10" s="3232" t="s">
        <v>3009</v>
      </c>
      <c r="C10" s="3233">
        <f>ROUND(IF(F10="押一",F6*F8*F7/12*F11,IF(F10="押二",F6*F8*F7/12*2*F11,IF(F10="押三",F6*F8*F7/12*3*F11,C11*F11))),0)</f>
        <v>0</v>
      </c>
      <c r="D10" s="3234" t="s">
        <v>3010</v>
      </c>
      <c r="E10" s="3230" t="s">
        <v>3011</v>
      </c>
      <c r="F10" s="3235"/>
      <c r="G10" s="3209"/>
      <c r="H10" s="3216" t="s">
        <v>3008</v>
      </c>
      <c r="I10" s="3232" t="s">
        <v>3009</v>
      </c>
      <c r="J10" s="3221">
        <f>ROUND(IF(M10="押一",M6*M8*M7/12*M11,IF(M10="押二",M6*M8*M7/12*2*M11,IF(M10="押三",M6*M8*M7/12*3*M11,J11*M11))),0)</f>
        <v>0</v>
      </c>
      <c r="K10" s="3236" t="s">
        <v>3012</v>
      </c>
      <c r="L10" s="3230" t="s">
        <v>3011</v>
      </c>
      <c r="M10" s="3235"/>
    </row>
    <row r="11" spans="1:37" ht="18" customHeight="1">
      <c r="A11" s="3237"/>
      <c r="B11" s="3238" t="s">
        <v>3013</v>
      </c>
      <c r="C11" s="3239"/>
      <c r="D11" s="3225"/>
      <c r="E11" s="3230" t="s">
        <v>3014</v>
      </c>
      <c r="F11" s="3231">
        <f>'[1]数据-取费表'!B39</f>
        <v>0</v>
      </c>
      <c r="G11" s="3209"/>
      <c r="H11" s="3240"/>
      <c r="I11" s="3238" t="s">
        <v>3015</v>
      </c>
      <c r="J11" s="3239"/>
      <c r="K11" s="3241"/>
      <c r="L11" s="3230" t="s">
        <v>3014</v>
      </c>
      <c r="M11" s="3242">
        <f>'[1]数据-取费表'!B39</f>
        <v>0</v>
      </c>
    </row>
    <row r="12" spans="1:37" ht="18" customHeight="1" thickBot="1">
      <c r="A12" s="3243" t="s">
        <v>3016</v>
      </c>
      <c r="B12" s="3244" t="s">
        <v>3017</v>
      </c>
      <c r="C12" s="3245"/>
      <c r="D12" s="3246"/>
      <c r="E12" s="3247"/>
      <c r="F12" s="3248"/>
      <c r="G12" s="3209"/>
      <c r="H12" s="3243" t="s">
        <v>3016</v>
      </c>
      <c r="I12" s="3244" t="s">
        <v>3017</v>
      </c>
      <c r="J12" s="3245"/>
      <c r="K12" s="3249"/>
      <c r="L12" s="3247"/>
      <c r="M12" s="3250"/>
    </row>
    <row r="13" spans="1:37" ht="18" customHeight="1" thickTop="1">
      <c r="A13" s="3251">
        <v>2</v>
      </c>
      <c r="B13" s="3252" t="s">
        <v>3018</v>
      </c>
      <c r="C13" s="3253">
        <f ca="1">ROUND(C29*F13,0)</f>
        <v>25200000</v>
      </c>
      <c r="D13" s="3254" t="s">
        <v>3019</v>
      </c>
      <c r="E13" s="3254" t="s">
        <v>3020</v>
      </c>
      <c r="F13" s="3255">
        <f ca="1">INDIRECT("'数据-取费表'!y"&amp;$G$1)</f>
        <v>0.96</v>
      </c>
      <c r="G13" s="3209"/>
      <c r="H13" s="3251">
        <v>2</v>
      </c>
      <c r="I13" s="3252" t="s">
        <v>3018</v>
      </c>
      <c r="J13" s="3256">
        <f ca="1">ROUND(J14*J15,0)</f>
        <v>0</v>
      </c>
      <c r="K13" s="3257" t="s">
        <v>3019</v>
      </c>
      <c r="L13" s="3258"/>
      <c r="M13" s="3259"/>
    </row>
    <row r="14" spans="1:37" ht="18" customHeight="1">
      <c r="A14" s="3260" t="s">
        <v>3021</v>
      </c>
      <c r="B14" s="3219" t="s">
        <v>3022</v>
      </c>
      <c r="C14" s="3261">
        <f ca="1">ROUND(INDIRECT("'数据-取费表'!l"&amp;$G$1)*F43+'[1]数据-取费表'!L14*INDIRECT("'数据-取费表'!S"&amp;$G$1),0)</f>
        <v>25000000</v>
      </c>
      <c r="D14" s="3262" t="s">
        <v>3023</v>
      </c>
      <c r="E14" s="3263"/>
      <c r="F14" s="3264"/>
      <c r="G14" s="3209"/>
      <c r="H14" s="3260" t="s">
        <v>3024</v>
      </c>
      <c r="I14" s="3219" t="s">
        <v>3025</v>
      </c>
      <c r="J14" s="3265">
        <f ca="1">C29</f>
        <v>26250000</v>
      </c>
      <c r="K14" s="3266"/>
      <c r="L14" s="3267"/>
      <c r="M14" s="3268"/>
    </row>
    <row r="15" spans="1:37" s="3277" customFormat="1" ht="18" customHeight="1" thickBot="1">
      <c r="A15" s="3260" t="s">
        <v>3026</v>
      </c>
      <c r="B15" s="3219" t="s">
        <v>3027</v>
      </c>
      <c r="C15" s="3265">
        <f ca="1">ROUND(C14*F15,0)</f>
        <v>0</v>
      </c>
      <c r="D15" s="3269" t="s">
        <v>3028</v>
      </c>
      <c r="E15" s="3269" t="s">
        <v>3029</v>
      </c>
      <c r="F15" s="3270">
        <f>'[1]数据-取费表'!B33</f>
        <v>0</v>
      </c>
      <c r="G15" s="3271"/>
      <c r="H15" s="3272" t="s">
        <v>3008</v>
      </c>
      <c r="I15" s="3247" t="s">
        <v>3020</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3030</v>
      </c>
      <c r="B16" s="3219" t="s">
        <v>3031</v>
      </c>
      <c r="C16" s="3265">
        <f ca="1">ROUND(INDIRECT("'数据-取费表'!l"&amp;$G$1)*F43*F16,0)</f>
        <v>0</v>
      </c>
      <c r="D16" s="3219" t="s">
        <v>3032</v>
      </c>
      <c r="E16" s="3219" t="s">
        <v>3033</v>
      </c>
      <c r="F16" s="3278">
        <f ca="1">IF(INDIRECT("'数据-取费表'!c"&amp;$G$1)="住宅",'[1]数据-取费表'!B34,0)</f>
        <v>0</v>
      </c>
      <c r="G16" s="3209"/>
      <c r="H16" s="3251" t="s">
        <v>3034</v>
      </c>
      <c r="I16" s="3252" t="s">
        <v>3035</v>
      </c>
      <c r="J16" s="3253">
        <f ca="1">ROUND(J17+J22+J23+J24,0)</f>
        <v>876750</v>
      </c>
      <c r="K16" s="3257" t="s">
        <v>3036</v>
      </c>
      <c r="L16" s="3279"/>
      <c r="M16" s="3215"/>
    </row>
    <row r="17" spans="1:37" s="3277" customFormat="1" ht="18" customHeight="1">
      <c r="A17" s="3260" t="s">
        <v>3037</v>
      </c>
      <c r="B17" s="3219" t="s">
        <v>3038</v>
      </c>
      <c r="C17" s="3265">
        <f ca="1">ROUND(F17*(F43+INDIRECT("'数据-取费表'!S"&amp;$G$1)),0)</f>
        <v>0</v>
      </c>
      <c r="D17" s="3219" t="s">
        <v>3039</v>
      </c>
      <c r="E17" s="3219" t="s">
        <v>3040</v>
      </c>
      <c r="F17" s="3280">
        <f>'[1]数据-取费表'!B35</f>
        <v>0</v>
      </c>
      <c r="G17" s="3271"/>
      <c r="H17" s="3260" t="s">
        <v>3000</v>
      </c>
      <c r="I17" s="3219" t="s">
        <v>3041</v>
      </c>
      <c r="J17" s="3265">
        <f ca="1">ROUND(IF([1]项目基本情况!B11="自然人",J5*M17,J18+J19+J20),0)</f>
        <v>220500</v>
      </c>
      <c r="K17" s="3262" t="s">
        <v>3042</v>
      </c>
      <c r="L17" s="3281" t="s">
        <v>3043</v>
      </c>
      <c r="M17" s="3282">
        <f ca="1">IF([1]项目基本情况!B11="企业","",IF(INDIRECT("'数据-取费表'!c"&amp;$G$1)="住宅",5%,IF(M6*M7*M8/12/(1+'[1]数据-取费表'!C42)&gt;20000,12%,7%)))</f>
        <v>7.0000000000000007E-2</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3044</v>
      </c>
      <c r="B18" s="3219" t="s">
        <v>3045</v>
      </c>
      <c r="C18" s="3265">
        <f ca="1">ROUND(C14*F18,0)</f>
        <v>0</v>
      </c>
      <c r="D18" s="3219" t="s">
        <v>3028</v>
      </c>
      <c r="E18" s="3219" t="s">
        <v>3029</v>
      </c>
      <c r="F18" s="3278">
        <f>'[1]数据-取费表'!B36</f>
        <v>0</v>
      </c>
      <c r="G18" s="3271"/>
      <c r="H18" s="3260" t="s">
        <v>3021</v>
      </c>
      <c r="I18" s="3219" t="s">
        <v>3046</v>
      </c>
      <c r="J18" s="3265">
        <f ca="1">ROUND(J5*M18/(1+'[1]数据-取费表'!C42),0)</f>
        <v>0</v>
      </c>
      <c r="K18" s="3281" t="s">
        <v>3047</v>
      </c>
      <c r="L18" s="3219" t="s">
        <v>3033</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3024</v>
      </c>
      <c r="B19" s="3219" t="s">
        <v>3048</v>
      </c>
      <c r="C19" s="3265">
        <f ca="1">SUM(C14:C18)</f>
        <v>25000000</v>
      </c>
      <c r="D19" s="3283" t="s">
        <v>3049</v>
      </c>
      <c r="E19" s="3284"/>
      <c r="F19" s="3280"/>
      <c r="G19" s="3209"/>
      <c r="H19" s="3260" t="s">
        <v>3026</v>
      </c>
      <c r="I19" s="3219" t="s">
        <v>3050</v>
      </c>
      <c r="J19" s="3265">
        <f ca="1">IF(K19="按租金收入计税",ROUND(J5*M19,0),ROUND(C29*M19*0.7,0))</f>
        <v>220500</v>
      </c>
      <c r="K19" s="3285" t="s">
        <v>3051</v>
      </c>
      <c r="L19" s="3219" t="s">
        <v>3029</v>
      </c>
      <c r="M19" s="3278">
        <f>IF(K19="按租金收入计税",'[1]数据-取费表'!B51,'[1]数据-取费表'!B50)</f>
        <v>1.2E-2</v>
      </c>
    </row>
    <row r="20" spans="1:37" s="3277" customFormat="1" ht="18" customHeight="1">
      <c r="A20" s="3260" t="s">
        <v>3008</v>
      </c>
      <c r="B20" s="3219" t="s">
        <v>3052</v>
      </c>
      <c r="C20" s="3265">
        <f ca="1">ROUND(C19*F20,0)</f>
        <v>0</v>
      </c>
      <c r="D20" s="3286" t="s">
        <v>3053</v>
      </c>
      <c r="E20" s="3219" t="s">
        <v>3029</v>
      </c>
      <c r="F20" s="3278">
        <f>'[1]数据-取费表'!B37</f>
        <v>0</v>
      </c>
      <c r="G20" s="3271"/>
      <c r="H20" s="3260" t="s">
        <v>3030</v>
      </c>
      <c r="I20" s="3218" t="s">
        <v>3054</v>
      </c>
      <c r="J20" s="3287">
        <f ca="1">ROUND(M20*M21,0)</f>
        <v>0</v>
      </c>
      <c r="K20" s="3288" t="s">
        <v>3055</v>
      </c>
      <c r="L20" s="3219" t="s">
        <v>3056</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3016</v>
      </c>
      <c r="B21" s="3219" t="s">
        <v>3057</v>
      </c>
      <c r="C21" s="3265" t="s">
        <v>3058</v>
      </c>
      <c r="D21" s="3286" t="s">
        <v>3059</v>
      </c>
      <c r="E21" s="3219" t="s">
        <v>3060</v>
      </c>
      <c r="F21" s="3278">
        <f>'[1]数据-取费表'!B38</f>
        <v>0</v>
      </c>
      <c r="G21" s="3271"/>
      <c r="H21" s="3290"/>
      <c r="I21" s="3291"/>
      <c r="J21" s="3292"/>
      <c r="K21" s="3293"/>
      <c r="L21" s="3219" t="s">
        <v>3061</v>
      </c>
      <c r="M21" s="3220">
        <f ca="1">INDIRECT("'数据-取费表'!r"&amp;$G$1)</f>
        <v>13513.51</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3062</v>
      </c>
      <c r="B22" s="3219" t="s">
        <v>3063</v>
      </c>
      <c r="C22" s="3265"/>
      <c r="D22" s="3283" t="str">
        <f>IF(F23&lt;=1,"单利计息。","复利计息。")&amp;"建造成本、管理费用、销售费用产生的利息。"</f>
        <v>单利计息。建造成本、管理费用、销售费用产生的利息。</v>
      </c>
      <c r="E22" s="3284"/>
      <c r="F22" s="3280"/>
      <c r="G22" s="3209"/>
      <c r="H22" s="3260" t="s">
        <v>3008</v>
      </c>
      <c r="I22" s="3219" t="s">
        <v>3064</v>
      </c>
      <c r="J22" s="3265">
        <f ca="1">ROUND(J14*M22,0)</f>
        <v>656250</v>
      </c>
      <c r="K22" s="3281" t="s">
        <v>3065</v>
      </c>
      <c r="L22" s="3219" t="s">
        <v>3029</v>
      </c>
      <c r="M22" s="3294">
        <f ca="1">INDIRECT("'数据-取费表'!Ak"&amp;$G$1)</f>
        <v>2.5000000000000001E-2</v>
      </c>
    </row>
    <row r="23" spans="1:37" s="3277" customFormat="1" ht="18" customHeight="1">
      <c r="A23" s="3260" t="s">
        <v>3021</v>
      </c>
      <c r="B23" s="3219" t="s">
        <v>3066</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3067</v>
      </c>
      <c r="F23" s="3289">
        <f>'[1]数据-取费表'!B20</f>
        <v>0</v>
      </c>
      <c r="G23" s="3271"/>
      <c r="H23" s="3260" t="s">
        <v>3016</v>
      </c>
      <c r="I23" s="3219" t="s">
        <v>3068</v>
      </c>
      <c r="J23" s="3265">
        <f ca="1">ROUND(J13*M23,0)</f>
        <v>0</v>
      </c>
      <c r="K23" s="3281" t="s">
        <v>3069</v>
      </c>
      <c r="L23" s="3219" t="s">
        <v>3029</v>
      </c>
      <c r="M23" s="3296">
        <f ca="1">INDIRECT("'数据-取费表'!Al"&amp;$G$1)</f>
        <v>2E-3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3070</v>
      </c>
      <c r="B24" s="3219" t="s">
        <v>3071</v>
      </c>
      <c r="C24" s="3265">
        <f>ROUND(IF('[1]数据-取费表'!B22&lt;=1,F21*F24*F23/2,F21*(POWER((1+F24),F23/2)-1)),4)</f>
        <v>0</v>
      </c>
      <c r="D24" s="3295" t="str">
        <f>IF(F23&lt;=1,"销售费用×利率×(建设周期÷2)","销售费用×((1+利率)^(建设周期÷2)-1)")</f>
        <v>销售费用×利率×(建设周期÷2)</v>
      </c>
      <c r="E24" s="3219" t="s">
        <v>3072</v>
      </c>
      <c r="F24" s="3297">
        <f>'[1]数据-取费表'!B40</f>
        <v>0</v>
      </c>
      <c r="G24" s="3271"/>
      <c r="H24" s="3272" t="s">
        <v>3062</v>
      </c>
      <c r="I24" s="3247" t="s">
        <v>3052</v>
      </c>
      <c r="J24" s="3298">
        <f ca="1">ROUND(J5*M24,0)</f>
        <v>0</v>
      </c>
      <c r="K24" s="3299" t="s">
        <v>3073</v>
      </c>
      <c r="L24" s="3247" t="s">
        <v>3029</v>
      </c>
      <c r="M24" s="3248">
        <f ca="1">INDIRECT("'数据-取费表'!Am"&amp;$G$1)</f>
        <v>1.4999999999999999E-2</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3074</v>
      </c>
      <c r="B25" s="3219" t="s">
        <v>3075</v>
      </c>
      <c r="C25" s="3265"/>
      <c r="D25" s="3283" t="s">
        <v>3076</v>
      </c>
      <c r="E25" s="3284"/>
      <c r="F25" s="3280"/>
      <c r="G25" s="3209"/>
      <c r="H25" s="3251" t="s">
        <v>3077</v>
      </c>
      <c r="I25" s="3300" t="s">
        <v>3078</v>
      </c>
      <c r="J25" s="3253">
        <f ca="1">J5-J16</f>
        <v>-876750</v>
      </c>
      <c r="K25" s="3301" t="s">
        <v>3079</v>
      </c>
      <c r="L25" s="3302"/>
      <c r="M25" s="3303"/>
    </row>
    <row r="26" spans="1:37" ht="18" customHeight="1">
      <c r="A26" s="3260" t="s">
        <v>3021</v>
      </c>
      <c r="B26" s="3219" t="s">
        <v>3080</v>
      </c>
      <c r="C26" s="3265">
        <f ca="1">ROUND((C19+C20)*F26,0)</f>
        <v>1250000</v>
      </c>
      <c r="D26" s="3286" t="s">
        <v>3081</v>
      </c>
      <c r="E26" s="3230" t="s">
        <v>3082</v>
      </c>
      <c r="F26" s="3229">
        <f ca="1">INDIRECT("'数据-取费表'!q"&amp;$G$1)</f>
        <v>0.05</v>
      </c>
      <c r="G26" s="3209"/>
      <c r="H26" s="3210" t="s">
        <v>3083</v>
      </c>
      <c r="I26" s="3211" t="s">
        <v>3084</v>
      </c>
      <c r="J26" s="3221">
        <f ca="1">IF(J5&lt;&gt;0,ROUND(J25*(1-((1+M28)/(1+M26))^M27)/(M26-M28),0),0)</f>
        <v>0</v>
      </c>
      <c r="K26" s="3288" t="s">
        <v>3085</v>
      </c>
      <c r="L26" s="3219" t="s">
        <v>3086</v>
      </c>
      <c r="M26" s="3229">
        <f ca="1">INDIRECT("'数据-取费表'!I"&amp;$G$1)</f>
        <v>0.05</v>
      </c>
    </row>
    <row r="27" spans="1:37" ht="18" customHeight="1">
      <c r="A27" s="3260" t="s">
        <v>3070</v>
      </c>
      <c r="B27" s="3219" t="s">
        <v>3087</v>
      </c>
      <c r="C27" s="3265">
        <f ca="1">ROUND(F21*F26,4)</f>
        <v>0</v>
      </c>
      <c r="D27" s="3286" t="s">
        <v>3088</v>
      </c>
      <c r="E27" s="3269"/>
      <c r="F27" s="3270"/>
      <c r="G27" s="3209"/>
      <c r="H27" s="3227"/>
      <c r="I27" s="3304"/>
      <c r="J27" s="3228"/>
      <c r="K27" s="3305" t="s">
        <v>3089</v>
      </c>
      <c r="L27" s="3219" t="s">
        <v>3090</v>
      </c>
      <c r="M27" s="3306">
        <f ca="1">INDIRECT("'数据-取费表'!ag"&amp;$G$1)</f>
        <v>0</v>
      </c>
    </row>
    <row r="28" spans="1:37" s="3277" customFormat="1" ht="18" customHeight="1">
      <c r="A28" s="3260" t="s">
        <v>3091</v>
      </c>
      <c r="B28" s="3219" t="s">
        <v>3092</v>
      </c>
      <c r="C28" s="3265">
        <f>ROUND(F28/(1+'[1]数据-取费表'!C42),4)</f>
        <v>0</v>
      </c>
      <c r="D28" s="3286" t="s">
        <v>3093</v>
      </c>
      <c r="E28" s="3219" t="s">
        <v>3029</v>
      </c>
      <c r="F28" s="3278">
        <f>'[1]数据-取费表'!B41</f>
        <v>0</v>
      </c>
      <c r="G28" s="3271"/>
      <c r="H28" s="3237"/>
      <c r="I28" s="3307"/>
      <c r="J28" s="3253"/>
      <c r="K28" s="3293"/>
      <c r="L28" s="3219" t="s">
        <v>3094</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3095</v>
      </c>
      <c r="B29" s="3247" t="s">
        <v>3096</v>
      </c>
      <c r="C29" s="3298">
        <f ca="1">ROUND((C19+C20+C23+C26)/(1-F21-C24-C27-C28),0)</f>
        <v>26250000</v>
      </c>
      <c r="D29" s="3299"/>
      <c r="E29" s="3247"/>
      <c r="F29" s="3308"/>
      <c r="G29" s="3271"/>
      <c r="H29" s="3309" t="s">
        <v>3097</v>
      </c>
      <c r="I29" s="3310" t="s">
        <v>3098</v>
      </c>
      <c r="J29" s="3311">
        <f ca="1">ROUND(J26/(1+F40)^F41,0)</f>
        <v>0</v>
      </c>
      <c r="K29" s="3312" t="s">
        <v>3099</v>
      </c>
      <c r="L29" s="3313"/>
      <c r="M29" s="3314">
        <f ca="1">INDIRECT("'数据-取费表'!k"&amp;$G$1)</f>
        <v>10000</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3100</v>
      </c>
      <c r="B30" s="3252" t="s">
        <v>3035</v>
      </c>
      <c r="C30" s="3253">
        <f ca="1">ROUND(C31+C36+C37+C38,0)</f>
        <v>1001063</v>
      </c>
      <c r="D30" s="3257" t="s">
        <v>3036</v>
      </c>
      <c r="E30" s="3279"/>
      <c r="F30" s="3215"/>
      <c r="G30" s="3209"/>
      <c r="H30" s="3315"/>
      <c r="I30" s="3316"/>
      <c r="J30" s="3317"/>
      <c r="K30" s="3241"/>
      <c r="L30" s="3318"/>
      <c r="M30" s="3319"/>
    </row>
    <row r="31" spans="1:37" ht="18" customHeight="1">
      <c r="A31" s="3260" t="s">
        <v>3000</v>
      </c>
      <c r="B31" s="3219" t="s">
        <v>3041</v>
      </c>
      <c r="C31" s="3265">
        <f ca="1">ROUND(IF([1]项目基本情况!B11="自然人",C5*F31,C32+C33+C34),0)</f>
        <v>220500</v>
      </c>
      <c r="D31" s="3262" t="s">
        <v>3042</v>
      </c>
      <c r="E31" s="3281" t="s">
        <v>3043</v>
      </c>
      <c r="F31" s="3282">
        <f ca="1">IF([1]项目基本情况!B11="企业","",IF(INDIRECT("'数据-取费表'!c"&amp;$G$1)="住宅",5%,IF(F6*F7*F8/12/(1+'[1]数据-取费表'!C42)&gt;20000,12%,7%)))</f>
        <v>0.12</v>
      </c>
      <c r="G31" s="3209"/>
      <c r="H31" s="3315"/>
      <c r="I31" s="3316"/>
      <c r="J31" s="3317"/>
      <c r="K31" s="3241"/>
      <c r="L31" s="3318"/>
      <c r="M31" s="3319"/>
    </row>
    <row r="32" spans="1:37" ht="18" customHeight="1">
      <c r="A32" s="3260" t="s">
        <v>3021</v>
      </c>
      <c r="B32" s="3219" t="s">
        <v>3101</v>
      </c>
      <c r="C32" s="3265">
        <f ca="1">IF([1]项目基本情况!B11="自然人","——",ROUND(C5*F32/(1+'[1]数据-取费表'!C42),0))</f>
        <v>0</v>
      </c>
      <c r="D32" s="3281" t="s">
        <v>3102</v>
      </c>
      <c r="E32" s="3219" t="s">
        <v>3029</v>
      </c>
      <c r="F32" s="3297">
        <f>'[1]数据-取费表'!B41</f>
        <v>0</v>
      </c>
      <c r="G32" s="3209"/>
      <c r="H32" s="3315"/>
      <c r="I32" s="3316"/>
      <c r="J32" s="3317"/>
      <c r="K32" s="3241"/>
      <c r="L32" s="3318"/>
      <c r="M32" s="3319"/>
    </row>
    <row r="33" spans="1:18" ht="18" customHeight="1">
      <c r="A33" s="3260" t="s">
        <v>3070</v>
      </c>
      <c r="B33" s="3219" t="s">
        <v>3050</v>
      </c>
      <c r="C33" s="3265">
        <f ca="1">IF([1]项目基本情况!B11="自然人","——",IF(D33="按租金收入计税",ROUND(C5*F33,0),IF(D33="按房产原值计税",ROUND(C29*F33*0.7,0),INDIRECT("'数据-取费表'!Aj"&amp;$G$1))))</f>
        <v>220500</v>
      </c>
      <c r="D33" s="3285" t="s">
        <v>3051</v>
      </c>
      <c r="E33" s="3219" t="s">
        <v>3029</v>
      </c>
      <c r="F33" s="3278">
        <f>IF(D33="按票据","——",IF(D33="按租金收入计税",'[1]数据-取费表'!B51,'[1]数据-取费表'!B50))</f>
        <v>1.2E-2</v>
      </c>
      <c r="G33" s="3209"/>
      <c r="H33" s="3320"/>
      <c r="I33" s="3321"/>
      <c r="J33" s="3322"/>
      <c r="K33" s="3323"/>
      <c r="L33" s="3320"/>
      <c r="M33" s="3320"/>
    </row>
    <row r="34" spans="1:18" ht="18" customHeight="1">
      <c r="A34" s="3216" t="s">
        <v>3030</v>
      </c>
      <c r="B34" s="3218" t="s">
        <v>3054</v>
      </c>
      <c r="C34" s="3287">
        <f ca="1">IF([1]项目基本情况!B11="自然人","——",ROUND(F34*F35,))</f>
        <v>0</v>
      </c>
      <c r="D34" s="3288" t="s">
        <v>3055</v>
      </c>
      <c r="E34" s="3219" t="s">
        <v>3056</v>
      </c>
      <c r="F34" s="3289">
        <f>'[1]数据-取费表'!B52</f>
        <v>0</v>
      </c>
      <c r="G34" s="3209"/>
      <c r="H34" s="3315"/>
      <c r="I34" s="3321"/>
      <c r="J34" s="3322"/>
      <c r="K34" s="3324"/>
      <c r="L34" s="3325"/>
      <c r="M34" s="3325"/>
    </row>
    <row r="35" spans="1:18" ht="18" customHeight="1">
      <c r="A35" s="3326"/>
      <c r="B35" s="3327"/>
      <c r="C35" s="3292"/>
      <c r="D35" s="3293"/>
      <c r="E35" s="3219" t="s">
        <v>3061</v>
      </c>
      <c r="F35" s="3220">
        <f ca="1">INDIRECT("'数据-取费表'!r"&amp;$G$1)</f>
        <v>13513.51</v>
      </c>
      <c r="G35" s="3209"/>
      <c r="H35" s="3315"/>
      <c r="I35" s="3321"/>
      <c r="J35" s="3322"/>
      <c r="K35" s="3323"/>
      <c r="L35" s="3320"/>
      <c r="M35" s="3320"/>
    </row>
    <row r="36" spans="1:18" ht="18" customHeight="1">
      <c r="A36" s="3328" t="s">
        <v>3008</v>
      </c>
      <c r="B36" s="3219" t="s">
        <v>3064</v>
      </c>
      <c r="C36" s="3265">
        <f ca="1">ROUND(C29*F36,0)</f>
        <v>656250</v>
      </c>
      <c r="D36" s="3281" t="s">
        <v>3103</v>
      </c>
      <c r="E36" s="3219" t="s">
        <v>3029</v>
      </c>
      <c r="F36" s="3294">
        <f ca="1">INDIRECT("'数据-取费表'!Ak"&amp;$G$1)</f>
        <v>2.5000000000000001E-2</v>
      </c>
      <c r="G36" s="3209"/>
      <c r="H36" s="3320"/>
      <c r="I36" s="3321"/>
      <c r="J36" s="3322"/>
      <c r="K36" s="3329"/>
      <c r="L36" s="3320"/>
      <c r="M36" s="3320"/>
    </row>
    <row r="37" spans="1:18" ht="18" customHeight="1">
      <c r="A37" s="3260" t="s">
        <v>3016</v>
      </c>
      <c r="B37" s="3219" t="s">
        <v>3068</v>
      </c>
      <c r="C37" s="3265">
        <f ca="1">ROUND(C13*F37,0)</f>
        <v>50400</v>
      </c>
      <c r="D37" s="3281" t="s">
        <v>3069</v>
      </c>
      <c r="E37" s="3219" t="s">
        <v>3029</v>
      </c>
      <c r="F37" s="3296">
        <f ca="1">INDIRECT("'数据-取费表'!Al"&amp;$G$1)</f>
        <v>2E-3</v>
      </c>
      <c r="G37" s="3209"/>
      <c r="H37" s="3320"/>
      <c r="I37" s="3321"/>
      <c r="J37" s="3322"/>
      <c r="K37" s="3329"/>
      <c r="L37" s="3320"/>
      <c r="M37" s="3320"/>
    </row>
    <row r="38" spans="1:18" ht="18" customHeight="1" thickBot="1">
      <c r="A38" s="3272" t="s">
        <v>3062</v>
      </c>
      <c r="B38" s="3247" t="s">
        <v>3052</v>
      </c>
      <c r="C38" s="3298">
        <f ca="1">ROUND(C5*F38,1)</f>
        <v>73912.5</v>
      </c>
      <c r="D38" s="3299" t="s">
        <v>3073</v>
      </c>
      <c r="E38" s="3247" t="s">
        <v>3029</v>
      </c>
      <c r="F38" s="3248">
        <f ca="1">INDIRECT("'数据-取费表'!Am"&amp;$G$1)</f>
        <v>1.4999999999999999E-2</v>
      </c>
      <c r="G38" s="3209"/>
      <c r="H38" s="3320"/>
      <c r="I38" s="3321"/>
      <c r="J38" s="3322"/>
      <c r="K38" s="3330"/>
      <c r="L38" s="3320"/>
      <c r="M38" s="3320"/>
    </row>
    <row r="39" spans="1:18" ht="24.6" customHeight="1" thickTop="1">
      <c r="A39" s="3251" t="s">
        <v>3077</v>
      </c>
      <c r="B39" s="3300" t="s">
        <v>3078</v>
      </c>
      <c r="C39" s="3253">
        <f ca="1">C5-C30</f>
        <v>3926437</v>
      </c>
      <c r="D39" s="3301" t="s">
        <v>3079</v>
      </c>
      <c r="E39" s="3302"/>
      <c r="F39" s="3303"/>
      <c r="G39" s="3209"/>
      <c r="H39" s="3320"/>
      <c r="I39" s="3321"/>
      <c r="J39" s="3322"/>
      <c r="K39" s="3330"/>
      <c r="L39" s="3320"/>
      <c r="M39" s="3320"/>
    </row>
    <row r="40" spans="1:18" ht="18" customHeight="1">
      <c r="A40" s="3210" t="s">
        <v>3083</v>
      </c>
      <c r="B40" s="3211" t="s">
        <v>3104</v>
      </c>
      <c r="C40" s="3221">
        <f ca="1">ROUND(C39*(1-((1+F42)/(1+F40))^F41)/(F40-F42),0)</f>
        <v>71680741</v>
      </c>
      <c r="D40" s="3288" t="s">
        <v>3085</v>
      </c>
      <c r="E40" s="3219" t="s">
        <v>3086</v>
      </c>
      <c r="F40" s="3229">
        <f ca="1">INDIRECT("'数据-取费表'!I"&amp;$G$1)</f>
        <v>0.05</v>
      </c>
      <c r="G40" s="3209"/>
      <c r="H40" s="3331"/>
      <c r="I40" s="3321"/>
      <c r="J40" s="3322"/>
      <c r="K40" s="3330"/>
      <c r="L40" s="3331"/>
      <c r="M40" s="3331"/>
    </row>
    <row r="41" spans="1:18" ht="18" customHeight="1">
      <c r="A41" s="3227"/>
      <c r="B41" s="3304"/>
      <c r="C41" s="3228"/>
      <c r="D41" s="3305" t="s">
        <v>3089</v>
      </c>
      <c r="E41" s="3219" t="s">
        <v>3090</v>
      </c>
      <c r="F41" s="3306">
        <f ca="1">IF(INDIRECT("'数据-取费表'!af"&amp;$G$1)=0,INDIRECT("'数据-取费表'!ae"&amp;$G$1),INDIRECT("'数据-取费表'!af"&amp;$G$1))</f>
        <v>50</v>
      </c>
      <c r="G41" s="3209"/>
      <c r="H41" s="3332"/>
      <c r="I41" s="3321"/>
      <c r="J41" s="3322"/>
      <c r="K41" s="3329"/>
      <c r="L41" s="3332"/>
      <c r="M41" s="3332"/>
    </row>
    <row r="42" spans="1:18" ht="18" customHeight="1">
      <c r="A42" s="3237"/>
      <c r="B42" s="3307"/>
      <c r="C42" s="3253"/>
      <c r="D42" s="3293"/>
      <c r="E42" s="3219" t="s">
        <v>3094</v>
      </c>
      <c r="F42" s="3229">
        <f ca="1">INDIRECT("'数据-取费表'!v"&amp;$G$1)</f>
        <v>0</v>
      </c>
      <c r="G42" s="3209"/>
      <c r="H42" s="3332"/>
      <c r="I42" s="3321"/>
      <c r="J42" s="3322"/>
      <c r="K42" s="3329"/>
      <c r="L42" s="3332"/>
      <c r="M42" s="3332"/>
    </row>
    <row r="43" spans="1:18" ht="18" customHeight="1" thickBot="1">
      <c r="A43" s="3309" t="s">
        <v>3097</v>
      </c>
      <c r="B43" s="3310" t="s">
        <v>3105</v>
      </c>
      <c r="C43" s="3311">
        <f ca="1">ROUND(C40/F43,0)</f>
        <v>7168</v>
      </c>
      <c r="D43" s="3312" t="s">
        <v>3106</v>
      </c>
      <c r="E43" s="3313" t="s">
        <v>3107</v>
      </c>
      <c r="F43" s="3314">
        <f ca="1">INDIRECT("'数据-取费表'!k"&amp;$G$1)</f>
        <v>10000</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-88606722</v>
      </c>
      <c r="D45" s="3337" t="s">
        <v>3108</v>
      </c>
      <c r="E45" s="3333"/>
      <c r="F45" s="3333"/>
      <c r="O45" s="3338" t="s">
        <v>3109</v>
      </c>
      <c r="P45" s="3331"/>
      <c r="Q45" s="3331"/>
      <c r="R45" s="3331"/>
    </row>
    <row r="46" spans="1:18" s="3200" customFormat="1" ht="13.5" thickBot="1">
      <c r="A46" s="3339" t="s">
        <v>3110</v>
      </c>
      <c r="C46" s="3340">
        <f ca="1">ROUND(C45/10000,0)</f>
        <v>-8861</v>
      </c>
      <c r="D46" s="3341" t="str">
        <f>C2</f>
        <v>万元</v>
      </c>
      <c r="I46" s="3342" t="s">
        <v>3111</v>
      </c>
      <c r="J46" s="3343"/>
      <c r="K46" s="3344"/>
      <c r="L46" s="3345" t="e">
        <f ca="1">IF(M47="住宅",0,IF(L48&gt;J51,L60,J60))</f>
        <v>#DIV/0!</v>
      </c>
      <c r="O46" s="3346" t="s">
        <v>3112</v>
      </c>
      <c r="P46" s="3347" t="s">
        <v>3113</v>
      </c>
      <c r="Q46" s="3348" t="s">
        <v>3114</v>
      </c>
      <c r="R46" s="3348" t="s">
        <v>3115</v>
      </c>
    </row>
    <row r="47" spans="1:18" s="3200" customFormat="1" ht="13.5" thickBot="1">
      <c r="A47" s="3349" t="s">
        <v>2994</v>
      </c>
      <c r="B47" s="3350" t="s">
        <v>2995</v>
      </c>
      <c r="C47" s="3350" t="s">
        <v>2996</v>
      </c>
      <c r="D47" s="3350" t="s">
        <v>2997</v>
      </c>
      <c r="E47" s="3351" t="s">
        <v>2993</v>
      </c>
      <c r="F47" s="3352"/>
      <c r="G47" s="3353"/>
      <c r="I47" s="3354" t="s">
        <v>3116</v>
      </c>
      <c r="J47" s="3355"/>
      <c r="K47" s="3356" t="s">
        <v>3117</v>
      </c>
      <c r="L47" s="3357">
        <f ca="1">INDIRECT("'数据-取费表'!d"&amp;$G$1)</f>
        <v>50</v>
      </c>
      <c r="M47" s="3358" t="str">
        <f>IF(ISNUMBER(FIND("住宅",C1)),"住宅","非住宅")</f>
        <v>非住宅</v>
      </c>
      <c r="O47" s="3359" t="s">
        <v>2384</v>
      </c>
      <c r="P47" s="3360" t="s">
        <v>3118</v>
      </c>
      <c r="Q47" s="3361">
        <f ca="1">C40+J29</f>
        <v>71680741</v>
      </c>
      <c r="R47" s="3361" t="s">
        <v>3119</v>
      </c>
    </row>
    <row r="48" spans="1:18" s="3200" customFormat="1" ht="28.5" thickBot="1">
      <c r="A48" s="3362" t="s">
        <v>3120</v>
      </c>
      <c r="B48" s="3211" t="s">
        <v>2998</v>
      </c>
      <c r="C48" s="3363">
        <f ca="1">C49+C53+C55</f>
        <v>0</v>
      </c>
      <c r="D48" s="3364"/>
      <c r="E48" s="3365"/>
      <c r="F48" s="3366"/>
      <c r="G48" s="3353"/>
      <c r="H48" s="3367"/>
      <c r="I48" s="3368" t="s">
        <v>3121</v>
      </c>
      <c r="J48" s="3369"/>
      <c r="K48" s="3370" t="s">
        <v>3122</v>
      </c>
      <c r="L48" s="3371">
        <f ca="1">INDIRECT("'数据-取费表'!f"&amp;$G$1)</f>
        <v>50</v>
      </c>
      <c r="O48" s="3359" t="s">
        <v>2386</v>
      </c>
      <c r="P48" s="3360" t="s">
        <v>3123</v>
      </c>
      <c r="Q48" s="3361" t="str">
        <f ca="1">J60</f>
        <v>0</v>
      </c>
      <c r="R48" s="3361" t="s">
        <v>3124</v>
      </c>
    </row>
    <row r="49" spans="1:18" s="3200" customFormat="1" ht="13.5" thickBot="1">
      <c r="A49" s="3372" t="s">
        <v>3125</v>
      </c>
      <c r="B49" s="3373" t="s">
        <v>3126</v>
      </c>
      <c r="C49" s="3374">
        <f ca="1">ROUND(F49*F51*F50*(1-F52),0)</f>
        <v>0</v>
      </c>
      <c r="D49" s="3375" t="s">
        <v>3127</v>
      </c>
      <c r="E49" s="3376" t="s">
        <v>3128</v>
      </c>
      <c r="F49" s="3377"/>
      <c r="G49" s="3378"/>
      <c r="H49" s="3367"/>
      <c r="I49" s="3368" t="s">
        <v>3129</v>
      </c>
      <c r="J49" s="3379"/>
      <c r="K49" s="3370" t="s">
        <v>3130</v>
      </c>
      <c r="L49" s="3380"/>
      <c r="O49" s="3381" t="s">
        <v>2388</v>
      </c>
      <c r="P49" s="3360" t="s">
        <v>3131</v>
      </c>
      <c r="Q49" s="3361">
        <f ca="1">C29</f>
        <v>26250000</v>
      </c>
      <c r="R49" s="3361" t="s">
        <v>3119</v>
      </c>
    </row>
    <row r="50" spans="1:18" s="3200" customFormat="1" ht="13.5" thickBot="1">
      <c r="A50" s="3382"/>
      <c r="B50" s="3383"/>
      <c r="C50" s="3384"/>
      <c r="D50" s="3385"/>
      <c r="E50" s="3386" t="s">
        <v>3005</v>
      </c>
      <c r="F50" s="3387">
        <f ca="1">F7</f>
        <v>10000</v>
      </c>
      <c r="H50" s="3367"/>
      <c r="I50" s="3368" t="s">
        <v>3132</v>
      </c>
      <c r="J50" s="3388">
        <f>SUMPRODUCT((I63:I65=J47)*(J62:L62=J48)*(J63:L65))</f>
        <v>0</v>
      </c>
      <c r="K50" s="3370" t="s">
        <v>3133</v>
      </c>
      <c r="L50" s="3380"/>
      <c r="M50" s="3389"/>
      <c r="O50" s="3381" t="s">
        <v>2389</v>
      </c>
      <c r="P50" s="3360" t="s">
        <v>3134</v>
      </c>
      <c r="Q50" s="3390" t="e">
        <f ca="1">J58</f>
        <v>#VALUE!</v>
      </c>
      <c r="R50" s="3361"/>
    </row>
    <row r="51" spans="1:18" s="3200" customFormat="1" ht="13.5" thickBot="1">
      <c r="A51" s="3391"/>
      <c r="B51" s="3383"/>
      <c r="C51" s="3384"/>
      <c r="D51" s="3385"/>
      <c r="E51" s="3392" t="s">
        <v>3006</v>
      </c>
      <c r="F51" s="3220">
        <f ca="1">F8</f>
        <v>365</v>
      </c>
      <c r="I51" s="3393" t="s">
        <v>3135</v>
      </c>
      <c r="J51" s="3394">
        <f>IF(J49="",J50,J49+J50-YEAR('[1]数据-取费表'!B2))</f>
        <v>0</v>
      </c>
      <c r="K51" s="3395" t="s">
        <v>3136</v>
      </c>
      <c r="L51" s="3396">
        <f ca="1">ROUND(-PV(INDIRECT("'数据-取费表'!h"&amp;$G$1),L48,(C39-C13*C76),0),0)</f>
        <v>49272736</v>
      </c>
      <c r="M51" s="3397"/>
      <c r="O51" s="3381" t="s">
        <v>2391</v>
      </c>
      <c r="P51" s="3360" t="s">
        <v>3137</v>
      </c>
      <c r="Q51" s="3390">
        <f>J52</f>
        <v>0</v>
      </c>
      <c r="R51" s="3361"/>
    </row>
    <row r="52" spans="1:18" s="3200" customFormat="1" ht="13.5" thickBot="1">
      <c r="A52" s="3391"/>
      <c r="B52" s="3383"/>
      <c r="C52" s="3384"/>
      <c r="D52" s="3385"/>
      <c r="E52" s="3392" t="s">
        <v>3007</v>
      </c>
      <c r="F52" s="3398"/>
      <c r="I52" s="3399" t="s">
        <v>3138</v>
      </c>
      <c r="J52" s="3400"/>
      <c r="K52" s="3399" t="s">
        <v>3139</v>
      </c>
      <c r="L52" s="3400"/>
      <c r="O52" s="3381" t="s">
        <v>2393</v>
      </c>
      <c r="P52" s="3360" t="s">
        <v>3140</v>
      </c>
      <c r="Q52" s="3361" t="b">
        <f>J53</f>
        <v>0</v>
      </c>
      <c r="R52" s="3361" t="s">
        <v>3141</v>
      </c>
    </row>
    <row r="53" spans="1:18" s="3200" customFormat="1" ht="30.75" customHeight="1" thickBot="1">
      <c r="A53" s="3401" t="s">
        <v>3142</v>
      </c>
      <c r="B53" s="3286" t="s">
        <v>3009</v>
      </c>
      <c r="C53" s="3233">
        <f>ROUND(IF(F53="押一",F49*F51*F50/12*F11,IF(F53="押二",F49*F51*F50/12*2*F11,IF(F53="押三",F49*F51*F50/12*3*F11,C54*F11))),0)</f>
        <v>0</v>
      </c>
      <c r="D53" s="3234" t="s">
        <v>3143</v>
      </c>
      <c r="E53" s="3230" t="s">
        <v>3011</v>
      </c>
      <c r="F53" s="3235"/>
      <c r="I53" s="3402" t="s">
        <v>3144</v>
      </c>
      <c r="J53" s="3403" t="b">
        <f>IF(M47="住宅",J51,IF(D1="——",MIN(J51,L48),IF(D1="在建（套用方法）",MIN(J51,L48-'[1]数据-取费表'!B24),IF(D1="土地（套用方法）",MIN(J51,L48-'[1]数据-取费表'!B20)))))</f>
        <v>0</v>
      </c>
      <c r="K53" s="3489" t="s">
        <v>3145</v>
      </c>
      <c r="L53" s="3490"/>
      <c r="O53" s="3359" t="s">
        <v>2396</v>
      </c>
      <c r="P53" s="3360" t="s">
        <v>3146</v>
      </c>
      <c r="Q53" s="3361">
        <f ca="1">Q47+Q48</f>
        <v>71680741</v>
      </c>
      <c r="R53" s="3361" t="s">
        <v>2397</v>
      </c>
    </row>
    <row r="54" spans="1:18" s="3200" customFormat="1" ht="13.5" thickBot="1">
      <c r="A54" s="3372"/>
      <c r="B54" s="3404" t="s">
        <v>3015</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3147</v>
      </c>
      <c r="P54" s="3331"/>
      <c r="Q54" s="3331"/>
      <c r="R54" s="3331"/>
    </row>
    <row r="55" spans="1:18" s="3200" customFormat="1" ht="13.5" thickBot="1">
      <c r="A55" s="3243" t="s">
        <v>3016</v>
      </c>
      <c r="B55" s="3244" t="s">
        <v>3017</v>
      </c>
      <c r="C55" s="3245"/>
      <c r="D55" s="3234"/>
      <c r="E55" s="3405"/>
      <c r="F55" s="3406"/>
      <c r="I55" s="3409" t="s">
        <v>3148</v>
      </c>
      <c r="J55" s="3410" t="e">
        <f ca="1">ROUND(IF(J47="钢混",J57/J50,1-(1-2%)*(J50-J57)/J50),3)</f>
        <v>#VALUE!</v>
      </c>
      <c r="K55" s="3411" t="s">
        <v>3149</v>
      </c>
      <c r="L55" s="3412"/>
      <c r="O55" s="3346" t="s">
        <v>3112</v>
      </c>
      <c r="P55" s="3347" t="s">
        <v>3113</v>
      </c>
      <c r="Q55" s="3348" t="s">
        <v>3114</v>
      </c>
      <c r="R55" s="3348" t="s">
        <v>3115</v>
      </c>
    </row>
    <row r="56" spans="1:18" s="3200" customFormat="1" ht="36" customHeight="1" thickTop="1" thickBot="1">
      <c r="A56" s="3413">
        <v>2</v>
      </c>
      <c r="B56" s="3414" t="s">
        <v>3018</v>
      </c>
      <c r="C56" s="3415">
        <f ca="1">C13</f>
        <v>25200000</v>
      </c>
      <c r="D56" s="3416"/>
      <c r="E56" s="3417"/>
      <c r="F56" s="3406"/>
      <c r="I56" s="3418" t="s">
        <v>3150</v>
      </c>
      <c r="J56" s="3419"/>
      <c r="K56" s="3368" t="s">
        <v>3151</v>
      </c>
      <c r="L56" s="3371">
        <f ca="1">IF(L48&lt;J51,"——",L48-J51)</f>
        <v>50</v>
      </c>
      <c r="O56" s="3359" t="s">
        <v>2384</v>
      </c>
      <c r="P56" s="3360" t="s">
        <v>3118</v>
      </c>
      <c r="Q56" s="3361">
        <f ca="1">C40+J29</f>
        <v>71680741</v>
      </c>
      <c r="R56" s="3361" t="s">
        <v>3119</v>
      </c>
    </row>
    <row r="57" spans="1:18" s="3200" customFormat="1" ht="24.75" thickBot="1">
      <c r="A57" s="3420"/>
      <c r="B57" s="3421" t="s">
        <v>3096</v>
      </c>
      <c r="C57" s="3422">
        <f ca="1">C29</f>
        <v>26250000</v>
      </c>
      <c r="D57" s="3423"/>
      <c r="E57" s="3424"/>
      <c r="F57" s="3425"/>
      <c r="I57" s="3426" t="s">
        <v>3152</v>
      </c>
      <c r="J57" s="3427" t="str">
        <f ca="1">IF(OR(M47="住宅",J51&lt;L48,J56="是"),"——",J51-L48)</f>
        <v>——</v>
      </c>
      <c r="K57" s="3368" t="s">
        <v>3153</v>
      </c>
      <c r="L57" s="3371">
        <f ca="1">IF(L48&lt;J51,"——",IF(L55="比较法",L49,IF(L55="基准地价",L50,L51)))</f>
        <v>49272736</v>
      </c>
      <c r="O57" s="3359" t="s">
        <v>2386</v>
      </c>
      <c r="P57" s="3360" t="s">
        <v>3154</v>
      </c>
      <c r="Q57" s="3361" t="e">
        <f ca="1">L60</f>
        <v>#DIV/0!</v>
      </c>
      <c r="R57" s="3361" t="s">
        <v>3155</v>
      </c>
    </row>
    <row r="58" spans="1:18" s="3200" customFormat="1" ht="24.75" thickBot="1">
      <c r="A58" s="3428" t="s">
        <v>3100</v>
      </c>
      <c r="B58" s="3414" t="s">
        <v>3035</v>
      </c>
      <c r="C58" s="3233">
        <f ca="1">ROUND(C59+C64+C65+C66,0)</f>
        <v>927150</v>
      </c>
      <c r="D58" s="3429" t="s">
        <v>3036</v>
      </c>
      <c r="E58" s="3430"/>
      <c r="F58" s="3366"/>
      <c r="I58" s="3426" t="s">
        <v>3156</v>
      </c>
      <c r="J58" s="3431" t="e">
        <f ca="1">IF(J55&lt;0.4,0.4,J55)</f>
        <v>#VALUE!</v>
      </c>
      <c r="K58" s="3395" t="s">
        <v>3157</v>
      </c>
      <c r="L58" s="3371" t="e">
        <f ca="1">ROUND(POWER(1+L52,L47-L48)*(POWER(1+L52,L48)-1)/(POWER(1+L52,L47)-1),4)</f>
        <v>#DIV/0!</v>
      </c>
      <c r="O58" s="3381" t="s">
        <v>2388</v>
      </c>
      <c r="P58" s="3360" t="s">
        <v>3158</v>
      </c>
      <c r="Q58" s="3361">
        <f>IF(L55="比较法",L49,IF(L55="基准地价",L50,0))</f>
        <v>0</v>
      </c>
      <c r="R58" s="3361" t="s">
        <v>3119</v>
      </c>
    </row>
    <row r="59" spans="1:18" s="3200" customFormat="1" ht="24.75" thickBot="1">
      <c r="A59" s="3260" t="s">
        <v>3000</v>
      </c>
      <c r="B59" s="3421" t="s">
        <v>3041</v>
      </c>
      <c r="C59" s="3265">
        <f ca="1">ROUND(IF([1]项目基本情况!B11="自然人",C48*F59,C60+C61+C62),0)</f>
        <v>220500</v>
      </c>
      <c r="D59" s="3432" t="s">
        <v>3042</v>
      </c>
      <c r="E59" s="3433" t="s">
        <v>3043</v>
      </c>
      <c r="F59" s="3282">
        <f ca="1">IF([1]项目基本情况!B11="企业","",IF(INDIRECT("'数据-取费表'!c"&amp;$G$1)="住宅",5%,IF(F49*F50*F51/12/(1+'[1]数据-取费表'!C42)&gt;20000,12%,7%)))</f>
        <v>7.0000000000000007E-2</v>
      </c>
      <c r="I59" s="3426" t="s">
        <v>3159</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3160</v>
      </c>
      <c r="Q59" s="3390">
        <f>L52</f>
        <v>0</v>
      </c>
      <c r="R59" s="3361"/>
    </row>
    <row r="60" spans="1:18" s="3200" customFormat="1" ht="16.5" thickBot="1">
      <c r="A60" s="3260" t="s">
        <v>3021</v>
      </c>
      <c r="B60" s="3421" t="s">
        <v>3101</v>
      </c>
      <c r="C60" s="3265">
        <f ca="1">IF([1]项目基本情况!B11="自然人","——",ROUND(C48*F60/(1+'[1]数据-取费表'!C42),0))</f>
        <v>0</v>
      </c>
      <c r="D60" s="3433" t="s">
        <v>3102</v>
      </c>
      <c r="E60" s="3421" t="s">
        <v>3029</v>
      </c>
      <c r="F60" s="3297">
        <f t="shared" ref="F60:F66" si="0">F32</f>
        <v>0</v>
      </c>
      <c r="I60" s="3434" t="s">
        <v>3161</v>
      </c>
      <c r="J60" s="3435" t="str">
        <f ca="1">IF(OR(M47="住宅",J51&lt;L48,J56="是"),"0",ROUND(J59/(1+J52)^J53,0))</f>
        <v>0</v>
      </c>
      <c r="K60" s="3436" t="s">
        <v>3162</v>
      </c>
      <c r="L60" s="3435" t="e">
        <f ca="1">IF(OR(M47="住宅",L48&lt;J51),0,ROUND(L57*(L58/L59-1),0))</f>
        <v>#DIV/0!</v>
      </c>
      <c r="O60" s="3381" t="s">
        <v>2391</v>
      </c>
      <c r="P60" s="3360" t="s">
        <v>3163</v>
      </c>
      <c r="Q60" s="3361" t="e">
        <f ca="1">L58</f>
        <v>#DIV/0!</v>
      </c>
      <c r="R60" s="3361" t="s">
        <v>3164</v>
      </c>
    </row>
    <row r="61" spans="1:18" s="3200" customFormat="1" ht="13.5" thickBot="1">
      <c r="A61" s="3260" t="s">
        <v>3165</v>
      </c>
      <c r="B61" s="3421" t="s">
        <v>3050</v>
      </c>
      <c r="C61" s="3265">
        <f ca="1">IF([1]项目基本情况!B11="自然人","——",IF(D61="按租金收入计税",ROUND(C48*F61,0),IF(D61="按房产原值计税",ROUND(C57*F61*0.7,0),INDIRECT("'数据-取费表'!Aj"&amp;$G$1))))</f>
        <v>220500</v>
      </c>
      <c r="D61" s="3285" t="s">
        <v>3051</v>
      </c>
      <c r="E61" s="3421" t="s">
        <v>3029</v>
      </c>
      <c r="F61" s="3278">
        <f t="shared" si="0"/>
        <v>1.2E-2</v>
      </c>
      <c r="I61" s="3437"/>
      <c r="J61" s="3437"/>
      <c r="K61" s="3437"/>
      <c r="L61" s="3437"/>
      <c r="O61" s="3381" t="s">
        <v>2393</v>
      </c>
      <c r="P61" s="3360" t="str">
        <f>K59</f>
        <v>建设期及建筑物耐用年限下的土地年期修正系数Kn</v>
      </c>
      <c r="Q61" s="3361" t="e">
        <f ca="1">L59</f>
        <v>#DIV/0!</v>
      </c>
      <c r="R61" s="3361" t="s">
        <v>3166</v>
      </c>
    </row>
    <row r="62" spans="1:18" s="3200" customFormat="1" ht="13.5" thickBot="1">
      <c r="A62" s="3260" t="s">
        <v>3167</v>
      </c>
      <c r="B62" s="3438" t="s">
        <v>3054</v>
      </c>
      <c r="C62" s="3287">
        <f ca="1">IF([1]项目基本情况!B11="自然人","——",ROUND(F62*F63,0))</f>
        <v>0</v>
      </c>
      <c r="D62" s="3439" t="s">
        <v>3055</v>
      </c>
      <c r="E62" s="3421" t="s">
        <v>3056</v>
      </c>
      <c r="F62" s="3289">
        <f t="shared" si="0"/>
        <v>0</v>
      </c>
      <c r="I62" s="3440" t="s">
        <v>3168</v>
      </c>
      <c r="J62" s="3441" t="s">
        <v>3169</v>
      </c>
      <c r="K62" s="3441" t="s">
        <v>3170</v>
      </c>
      <c r="L62" s="3441" t="s">
        <v>3171</v>
      </c>
      <c r="M62" s="3442" t="s">
        <v>3172</v>
      </c>
      <c r="O62" s="3359" t="s">
        <v>2396</v>
      </c>
      <c r="P62" s="3360" t="s">
        <v>3146</v>
      </c>
      <c r="Q62" s="3361" t="e">
        <f ca="1">Q56+Q57</f>
        <v>#DIV/0!</v>
      </c>
      <c r="R62" s="3361" t="s">
        <v>2397</v>
      </c>
    </row>
    <row r="63" spans="1:18" s="3200" customFormat="1" ht="13.5" thickBot="1">
      <c r="A63" s="3290"/>
      <c r="B63" s="3443"/>
      <c r="C63" s="3292"/>
      <c r="D63" s="3444"/>
      <c r="E63" s="3421" t="s">
        <v>3061</v>
      </c>
      <c r="F63" s="3220">
        <f t="shared" ca="1" si="0"/>
        <v>13513.51</v>
      </c>
      <c r="I63" s="3440" t="s">
        <v>3173</v>
      </c>
      <c r="J63" s="3441">
        <v>70</v>
      </c>
      <c r="K63" s="3441">
        <v>50</v>
      </c>
      <c r="L63" s="3441">
        <v>80</v>
      </c>
      <c r="M63" s="3445">
        <v>0.02</v>
      </c>
      <c r="O63" s="3338" t="s">
        <v>3174</v>
      </c>
      <c r="P63" s="3331"/>
      <c r="Q63" s="3331"/>
      <c r="R63" s="3331"/>
    </row>
    <row r="64" spans="1:18" s="3200" customFormat="1" ht="13.5" thickBot="1">
      <c r="A64" s="3260" t="s">
        <v>3008</v>
      </c>
      <c r="B64" s="3421" t="s">
        <v>3064</v>
      </c>
      <c r="C64" s="3265">
        <f ca="1">ROUND(C57*F64,0)</f>
        <v>656250</v>
      </c>
      <c r="D64" s="3433" t="s">
        <v>3103</v>
      </c>
      <c r="E64" s="3421" t="s">
        <v>3029</v>
      </c>
      <c r="F64" s="3294">
        <f t="shared" ca="1" si="0"/>
        <v>2.5000000000000001E-2</v>
      </c>
      <c r="I64" s="3440" t="s">
        <v>3175</v>
      </c>
      <c r="J64" s="3441">
        <v>50</v>
      </c>
      <c r="K64" s="3441">
        <v>35</v>
      </c>
      <c r="L64" s="3441">
        <v>60</v>
      </c>
      <c r="M64" s="3442">
        <v>0</v>
      </c>
      <c r="O64" s="3346" t="s">
        <v>3112</v>
      </c>
      <c r="P64" s="3347" t="s">
        <v>3113</v>
      </c>
      <c r="Q64" s="3348" t="s">
        <v>3114</v>
      </c>
      <c r="R64" s="3348" t="s">
        <v>3115</v>
      </c>
    </row>
    <row r="65" spans="1:18" s="3200" customFormat="1" ht="13.5" thickBot="1">
      <c r="A65" s="3260" t="s">
        <v>3176</v>
      </c>
      <c r="B65" s="3421" t="s">
        <v>3068</v>
      </c>
      <c r="C65" s="3265">
        <f ca="1">ROUND(C56*F65,0)</f>
        <v>50400</v>
      </c>
      <c r="D65" s="3433" t="s">
        <v>3069</v>
      </c>
      <c r="E65" s="3421" t="s">
        <v>3029</v>
      </c>
      <c r="F65" s="3296">
        <f t="shared" ca="1" si="0"/>
        <v>2E-3</v>
      </c>
      <c r="I65" s="3440" t="s">
        <v>3177</v>
      </c>
      <c r="J65" s="3441">
        <v>40</v>
      </c>
      <c r="K65" s="3441">
        <v>30</v>
      </c>
      <c r="L65" s="3441">
        <v>50</v>
      </c>
      <c r="M65" s="3445">
        <v>0.02</v>
      </c>
      <c r="O65" s="3359" t="s">
        <v>2384</v>
      </c>
      <c r="P65" s="3360" t="s">
        <v>3118</v>
      </c>
      <c r="Q65" s="3361">
        <f ca="1">C40+J29</f>
        <v>71680741</v>
      </c>
      <c r="R65" s="3361" t="s">
        <v>3119</v>
      </c>
    </row>
    <row r="66" spans="1:18" s="3200" customFormat="1" ht="16.5" thickBot="1">
      <c r="A66" s="3260" t="s">
        <v>3178</v>
      </c>
      <c r="B66" s="3421" t="s">
        <v>3052</v>
      </c>
      <c r="C66" s="3265">
        <f ca="1">ROUND(C48*F66,0)</f>
        <v>0</v>
      </c>
      <c r="D66" s="3433" t="s">
        <v>3073</v>
      </c>
      <c r="E66" s="3421" t="s">
        <v>3029</v>
      </c>
      <c r="F66" s="3229">
        <f t="shared" ca="1" si="0"/>
        <v>1.4999999999999999E-2</v>
      </c>
      <c r="O66" s="3359" t="s">
        <v>2386</v>
      </c>
      <c r="P66" s="3360" t="s">
        <v>3154</v>
      </c>
      <c r="Q66" s="3361" t="e">
        <f ca="1">L60</f>
        <v>#DIV/0!</v>
      </c>
      <c r="R66" s="3361" t="s">
        <v>3179</v>
      </c>
    </row>
    <row r="67" spans="1:18" s="3200" customFormat="1" ht="16.5" thickBot="1">
      <c r="A67" s="3413" t="s">
        <v>3077</v>
      </c>
      <c r="B67" s="3446" t="s">
        <v>3078</v>
      </c>
      <c r="C67" s="3233">
        <f ca="1">C48-C58</f>
        <v>-927150</v>
      </c>
      <c r="D67" s="3432" t="s">
        <v>3079</v>
      </c>
      <c r="E67" s="3447"/>
      <c r="F67" s="3448"/>
      <c r="O67" s="3381" t="s">
        <v>2388</v>
      </c>
      <c r="P67" s="3360" t="s">
        <v>3158</v>
      </c>
      <c r="Q67" s="3449">
        <f ca="1">L51</f>
        <v>49272736</v>
      </c>
      <c r="R67" s="3361" t="s">
        <v>3180</v>
      </c>
    </row>
    <row r="68" spans="1:18" s="3200" customFormat="1" ht="16.5" thickBot="1">
      <c r="A68" s="3450" t="s">
        <v>3083</v>
      </c>
      <c r="B68" s="3451" t="s">
        <v>3104</v>
      </c>
      <c r="C68" s="3221">
        <f ca="1">ROUND(C67*(1-((1+F70)/(1+F68))^F69)/(F68-F70),0)</f>
        <v>-16925981</v>
      </c>
      <c r="D68" s="3439" t="s">
        <v>3085</v>
      </c>
      <c r="E68" s="3421" t="s">
        <v>3086</v>
      </c>
      <c r="F68" s="3229">
        <f ca="1">F40</f>
        <v>0.05</v>
      </c>
      <c r="O68" s="3381" t="s">
        <v>2389</v>
      </c>
      <c r="P68" s="3452" t="s">
        <v>3181</v>
      </c>
      <c r="Q68" s="3361">
        <f ca="1">ROUND(Q69-Q70*Q71,0)</f>
        <v>2616037</v>
      </c>
      <c r="R68" s="3361" t="s">
        <v>3182</v>
      </c>
    </row>
    <row r="69" spans="1:18" s="3200" customFormat="1" ht="13.5" thickBot="1">
      <c r="A69" s="3453"/>
      <c r="B69" s="3454"/>
      <c r="C69" s="3228"/>
      <c r="D69" s="3455" t="s">
        <v>3089</v>
      </c>
      <c r="E69" s="3421" t="s">
        <v>3090</v>
      </c>
      <c r="F69" s="3306">
        <f ca="1">F41</f>
        <v>50</v>
      </c>
      <c r="O69" s="3381" t="s">
        <v>2404</v>
      </c>
      <c r="P69" s="3452" t="s">
        <v>3183</v>
      </c>
      <c r="Q69" s="3361">
        <f ca="1">C39</f>
        <v>3926437</v>
      </c>
      <c r="R69" s="3361" t="s">
        <v>3119</v>
      </c>
    </row>
    <row r="70" spans="1:18" s="3200" customFormat="1" ht="13.5" thickBot="1">
      <c r="A70" s="3456"/>
      <c r="B70" s="3457"/>
      <c r="C70" s="3253"/>
      <c r="D70" s="3444"/>
      <c r="E70" s="3421" t="s">
        <v>3094</v>
      </c>
      <c r="F70" s="3398">
        <f ca="1">F42</f>
        <v>0</v>
      </c>
      <c r="O70" s="3381" t="s">
        <v>2406</v>
      </c>
      <c r="P70" s="3452" t="s">
        <v>3184</v>
      </c>
      <c r="Q70" s="3361">
        <f ca="1">C13</f>
        <v>25200000</v>
      </c>
      <c r="R70" s="3361" t="s">
        <v>3119</v>
      </c>
    </row>
    <row r="71" spans="1:18" s="3200" customFormat="1" ht="13.5" thickBot="1">
      <c r="A71" s="3458" t="s">
        <v>3097</v>
      </c>
      <c r="B71" s="3459" t="s">
        <v>3105</v>
      </c>
      <c r="C71" s="3311">
        <f ca="1">ROUND(C68/F71,0)</f>
        <v>-1693</v>
      </c>
      <c r="D71" s="3460" t="s">
        <v>3106</v>
      </c>
      <c r="E71" s="3461" t="s">
        <v>3107</v>
      </c>
      <c r="F71" s="3314">
        <f ca="1">F43</f>
        <v>10000</v>
      </c>
      <c r="O71" s="3381" t="s">
        <v>2408</v>
      </c>
      <c r="P71" s="3452" t="s">
        <v>3185</v>
      </c>
      <c r="Q71" s="3390">
        <f ca="1">C76</f>
        <v>5.1999999999999998E-2</v>
      </c>
      <c r="R71" s="3361"/>
    </row>
    <row r="72" spans="1:18" s="3200" customFormat="1" ht="13.5" thickBot="1">
      <c r="B72" s="3462"/>
      <c r="C72" s="3462"/>
      <c r="O72" s="3381" t="s">
        <v>2391</v>
      </c>
      <c r="P72" s="3360" t="s">
        <v>3160</v>
      </c>
      <c r="Q72" s="3390">
        <f>L52</f>
        <v>0</v>
      </c>
      <c r="R72" s="3361"/>
    </row>
    <row r="73" spans="1:18" ht="16.5" thickBot="1">
      <c r="A73" s="3200"/>
      <c r="B73" s="3462"/>
      <c r="C73" s="3462"/>
      <c r="D73" s="3200"/>
      <c r="E73" s="3200"/>
      <c r="F73" s="3200"/>
      <c r="O73" s="3381" t="s">
        <v>2393</v>
      </c>
      <c r="P73" s="3360" t="s">
        <v>3163</v>
      </c>
      <c r="Q73" s="3361" t="e">
        <f ca="1">L58</f>
        <v>#DIV/0!</v>
      </c>
      <c r="R73" s="3361" t="s">
        <v>3164</v>
      </c>
    </row>
    <row r="74" spans="1:18" ht="13.5" thickBot="1">
      <c r="A74" s="3200"/>
      <c r="B74" s="3464" t="s">
        <v>3186</v>
      </c>
      <c r="C74" s="3465"/>
      <c r="D74" s="3200"/>
      <c r="E74" s="3200"/>
      <c r="F74" s="3200"/>
      <c r="O74" s="3381" t="s">
        <v>3187</v>
      </c>
      <c r="P74" s="3360" t="str">
        <f>K59</f>
        <v>建设期及建筑物耐用年限下的土地年期修正系数Kn</v>
      </c>
      <c r="Q74" s="3361" t="e">
        <f ca="1">L59</f>
        <v>#DIV/0!</v>
      </c>
      <c r="R74" s="3361" t="s">
        <v>3166</v>
      </c>
    </row>
    <row r="75" spans="1:18" ht="13.5" thickBot="1">
      <c r="A75" s="3200"/>
      <c r="B75" s="3466" t="s">
        <v>3188</v>
      </c>
      <c r="C75" s="3467">
        <f ca="1">ROUND(C13*C76,0)</f>
        <v>1310400</v>
      </c>
      <c r="D75" s="3200"/>
      <c r="E75" s="3200"/>
      <c r="F75" s="3200"/>
      <c r="K75" s="3335"/>
      <c r="L75" s="3200"/>
      <c r="O75" s="3359" t="s">
        <v>2396</v>
      </c>
      <c r="P75" s="3360" t="s">
        <v>3146</v>
      </c>
      <c r="Q75" s="3361" t="e">
        <f ca="1">Q65+Q66</f>
        <v>#DIV/0!</v>
      </c>
      <c r="R75" s="3361" t="s">
        <v>2397</v>
      </c>
    </row>
    <row r="76" spans="1:18">
      <c r="B76" s="3468" t="s">
        <v>3189</v>
      </c>
      <c r="C76" s="3469">
        <f ca="1">INDIRECT("'数据-取费表'!j"&amp;$G$1)</f>
        <v>5.1999999999999998E-2</v>
      </c>
      <c r="I76" s="3200"/>
      <c r="J76" s="3200"/>
      <c r="K76" s="3335"/>
      <c r="L76" s="3200"/>
    </row>
    <row r="77" spans="1:18">
      <c r="B77" s="3470" t="s">
        <v>3190</v>
      </c>
      <c r="C77" s="3471"/>
      <c r="I77" s="3200"/>
      <c r="J77" s="3200"/>
      <c r="K77" s="3335"/>
      <c r="L77" s="3200"/>
    </row>
    <row r="78" spans="1:18">
      <c r="B78" s="3472" t="s">
        <v>3191</v>
      </c>
      <c r="C78" s="3473"/>
    </row>
    <row r="79" spans="1:18">
      <c r="B79" s="3466" t="s">
        <v>3192</v>
      </c>
      <c r="C79" s="3474">
        <f ca="1">1-C80</f>
        <v>0.66599999999999993</v>
      </c>
    </row>
    <row r="80" spans="1:18">
      <c r="B80" s="3466" t="s">
        <v>3193</v>
      </c>
      <c r="C80" s="3474">
        <f ca="1">ROUND(C75/C39,3)</f>
        <v>0.33400000000000002</v>
      </c>
    </row>
    <row r="81" spans="2:3">
      <c r="B81" s="3472" t="s">
        <v>3194</v>
      </c>
      <c r="C81" s="3422"/>
    </row>
    <row r="82" spans="2:3">
      <c r="B82" s="3464" t="s">
        <v>3195</v>
      </c>
      <c r="C82" s="3475">
        <f ca="1">1-C83</f>
        <v>0.64800000000000002</v>
      </c>
    </row>
    <row r="83" spans="2:3">
      <c r="B83" s="3464" t="s">
        <v>3196</v>
      </c>
      <c r="C83" s="3474">
        <f ca="1">ROUND(C13/C40,3)</f>
        <v>0.35199999999999998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2963</v>
      </c>
      <c r="C18" s="1554"/>
    </row>
    <row r="19" spans="1:3">
      <c r="A19" s="8" t="s">
        <v>120</v>
      </c>
      <c r="B19" s="3142" t="s">
        <v>2971</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8"/>
    </row>
    <row r="52" spans="1:5">
      <c r="A52" s="1766" t="s">
        <v>1990</v>
      </c>
      <c r="B52" s="1769" t="s">
        <v>1991</v>
      </c>
      <c r="C52" s="1767" t="s">
        <v>1992</v>
      </c>
      <c r="D52" s="1767" t="s">
        <v>1993</v>
      </c>
      <c r="E52" s="1768"/>
    </row>
    <row r="53" spans="1:5">
      <c r="A53" s="3518"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8"/>
      <c r="E53" s="1768"/>
    </row>
    <row r="54" spans="1:5">
      <c r="A54" s="3518"/>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8"/>
      <c r="E54" s="1768"/>
    </row>
    <row r="55" spans="1:5">
      <c r="A55" s="3518"/>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8"/>
      <c r="E55" s="1768"/>
    </row>
    <row r="56" spans="1:5">
      <c r="A56" s="3518"/>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8"/>
      <c r="E56" s="1768"/>
    </row>
    <row r="57" spans="1:5">
      <c r="A57" s="3518"/>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10" sqref="B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21" t="str">
        <f>IF(B10="北京市","北京市",C10)&amp;F10&amp;B16&amp;"国有建设用地使用权"&amp;B9&amp;"预评估"</f>
        <v>北京市国有建设用地使用权市场价格预评估</v>
      </c>
      <c r="C1" s="3522"/>
      <c r="D1" s="3522"/>
      <c r="E1" s="3522"/>
      <c r="F1" s="3522"/>
      <c r="G1" s="3522"/>
      <c r="H1" s="3522"/>
      <c r="I1" s="3523"/>
      <c r="J1" s="1693"/>
      <c r="K1" s="2479" t="str">
        <f>IF(B10="北京市","北京市",C10)&amp;F10&amp;B16&amp;"国有建设用地使用权"&amp;B9</f>
        <v>北京市国有建设用地使用权市场价格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北京市国有建设用地使用权</v>
      </c>
      <c r="L2" s="1722"/>
      <c r="M2" s="1722"/>
      <c r="N2" s="1693"/>
      <c r="O2" s="1694"/>
      <c r="P2" s="1693"/>
      <c r="Q2" s="1693"/>
      <c r="R2" s="1693"/>
      <c r="S2" s="1693"/>
      <c r="T2" s="1693"/>
      <c r="U2" s="1693"/>
    </row>
    <row r="3" spans="1:21">
      <c r="A3" s="1660" t="s">
        <v>1943</v>
      </c>
      <c r="B3" s="1661">
        <v>43173</v>
      </c>
      <c r="C3" s="1662" t="s">
        <v>1999</v>
      </c>
      <c r="D3" s="1661">
        <v>43115</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3197</v>
      </c>
      <c r="C4" s="1845">
        <f ca="1">SUMIF(土地估价师,B4,估价师及机构信息!E3:E24)</f>
        <v>2004110096</v>
      </c>
      <c r="D4" s="1842" t="s">
        <v>3198</v>
      </c>
      <c r="E4" s="1845">
        <f ca="1">SUMIF(土地估价师,D4,估价师及机构信息!E3:E24)</f>
        <v>94010078</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陈颖、叶凌</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3199</v>
      </c>
      <c r="C8" s="1670"/>
      <c r="D8" s="3527"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3200</v>
      </c>
      <c r="C9" s="1674"/>
      <c r="D9" s="3528"/>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1949</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3257</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24"/>
      <c r="C12" s="3525"/>
      <c r="D12" s="3526"/>
      <c r="E12" s="1698" t="s">
        <v>2065</v>
      </c>
      <c r="F12" s="3542" t="s">
        <v>2895</v>
      </c>
      <c r="G12" s="3543"/>
      <c r="H12" s="3543"/>
      <c r="I12" s="3544"/>
      <c r="J12" s="1693"/>
      <c r="K12" s="1773"/>
      <c r="L12" s="1722"/>
      <c r="M12" s="1722"/>
      <c r="N12" s="1693"/>
      <c r="O12" s="1694"/>
      <c r="P12" s="1693"/>
      <c r="Q12" s="1693"/>
      <c r="R12" s="1693"/>
      <c r="S12" s="1693"/>
      <c r="T12" s="1693"/>
      <c r="U12" s="1693"/>
    </row>
    <row r="13" spans="1:21">
      <c r="A13" s="1686" t="s">
        <v>2063</v>
      </c>
      <c r="B13" s="3524"/>
      <c r="C13" s="3525"/>
      <c r="D13" s="3526"/>
      <c r="E13" s="1698" t="s">
        <v>2065</v>
      </c>
      <c r="F13" s="3542" t="s">
        <v>2896</v>
      </c>
      <c r="G13" s="3543"/>
      <c r="H13" s="3543"/>
      <c r="I13" s="3544"/>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c r="C16" s="1698" t="s">
        <v>1952</v>
      </c>
      <c r="D16" s="2671" t="s">
        <v>1953</v>
      </c>
      <c r="E16" s="1721"/>
      <c r="F16" s="1721"/>
      <c r="G16" s="1721"/>
      <c r="H16" s="1721"/>
      <c r="I16" s="1685" t="s">
        <v>1958</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工业2065年1月14日</v>
      </c>
    </row>
    <row r="17" spans="1:21">
      <c r="A17" s="1762"/>
      <c r="B17" s="1681"/>
      <c r="C17" s="1682" t="s">
        <v>1959</v>
      </c>
      <c r="D17" s="1699"/>
      <c r="E17" s="1699"/>
      <c r="F17" s="1699"/>
      <c r="G17" s="1699"/>
      <c r="H17" s="1699"/>
      <c r="I17" s="1699">
        <v>60281</v>
      </c>
      <c r="J17" s="1693"/>
      <c r="K17" s="2479" t="str">
        <f>CONCATENATE(K16,L16,M16,N16,O16,P16,Q16,R16,S16,T16,,U16)</f>
        <v>工业2065年1月14日</v>
      </c>
      <c r="L17" s="1722"/>
      <c r="M17" s="1722"/>
      <c r="N17" s="1693"/>
      <c r="O17" s="1694"/>
      <c r="P17" s="1693"/>
      <c r="Q17" s="1693"/>
      <c r="R17" s="1693"/>
      <c r="S17" s="1693"/>
      <c r="T17" s="1693"/>
      <c r="U17" s="1693"/>
    </row>
    <row r="18" spans="1:21">
      <c r="A18" s="1762"/>
      <c r="B18" s="1681"/>
      <c r="C18" s="1682" t="s">
        <v>1960</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2064</v>
      </c>
      <c r="D20" s="3539"/>
      <c r="E20" s="3540"/>
      <c r="F20" s="3540"/>
      <c r="G20" s="3540"/>
      <c r="H20" s="3540"/>
      <c r="I20" s="3541"/>
      <c r="J20" s="1693"/>
      <c r="K20" s="1773"/>
      <c r="L20" s="1722"/>
      <c r="M20" s="1722"/>
      <c r="N20" s="1693"/>
      <c r="O20" s="1694"/>
      <c r="P20" s="1693"/>
      <c r="Q20" s="1693"/>
      <c r="R20" s="1693"/>
      <c r="S20" s="1693"/>
      <c r="T20" s="1693"/>
      <c r="U20" s="1693"/>
    </row>
    <row r="21" spans="1:21">
      <c r="A21" s="1762" t="s">
        <v>1962</v>
      </c>
      <c r="B21" s="1763" t="s">
        <v>1963</v>
      </c>
      <c r="C21" s="1758">
        <f>'数据-汇总表'!E3</f>
        <v>10000</v>
      </c>
      <c r="D21" s="1759" t="s">
        <v>1964</v>
      </c>
      <c r="E21" s="3529" t="s">
        <v>2002</v>
      </c>
      <c r="F21" s="3530"/>
      <c r="G21" s="3530"/>
      <c r="H21" s="3530"/>
      <c r="I21" s="3531"/>
      <c r="J21" s="1693"/>
      <c r="K21" s="1773"/>
      <c r="L21" s="1722"/>
      <c r="M21" s="1722"/>
      <c r="N21" s="1693"/>
      <c r="O21" s="1694"/>
      <c r="P21" s="1693"/>
      <c r="Q21" s="1693"/>
      <c r="R21" s="1693"/>
      <c r="S21" s="1693"/>
      <c r="T21" s="1693"/>
      <c r="U21" s="1693"/>
    </row>
    <row r="22" spans="1:21">
      <c r="A22" s="2662" t="s">
        <v>953</v>
      </c>
      <c r="B22" s="1660" t="s">
        <v>1965</v>
      </c>
      <c r="C22" s="1685">
        <f>'数据-汇总表'!D3</f>
        <v>13513.51</v>
      </c>
      <c r="D22" s="1686" t="s">
        <v>1964</v>
      </c>
      <c r="E22" s="3529" t="s">
        <v>2897</v>
      </c>
      <c r="F22" s="3530"/>
      <c r="G22" s="3530"/>
      <c r="H22" s="3530"/>
      <c r="I22" s="3531"/>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32" t="s">
        <v>1970</v>
      </c>
      <c r="C24" s="3533"/>
      <c r="D24" s="3534" t="s">
        <v>1971</v>
      </c>
      <c r="E24" s="3535"/>
      <c r="F24" s="1707" t="s">
        <v>1972</v>
      </c>
      <c r="G24" s="1693"/>
      <c r="H24" s="1693"/>
      <c r="I24" s="1706"/>
      <c r="J24" s="1693"/>
      <c r="K24" s="3520"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2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2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47" t="s">
        <v>2005</v>
      </c>
      <c r="B31" s="1763" t="s">
        <v>2006</v>
      </c>
      <c r="C31" s="3545"/>
      <c r="D31" s="3546"/>
      <c r="E31" s="1693"/>
      <c r="F31" s="1693"/>
      <c r="G31" s="1693"/>
      <c r="H31" s="1693"/>
      <c r="I31" s="1706"/>
      <c r="J31" s="1693"/>
      <c r="K31" s="2482"/>
      <c r="L31" s="1693"/>
      <c r="M31" s="1693"/>
      <c r="N31" s="1693"/>
      <c r="O31" s="1693"/>
      <c r="P31" s="1693"/>
      <c r="Q31" s="1693"/>
      <c r="R31" s="1693"/>
      <c r="S31" s="1693"/>
      <c r="T31" s="1693"/>
      <c r="U31" s="1693"/>
    </row>
    <row r="32" spans="1:21">
      <c r="A32" s="3547"/>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47"/>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48"/>
      <c r="B34" s="1660" t="s">
        <v>2009</v>
      </c>
      <c r="C34" s="3549"/>
      <c r="D34" s="3550"/>
      <c r="E34" s="1693"/>
      <c r="F34" s="1693"/>
      <c r="G34" s="1693"/>
      <c r="H34" s="1693"/>
      <c r="I34" s="1706"/>
      <c r="J34" s="1693"/>
      <c r="K34" s="2482"/>
      <c r="L34" s="1693"/>
      <c r="M34" s="1693"/>
      <c r="N34" s="1693"/>
      <c r="O34" s="1693"/>
      <c r="P34" s="1693"/>
      <c r="Q34" s="1693"/>
      <c r="R34" s="1693"/>
      <c r="S34" s="1693"/>
      <c r="T34" s="1693"/>
      <c r="U34" s="1693"/>
    </row>
    <row r="35" spans="1:21">
      <c r="A35" s="3551" t="s">
        <v>848</v>
      </c>
      <c r="B35" s="1721"/>
      <c r="C35" s="1775" t="str">
        <f>IF(B35="场地平整","——","具体情况：")</f>
        <v>具体情况：</v>
      </c>
      <c r="D35" s="3553"/>
      <c r="E35" s="3554"/>
      <c r="F35" s="3554"/>
      <c r="G35" s="3554"/>
      <c r="H35" s="3554"/>
      <c r="I35" s="3555"/>
      <c r="J35" s="1693"/>
      <c r="K35" s="1774"/>
      <c r="L35" s="1722"/>
      <c r="M35" s="1722"/>
      <c r="N35" s="1693"/>
      <c r="O35" s="1694"/>
      <c r="P35" s="1693"/>
      <c r="Q35" s="1693"/>
      <c r="R35" s="1693"/>
      <c r="S35" s="1693"/>
      <c r="T35" s="1693"/>
      <c r="U35" s="1693"/>
    </row>
    <row r="36" spans="1:21">
      <c r="A36" s="3547"/>
      <c r="B36" s="3556" t="s">
        <v>2058</v>
      </c>
      <c r="C36" s="3557"/>
      <c r="D36" s="1791"/>
      <c r="E36" s="3558"/>
      <c r="F36" s="3558"/>
      <c r="G36" s="1686" t="str">
        <f>IF(B35="场地未平整","估价结果处理","")</f>
        <v/>
      </c>
      <c r="H36" s="3559"/>
      <c r="I36" s="3559"/>
      <c r="J36" s="1693"/>
      <c r="K36" s="1774"/>
      <c r="L36" s="1722"/>
      <c r="M36" s="1722"/>
      <c r="N36" s="1693"/>
      <c r="O36" s="1694"/>
      <c r="P36" s="1693"/>
      <c r="Q36" s="1693"/>
      <c r="R36" s="1693"/>
      <c r="S36" s="1693"/>
      <c r="T36" s="1693"/>
      <c r="U36" s="1693"/>
    </row>
    <row r="37" spans="1:21" ht="28.5">
      <c r="A37" s="3547"/>
      <c r="B37" s="3536"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47"/>
      <c r="B38" s="3537"/>
      <c r="C38" s="1668"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548"/>
      <c r="B39" s="35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19" t="s">
        <v>1989</v>
      </c>
      <c r="T40" s="1730" t="str">
        <f>NUMBERSTRING(7-K40,1)&amp;"通"</f>
        <v>七通</v>
      </c>
      <c r="U40" s="1693"/>
    </row>
    <row r="41" spans="1:21">
      <c r="A41" s="1662"/>
      <c r="B41" s="3552" t="s">
        <v>1723</v>
      </c>
      <c r="C41" s="3552"/>
      <c r="D41" s="3552"/>
      <c r="E41" s="355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19"/>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t="s">
        <v>1413</v>
      </c>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t="s">
        <v>3201</v>
      </c>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13513.51</v>
      </c>
      <c r="B3" s="22">
        <f>IF(C3="否",G5-AT5,G5)</f>
        <v>10000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13513.51</v>
      </c>
      <c r="F6" s="27" t="s">
        <v>1</v>
      </c>
      <c r="G6" s="27" t="s">
        <v>2</v>
      </c>
      <c r="H6" s="33">
        <f>SUMIF(I$12:AB$12,"总值",I6:AB6)</f>
        <v>13513.51</v>
      </c>
      <c r="I6" s="27">
        <f t="shared" ref="I6:AB6" si="2">ROUND($A$3*I5/$B$3,2)</f>
        <v>13513.51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13513.51</v>
      </c>
      <c r="AZ6" s="27" t="s">
        <v>3</v>
      </c>
      <c r="BA6" s="27">
        <f>ROUND($AY$6*BA5/$AZ$5,2)</f>
        <v>13513.51</v>
      </c>
      <c r="BB6" s="27">
        <f>ROUND($AY$6*BB5/$AZ$5,2)</f>
        <v>13513.51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3202</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983</v>
      </c>
      <c r="J10" s="51"/>
      <c r="K10" s="3046"/>
      <c r="L10" s="51"/>
      <c r="M10" s="3046"/>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3203</v>
      </c>
      <c r="J11" s="71"/>
      <c r="K11" s="3045"/>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13513.51</v>
      </c>
      <c r="F13" s="81"/>
      <c r="G13" s="82">
        <f t="shared" ref="G13:G20" si="7">H13+AC13+AT13</f>
        <v>10000</v>
      </c>
      <c r="H13" s="33">
        <f t="shared" ref="H13:H20" si="8">SUMIF(I$12:AB$12,"总值",I13:AB13)</f>
        <v>10000</v>
      </c>
      <c r="I13" s="3043">
        <v>10000</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13513.51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1" t="s">
        <v>203</v>
      </c>
      <c r="B2" s="3571"/>
      <c r="C2" s="3571"/>
      <c r="D2" s="1975" t="s">
        <v>204</v>
      </c>
      <c r="E2" s="106" t="s">
        <v>205</v>
      </c>
      <c r="F2" s="1984"/>
      <c r="G2" s="1198"/>
      <c r="H2" s="1199"/>
      <c r="I2" s="1200" t="s">
        <v>858</v>
      </c>
      <c r="J2" s="1984"/>
      <c r="K2" s="1984"/>
      <c r="L2" s="1984"/>
    </row>
    <row r="3" spans="1:16" ht="15.75" thickBot="1">
      <c r="A3" s="3572" t="s">
        <v>206</v>
      </c>
      <c r="B3" s="3572"/>
      <c r="C3" s="3572"/>
      <c r="D3" s="107">
        <f>'数据-基础表'!AY6</f>
        <v>13513.51</v>
      </c>
      <c r="E3" s="107">
        <f>'数据-基础表'!AZ5</f>
        <v>10000</v>
      </c>
      <c r="F3" s="1984"/>
      <c r="G3" s="280" t="s">
        <v>859</v>
      </c>
      <c r="H3" s="275" t="s">
        <v>860</v>
      </c>
      <c r="I3" s="1976">
        <f>ROUND('数据-基础表'!B3/'数据-基础表'!A3,2)</f>
        <v>0.74</v>
      </c>
      <c r="J3" s="1984"/>
      <c r="K3" s="1984"/>
      <c r="L3" s="1984"/>
    </row>
    <row r="4" spans="1:16" ht="15">
      <c r="A4" s="3573"/>
      <c r="B4" s="3574"/>
      <c r="C4" s="3575"/>
      <c r="D4" s="108" t="s">
        <v>204</v>
      </c>
      <c r="E4" s="109" t="s">
        <v>205</v>
      </c>
      <c r="F4" s="1984"/>
      <c r="G4" s="1201"/>
      <c r="H4" s="275" t="s">
        <v>861</v>
      </c>
      <c r="I4" s="1976">
        <f>ROUND(SUMIF('数据-基础表'!I9:AS9,"地上",'数据-基础表'!I5:AS5)/'数据-基础表'!A3,2)</f>
        <v>0.74</v>
      </c>
      <c r="J4" s="1984"/>
      <c r="K4" s="1984"/>
      <c r="L4" s="1984"/>
    </row>
    <row r="5" spans="1:16">
      <c r="A5" s="110" t="s">
        <v>207</v>
      </c>
      <c r="B5" s="3576" t="s">
        <v>230</v>
      </c>
      <c r="C5" s="3576"/>
      <c r="D5" s="111">
        <f>ROUND($D$3*E5/$E$3,2)</f>
        <v>0</v>
      </c>
      <c r="E5" s="112">
        <f>SUMIF('数据-基础表'!$11:$11,"住宅",'数据-基础表'!$5:$5)</f>
        <v>0</v>
      </c>
      <c r="F5" s="1984"/>
      <c r="G5" s="280" t="s">
        <v>862</v>
      </c>
      <c r="H5" s="275" t="s">
        <v>860</v>
      </c>
      <c r="I5" s="1976">
        <f>ROUND(E31/D31,2)</f>
        <v>0.74</v>
      </c>
      <c r="J5" s="1984"/>
      <c r="K5" s="1984"/>
      <c r="L5" s="1984"/>
    </row>
    <row r="6" spans="1:16" ht="15" thickBot="1">
      <c r="A6" s="113"/>
      <c r="B6" s="3576" t="s">
        <v>208</v>
      </c>
      <c r="C6" s="3576"/>
      <c r="D6" s="111">
        <f>ROUND($D$3*E6/$E$3,2)</f>
        <v>13513.51</v>
      </c>
      <c r="E6" s="112">
        <f>E3-E5</f>
        <v>10000</v>
      </c>
      <c r="F6" s="1984"/>
      <c r="G6" s="1201"/>
      <c r="H6" s="275" t="s">
        <v>861</v>
      </c>
      <c r="I6" s="1976">
        <f>ROUND(F31/D31,2)</f>
        <v>0.74</v>
      </c>
      <c r="J6" s="1984"/>
      <c r="K6" s="1984"/>
      <c r="L6" s="1984"/>
    </row>
    <row r="7" spans="1:16" ht="15">
      <c r="A7" s="3568"/>
      <c r="B7" s="3569"/>
      <c r="C7" s="3570"/>
      <c r="D7" s="108" t="s">
        <v>204</v>
      </c>
      <c r="E7" s="114" t="s">
        <v>231</v>
      </c>
      <c r="F7" s="1984"/>
      <c r="G7" s="1156" t="s">
        <v>1647</v>
      </c>
      <c r="H7" s="1157"/>
      <c r="I7" s="1846">
        <v>1.2</v>
      </c>
      <c r="J7" s="1984"/>
      <c r="K7" s="1984"/>
      <c r="L7" s="1984"/>
    </row>
    <row r="8" spans="1:16">
      <c r="A8" s="110" t="s">
        <v>209</v>
      </c>
      <c r="B8" s="115" t="s">
        <v>210</v>
      </c>
      <c r="C8" s="111" t="s">
        <v>211</v>
      </c>
      <c r="D8" s="111">
        <f t="shared" ref="D8:D15" si="0">ROUND($D$3*E8/$E$3,2)</f>
        <v>13513.51</v>
      </c>
      <c r="E8" s="116">
        <f>SUMIF('数据-基础表'!BB10:BK10,"地上",'数据-基础表'!BB5:BK5)</f>
        <v>10000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13513.51</v>
      </c>
      <c r="E16" s="120">
        <f>SUM(E8:E15)</f>
        <v>10000</v>
      </c>
      <c r="F16" s="1984"/>
      <c r="G16" s="1986"/>
      <c r="H16" s="968" t="s">
        <v>219</v>
      </c>
      <c r="I16" s="969"/>
      <c r="J16" s="1984"/>
      <c r="K16" s="3562" t="s">
        <v>2573</v>
      </c>
      <c r="L16" s="3563"/>
      <c r="M16" s="3563"/>
      <c r="N16" s="3563"/>
      <c r="O16" s="3563"/>
      <c r="P16" s="3564"/>
    </row>
    <row r="17" spans="1:19" ht="15">
      <c r="A17" s="121" t="s">
        <v>216</v>
      </c>
      <c r="B17" s="122" t="s">
        <v>217</v>
      </c>
      <c r="C17" s="2298" t="s">
        <v>2317</v>
      </c>
      <c r="D17" s="108" t="s">
        <v>204</v>
      </c>
      <c r="E17" s="124" t="s">
        <v>205</v>
      </c>
      <c r="F17" s="125"/>
      <c r="G17" s="1366"/>
      <c r="H17" s="970" t="s">
        <v>218</v>
      </c>
      <c r="I17" s="971" t="s">
        <v>2316</v>
      </c>
      <c r="J17" s="1984"/>
      <c r="K17" s="3565" t="s">
        <v>2574</v>
      </c>
      <c r="L17" s="3566"/>
      <c r="M17" s="3567"/>
      <c r="N17" s="3565" t="s">
        <v>2575</v>
      </c>
      <c r="O17" s="3566"/>
      <c r="P17" s="3567"/>
      <c r="R17" s="2299" t="s">
        <v>2315</v>
      </c>
      <c r="S17" s="144"/>
    </row>
    <row r="18" spans="1:19" ht="15">
      <c r="A18" s="117"/>
      <c r="B18" s="128"/>
      <c r="C18" s="129"/>
      <c r="D18" s="2667"/>
      <c r="E18" s="130" t="s">
        <v>220</v>
      </c>
      <c r="F18" s="131"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0" t="s">
        <v>3204</v>
      </c>
      <c r="D19" s="111">
        <f t="shared" ref="D19:D26" si="1">ROUND($D$3*E19/$E$3,2)</f>
        <v>13513.51</v>
      </c>
      <c r="E19" s="134">
        <f t="shared" ref="E19:E26" si="2">SUM(F19:G19)</f>
        <v>10000</v>
      </c>
      <c r="F19" s="135">
        <f>'数据-基础表'!I13</f>
        <v>10000</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13513.51</v>
      </c>
      <c r="S19" s="2301">
        <f t="shared" si="5"/>
        <v>10000</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13513.51</v>
      </c>
      <c r="E27" s="143">
        <f>IF(SUM(E19:E26)='数据-基础表'!BA5,SUM(E19:E26),IF(F27="地上面积有误","面积有误","地下面积有误"))</f>
        <v>10000</v>
      </c>
      <c r="F27" s="134">
        <f>IF(SUM(F19:F26)=E8,SUM(F19:F26),"地上面积有误")</f>
        <v>10000</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13513.51</v>
      </c>
      <c r="S27" s="275">
        <f>IF(SUM(S19:S26)=$E$3,SUM(S19:S26),SUM(S19:S26)&amp;"误差"&amp;ROUND(SUM(S19:S26)-E3,2))</f>
        <v>10000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13513.51</v>
      </c>
      <c r="E31" s="1372">
        <f>E27+E30</f>
        <v>10000</v>
      </c>
      <c r="F31" s="1373">
        <f>F27+F30</f>
        <v>10000</v>
      </c>
      <c r="G31" s="1374">
        <f>G27+G30</f>
        <v>0</v>
      </c>
      <c r="H31" s="1984"/>
      <c r="I31" s="1984"/>
      <c r="J31" s="1984"/>
      <c r="K31" s="1984"/>
      <c r="L31" s="1984"/>
    </row>
    <row r="32" spans="1:19">
      <c r="A32" s="1984"/>
      <c r="B32" s="2363" t="s">
        <v>2325</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锅炉房</v>
      </c>
      <c r="B6" s="2337" t="str">
        <f>IF(A6=0,"","经营性")</f>
        <v>经营性</v>
      </c>
      <c r="C6" s="173" t="s">
        <v>983</v>
      </c>
      <c r="D6" s="2308">
        <f>SUMIF(项目基本情况!D$15:I$15,C6,项目基本情况!D$18:I$18)</f>
        <v>50</v>
      </c>
      <c r="E6" s="2309">
        <f>IF(B6="","",SUMIF(项目基本情况!D$15:I$15,C6,项目基本情况!D$17:I$17))</f>
        <v>60281</v>
      </c>
      <c r="F6" s="174">
        <f>SUMIF(项目基本情况!D$15:I$15,C6,项目基本情况!D$19:I$19)</f>
        <v>50</v>
      </c>
      <c r="G6" s="175">
        <f>IF(ISERROR(ROUND(POWER(1+H6,D6-F6)*(POWER(1+H6,F6)-1)/(POWER(1+H6,D6)-1),3)),0,ROUND(POWER(1+H6,D6-F6)*(POWER(1+H6,F6)-1)/(POWER(1+H6,D6)-1),3))</f>
        <v>1</v>
      </c>
      <c r="H6" s="3051">
        <v>4.8000000000000001E-2</v>
      </c>
      <c r="I6" s="3051">
        <v>0.05</v>
      </c>
      <c r="J6" s="176">
        <v>5.1999999999999998E-2</v>
      </c>
      <c r="K6" s="179">
        <f>SUMIF('数据-汇总表'!C$19:C$33,'数据-取费表'!A6,'数据-汇总表'!E$19:E$33)</f>
        <v>10000</v>
      </c>
      <c r="L6" s="3052">
        <v>2500</v>
      </c>
      <c r="M6" s="177">
        <f t="shared" ref="M6:M14" si="0">ROUND(K6*L6/10000,0)</f>
        <v>2500</v>
      </c>
      <c r="N6" s="3053">
        <v>0.96</v>
      </c>
      <c r="O6" s="177">
        <f>IF($N$5="成新度","——",ROUND(M6*N6,0))</f>
        <v>2400</v>
      </c>
      <c r="P6" s="178">
        <f>IF($N$5="成新度","——",M6-O6)</f>
        <v>100</v>
      </c>
      <c r="Q6" s="3054">
        <v>0.05</v>
      </c>
      <c r="R6" s="179">
        <f>SUMIF('数据-汇总表'!C$19:C$33,A6,'数据-汇总表'!R$19:R$33)</f>
        <v>13513.51</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v>
      </c>
      <c r="W6" s="181">
        <v>0.1</v>
      </c>
      <c r="X6" s="2321"/>
      <c r="Y6" s="182">
        <v>0.96</v>
      </c>
      <c r="Z6" s="183"/>
      <c r="AA6" s="176"/>
      <c r="AB6" s="176"/>
      <c r="AC6" s="2324"/>
      <c r="AD6" s="184"/>
      <c r="AE6" s="972">
        <f ca="1">IF(AN6="",0,SUMIF(INDIRECT("'"&amp;AN6&amp;"'"&amp;"!E:E"),$AE$5,INDIRECT("'"&amp;AN6&amp;"'"&amp;"!F:F")))</f>
        <v>50</v>
      </c>
      <c r="AF6" s="141"/>
      <c r="AG6" s="1213">
        <f>IF(AF6="",0,AE6-AF6)</f>
        <v>0</v>
      </c>
      <c r="AH6" s="141"/>
      <c r="AI6" s="187">
        <v>365</v>
      </c>
      <c r="AJ6" s="188"/>
      <c r="AK6" s="189">
        <v>2.5000000000000001E-2</v>
      </c>
      <c r="AL6" s="190">
        <v>2E-3</v>
      </c>
      <c r="AM6" s="3065">
        <v>1.4999999999999999E-2</v>
      </c>
      <c r="AN6" s="2416" t="s">
        <v>3255</v>
      </c>
      <c r="AO6" s="2000"/>
      <c r="AP6" s="1204">
        <f>ROUND(1-1/(1+H6)^F6,3)</f>
        <v>0.90400000000000003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10000</v>
      </c>
      <c r="L16" s="206">
        <f>ROUND(M16*10000/SUM(K6:K14),0)</f>
        <v>2500</v>
      </c>
      <c r="M16" s="206">
        <f>SUM(M6:M14)</f>
        <v>2500</v>
      </c>
      <c r="N16" s="207">
        <f>ROUND(SUMPRODUCT(M6:M14,N6:N14)/M16,3)</f>
        <v>0.96</v>
      </c>
      <c r="O16" s="206">
        <f>SUM(O6:O14)</f>
        <v>2400</v>
      </c>
      <c r="P16" s="206">
        <f>SUM(P6:P14)</f>
        <v>100</v>
      </c>
      <c r="Q16" s="208">
        <f>ROUND(SUMPRODUCT(Q6:Q13,K6:K13)/SUMPRODUCT((Q6:Q13&gt;0)*(K6:K13)),2)</f>
        <v>0.05</v>
      </c>
      <c r="R16" s="2311">
        <f>SUM(R6:R13)</f>
        <v>13513.51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0.90400000000000003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4.3499999999999997E-2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v>3</v>
      </c>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7" t="s">
        <v>1665</v>
      </c>
      <c r="B1" s="3578"/>
      <c r="C1" s="3578"/>
      <c r="D1" s="3578"/>
      <c r="E1" s="3578"/>
      <c r="F1" s="3578"/>
      <c r="G1" s="357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2928</v>
      </c>
      <c r="D3" s="2009"/>
      <c r="E3" s="1229" t="s">
        <v>1668</v>
      </c>
      <c r="F3" s="1230" t="s">
        <v>1656</v>
      </c>
      <c r="G3" s="3111" t="s">
        <v>2927</v>
      </c>
      <c r="H3" s="2008"/>
      <c r="I3" s="2008"/>
      <c r="J3" s="2008"/>
      <c r="K3" s="2008"/>
      <c r="L3" s="2008"/>
      <c r="M3" s="2008"/>
      <c r="N3" s="2008"/>
      <c r="O3" s="2008"/>
      <c r="P3" s="2008"/>
      <c r="Q3" s="2008"/>
      <c r="R3" s="2008"/>
    </row>
    <row r="4" spans="1:18" ht="41.25">
      <c r="A4" s="1229"/>
      <c r="B4" s="1231" t="s">
        <v>1669</v>
      </c>
      <c r="C4" s="3108" t="s">
        <v>2929</v>
      </c>
      <c r="D4" s="2009"/>
      <c r="E4" s="1232"/>
      <c r="F4" s="1233" t="s">
        <v>1670</v>
      </c>
      <c r="G4" s="3109" t="s">
        <v>2924</v>
      </c>
      <c r="H4" s="2008"/>
      <c r="I4" s="2008"/>
      <c r="J4" s="2008"/>
      <c r="K4" s="2008"/>
      <c r="L4" s="2008"/>
      <c r="M4" s="2008"/>
      <c r="N4" s="2008"/>
      <c r="O4" s="2008"/>
      <c r="P4" s="2008"/>
      <c r="Q4" s="2008"/>
      <c r="R4" s="2008"/>
    </row>
    <row r="5" spans="1:18" ht="41.25">
      <c r="A5" s="1229"/>
      <c r="B5" s="1231" t="s">
        <v>1671</v>
      </c>
      <c r="C5" s="3108" t="s">
        <v>2930</v>
      </c>
      <c r="D5" s="2009"/>
      <c r="E5" s="1232"/>
      <c r="F5" s="1231" t="s">
        <v>2553</v>
      </c>
      <c r="G5" s="3109" t="s">
        <v>2925</v>
      </c>
      <c r="H5" s="2008"/>
      <c r="I5" s="2008"/>
      <c r="J5" s="2008"/>
      <c r="K5" s="2008"/>
      <c r="L5" s="2008"/>
      <c r="M5" s="2008"/>
      <c r="N5" s="2008"/>
      <c r="O5" s="2008"/>
      <c r="P5" s="2008"/>
      <c r="Q5" s="2008"/>
      <c r="R5" s="2008"/>
    </row>
    <row r="6" spans="1:18" ht="54">
      <c r="A6" s="1229"/>
      <c r="B6" s="1231" t="s">
        <v>1657</v>
      </c>
      <c r="C6" s="3109" t="s">
        <v>2924</v>
      </c>
      <c r="D6" s="2009"/>
      <c r="E6" s="1232"/>
      <c r="F6" s="1231" t="s">
        <v>2554</v>
      </c>
      <c r="G6" s="3109" t="s">
        <v>2922</v>
      </c>
      <c r="H6" s="2008"/>
      <c r="I6" s="2008"/>
      <c r="J6" s="2008"/>
      <c r="K6" s="2008"/>
      <c r="L6" s="2008"/>
      <c r="M6" s="2008"/>
      <c r="N6" s="2008"/>
      <c r="O6" s="2008"/>
      <c r="P6" s="2008"/>
      <c r="Q6" s="2008"/>
      <c r="R6" s="2008"/>
    </row>
    <row r="7" spans="1:18" ht="41.25" thickBot="1">
      <c r="A7" s="1229"/>
      <c r="B7" s="1231" t="s">
        <v>2553</v>
      </c>
      <c r="C7" s="3109" t="s">
        <v>2925</v>
      </c>
      <c r="D7" s="2010"/>
      <c r="E7" s="1234"/>
      <c r="F7" s="1235" t="s">
        <v>1672</v>
      </c>
      <c r="G7" s="3112" t="s">
        <v>2926</v>
      </c>
      <c r="H7" s="2008"/>
      <c r="I7" s="2008"/>
      <c r="J7" s="2008"/>
      <c r="K7" s="2008"/>
      <c r="L7" s="2008"/>
      <c r="M7" s="2008"/>
      <c r="N7" s="2008"/>
      <c r="O7" s="2008"/>
      <c r="P7" s="2008"/>
      <c r="Q7" s="2008"/>
      <c r="R7" s="2008"/>
    </row>
    <row r="8" spans="1:18" ht="27">
      <c r="A8" s="1229"/>
      <c r="B8" s="1231" t="s">
        <v>2554</v>
      </c>
      <c r="C8" s="3109" t="s">
        <v>2922</v>
      </c>
      <c r="D8" s="2010"/>
      <c r="E8" s="2010"/>
      <c r="F8" s="1553"/>
      <c r="G8" s="1553"/>
      <c r="H8" s="2008"/>
      <c r="I8" s="2008"/>
      <c r="J8" s="2008"/>
      <c r="K8" s="2008"/>
      <c r="L8" s="2008"/>
      <c r="M8" s="2008"/>
      <c r="N8" s="2008"/>
      <c r="O8" s="2008"/>
      <c r="P8" s="2008"/>
      <c r="Q8" s="2008"/>
      <c r="R8" s="2008"/>
    </row>
    <row r="9" spans="1:18" ht="40.5">
      <c r="A9" s="1229"/>
      <c r="B9" s="1231"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t="s">
        <v>3245</v>
      </c>
    </row>
    <row r="22" spans="1:7" ht="27">
      <c r="A22" s="2613"/>
      <c r="B22" s="1231" t="s">
        <v>2554</v>
      </c>
      <c r="C22" s="1005" t="str">
        <f>C8</f>
        <v>估价对象所在区域基础设施水平</v>
      </c>
      <c r="D22" s="2009"/>
      <c r="E22" s="2610"/>
      <c r="F22" s="1247" t="s">
        <v>1673</v>
      </c>
      <c r="G22" s="3482" t="s">
        <v>3247</v>
      </c>
    </row>
    <row r="23" spans="1:7" ht="15" thickBot="1">
      <c r="A23" s="2613"/>
      <c r="B23" s="1247" t="s">
        <v>1663</v>
      </c>
      <c r="C23" s="3113"/>
      <c r="E23" s="2611"/>
      <c r="F23" s="1248" t="s">
        <v>1677</v>
      </c>
      <c r="G23" s="3479" t="s">
        <v>3225</v>
      </c>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10000</v>
      </c>
      <c r="C1" s="3072"/>
      <c r="D1" s="3072"/>
      <c r="E1" s="3072"/>
      <c r="F1" s="3072"/>
    </row>
    <row r="2" spans="1:9" ht="16.5">
      <c r="A2" s="3071" t="s">
        <v>2851</v>
      </c>
      <c r="B2" s="3071">
        <f>SUM(C14:C23)</f>
        <v>13513.51</v>
      </c>
      <c r="C2" s="3072"/>
      <c r="D2" s="3072"/>
      <c r="E2" s="3072"/>
      <c r="F2" s="3072"/>
    </row>
    <row r="3" spans="1:9" ht="16.5">
      <c r="A3" s="3071" t="s">
        <v>2852</v>
      </c>
      <c r="B3" s="3073">
        <f>项目基本情况!D3</f>
        <v>43115</v>
      </c>
      <c r="C3" s="3072"/>
      <c r="D3" s="3072"/>
      <c r="E3" s="3072"/>
      <c r="F3" s="3072"/>
    </row>
    <row r="4" spans="1:9" ht="33">
      <c r="A4" s="3071" t="s">
        <v>2853</v>
      </c>
      <c r="B4" s="3071" t="s">
        <v>2854</v>
      </c>
      <c r="C4" s="3071" t="s">
        <v>2855</v>
      </c>
      <c r="D4" s="3071" t="s">
        <v>2856</v>
      </c>
      <c r="E4" s="3072"/>
      <c r="F4" s="3072"/>
    </row>
    <row r="5" spans="1:9" ht="16.5">
      <c r="A5" s="3071" t="s">
        <v>2857</v>
      </c>
      <c r="B5" s="3071">
        <f ca="1">SUM(D14:D23)</f>
        <v>2694</v>
      </c>
      <c r="C5" s="3071">
        <f ca="1">ROUND(B5*10000/$B$1,0)</f>
        <v>2694</v>
      </c>
      <c r="D5" s="3071">
        <f ca="1">ROUND(B5*10000/$B$2,0)</f>
        <v>1994</v>
      </c>
      <c r="E5" s="3072"/>
      <c r="F5" s="3072"/>
    </row>
    <row r="6" spans="1:9" ht="16.5">
      <c r="A6" s="3071" t="s">
        <v>2858</v>
      </c>
      <c r="B6" s="3071">
        <f>SUM(G14:G23)</f>
        <v>0</v>
      </c>
      <c r="C6" s="3071">
        <f t="shared" ref="C6:C8" si="0">ROUND(B6*10000/$B$1,0)</f>
        <v>0</v>
      </c>
      <c r="D6" s="3071">
        <f t="shared" ref="D6:D8" si="1">ROUND(B6*10000/$B$2,0)</f>
        <v>0</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10000</v>
      </c>
      <c r="C14" s="3075">
        <f>结果表!K38</f>
        <v>13513.51</v>
      </c>
      <c r="D14" s="3075">
        <f ca="1">结果表!C42</f>
        <v>2694</v>
      </c>
      <c r="E14" s="3075">
        <f ca="1">ROUND(D14*10000/B14,0)</f>
        <v>2694</v>
      </c>
      <c r="F14" s="3075">
        <f ca="1">ROUND(D14*10000/C14,0)</f>
        <v>1994</v>
      </c>
      <c r="G14" s="3075" t="str">
        <f>结果表!C44</f>
        <v>——</v>
      </c>
      <c r="H14" s="3075" t="str">
        <f>结果表!C45</f>
        <v>——</v>
      </c>
      <c r="I14" s="3075" t="str">
        <f>结果表!C46</f>
        <v>——</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SheetLayoutView="9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2059</v>
      </c>
      <c r="B1" s="1777"/>
      <c r="C1" s="1805" t="s">
        <v>2060</v>
      </c>
      <c r="D1" s="1806"/>
      <c r="E1" s="1805" t="s">
        <v>2061</v>
      </c>
      <c r="F1" s="1807"/>
      <c r="G1" s="311"/>
      <c r="H1" s="311"/>
      <c r="I1" s="311"/>
      <c r="J1" s="2029"/>
      <c r="K1" s="2029"/>
      <c r="L1" s="2029"/>
      <c r="M1" s="2029"/>
      <c r="N1" s="2029"/>
      <c r="O1" s="2029"/>
      <c r="P1" s="2029"/>
      <c r="Q1" s="2029"/>
      <c r="R1" s="2029"/>
      <c r="S1" s="2029"/>
      <c r="T1" s="2029"/>
      <c r="U1" s="2029"/>
      <c r="V1" s="2029"/>
    </row>
    <row r="2" spans="1:22" ht="21.75" customHeight="1" thickBot="1">
      <c r="A2" s="3624" t="str">
        <f>项目基本情况!K2</f>
        <v>北京市国有建设用地使用权</v>
      </c>
      <c r="B2" s="3625"/>
      <c r="C2" s="3626"/>
      <c r="D2" s="3626"/>
      <c r="E2" s="3626"/>
      <c r="F2" s="3626"/>
      <c r="G2" s="3625"/>
      <c r="H2" s="3625"/>
      <c r="I2" s="3627"/>
      <c r="J2" s="2030"/>
      <c r="K2" s="2029"/>
      <c r="L2" s="2029"/>
      <c r="M2" s="2029"/>
      <c r="N2" s="2029"/>
      <c r="O2" s="2029"/>
      <c r="P2" s="2029"/>
      <c r="Q2" s="2029"/>
      <c r="R2" s="2029"/>
      <c r="S2" s="2029"/>
      <c r="T2" s="2029"/>
      <c r="U2" s="2029"/>
      <c r="V2" s="2029"/>
    </row>
    <row r="3" spans="1:22" ht="14.25">
      <c r="A3" s="3635" t="s">
        <v>298</v>
      </c>
      <c r="B3" s="3636"/>
      <c r="C3" s="3636"/>
      <c r="D3" s="3636"/>
      <c r="E3" s="3636"/>
      <c r="F3" s="3636"/>
      <c r="G3" s="3636"/>
      <c r="H3" s="3636"/>
      <c r="I3" s="3636"/>
      <c r="J3" s="2030"/>
      <c r="K3" s="2029"/>
      <c r="L3" s="2029"/>
      <c r="M3" s="2029"/>
      <c r="N3" s="2029"/>
      <c r="O3" s="2029"/>
      <c r="P3" s="2029"/>
      <c r="Q3" s="2029"/>
      <c r="R3" s="2029"/>
      <c r="S3" s="2029"/>
      <c r="T3" s="2029"/>
      <c r="U3" s="2029"/>
      <c r="V3" s="2029"/>
    </row>
    <row r="4" spans="1:22" ht="14.25">
      <c r="A4" s="258" t="s">
        <v>299</v>
      </c>
      <c r="B4" s="259" t="s">
        <v>300</v>
      </c>
      <c r="C4" s="260" t="s">
        <v>2959</v>
      </c>
      <c r="D4" s="260" t="s">
        <v>3255</v>
      </c>
      <c r="E4" s="3599" t="s">
        <v>301</v>
      </c>
      <c r="F4" s="3641"/>
      <c r="G4" s="3641"/>
      <c r="H4" s="3641"/>
      <c r="I4" s="3600"/>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628" t="s">
        <v>302</v>
      </c>
      <c r="B5" s="3629">
        <v>25</v>
      </c>
      <c r="C5" s="3637">
        <v>70</v>
      </c>
      <c r="D5" s="3640">
        <f>100-C5</f>
        <v>30</v>
      </c>
      <c r="E5" s="261" t="s">
        <v>303</v>
      </c>
      <c r="F5" s="262"/>
      <c r="G5" s="262"/>
      <c r="H5" s="262"/>
      <c r="I5" s="263"/>
      <c r="J5" s="2030"/>
      <c r="K5" s="2029"/>
      <c r="L5" s="2029"/>
      <c r="M5" s="2029"/>
      <c r="N5" s="2029"/>
      <c r="O5" s="2029"/>
      <c r="P5" s="2029"/>
      <c r="Q5" s="2029"/>
      <c r="R5" s="2029"/>
      <c r="S5" s="2029"/>
      <c r="T5" s="2029"/>
      <c r="U5" s="2029"/>
      <c r="V5" s="2029"/>
    </row>
    <row r="6" spans="1:22" ht="14.25">
      <c r="A6" s="3628"/>
      <c r="B6" s="3629"/>
      <c r="C6" s="3638"/>
      <c r="D6" s="3640"/>
      <c r="E6" s="261" t="s">
        <v>304</v>
      </c>
      <c r="F6" s="262"/>
      <c r="G6" s="262"/>
      <c r="H6" s="262"/>
      <c r="I6" s="263"/>
      <c r="J6" s="2030"/>
      <c r="K6" s="2029"/>
      <c r="L6" s="2029"/>
      <c r="M6" s="2029"/>
      <c r="N6" s="2029"/>
      <c r="O6" s="2029"/>
      <c r="P6" s="2029"/>
      <c r="Q6" s="2029"/>
      <c r="R6" s="2029"/>
      <c r="S6" s="2029"/>
      <c r="T6" s="2029"/>
      <c r="U6" s="2029"/>
      <c r="V6" s="2029"/>
    </row>
    <row r="7" spans="1:22" ht="14.25">
      <c r="A7" s="3628"/>
      <c r="B7" s="3629"/>
      <c r="C7" s="3639"/>
      <c r="D7" s="3640"/>
      <c r="E7" s="261" t="s">
        <v>305</v>
      </c>
      <c r="F7" s="262"/>
      <c r="G7" s="262"/>
      <c r="H7" s="262"/>
      <c r="I7" s="263"/>
      <c r="J7" s="2030"/>
      <c r="K7" s="2029"/>
      <c r="L7" s="2029"/>
      <c r="M7" s="2029"/>
      <c r="N7" s="2029"/>
      <c r="O7" s="2029"/>
      <c r="P7" s="2029"/>
      <c r="Q7" s="2029"/>
      <c r="R7" s="2029"/>
      <c r="S7" s="2029"/>
      <c r="T7" s="2029"/>
      <c r="U7" s="2029"/>
      <c r="V7" s="2029"/>
    </row>
    <row r="8" spans="1:22" ht="14.25">
      <c r="A8" s="3628" t="s">
        <v>306</v>
      </c>
      <c r="B8" s="3629">
        <v>15</v>
      </c>
      <c r="C8" s="3637"/>
      <c r="D8" s="3640"/>
      <c r="E8" s="261" t="s">
        <v>307</v>
      </c>
      <c r="F8" s="262"/>
      <c r="G8" s="262"/>
      <c r="H8" s="262"/>
      <c r="I8" s="263"/>
      <c r="J8" s="2030"/>
      <c r="K8" s="2029"/>
      <c r="L8" s="2029"/>
      <c r="M8" s="2029"/>
      <c r="N8" s="2029"/>
      <c r="O8" s="2029"/>
      <c r="P8" s="2029"/>
      <c r="Q8" s="2029"/>
      <c r="R8" s="2029"/>
      <c r="S8" s="2029"/>
      <c r="T8" s="2029"/>
      <c r="U8" s="2029"/>
      <c r="V8" s="2029"/>
    </row>
    <row r="9" spans="1:22" ht="14.25">
      <c r="A9" s="3628"/>
      <c r="B9" s="3629"/>
      <c r="C9" s="3639"/>
      <c r="D9" s="3640"/>
      <c r="E9" s="261" t="s">
        <v>308</v>
      </c>
      <c r="F9" s="262"/>
      <c r="G9" s="262"/>
      <c r="H9" s="262"/>
      <c r="I9" s="263"/>
      <c r="J9" s="2030"/>
      <c r="K9" s="2029"/>
      <c r="L9" s="2029"/>
      <c r="M9" s="2029"/>
      <c r="N9" s="2029"/>
      <c r="O9" s="2029"/>
      <c r="P9" s="2029"/>
      <c r="Q9" s="2029"/>
      <c r="R9" s="2029"/>
      <c r="S9" s="2029"/>
      <c r="T9" s="2029"/>
      <c r="U9" s="2029"/>
      <c r="V9" s="2029"/>
    </row>
    <row r="10" spans="1:22" ht="14.25">
      <c r="A10" s="3628" t="s">
        <v>309</v>
      </c>
      <c r="B10" s="3629">
        <v>15</v>
      </c>
      <c r="C10" s="3637"/>
      <c r="D10" s="36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628"/>
      <c r="B11" s="3629"/>
      <c r="C11" s="3639"/>
      <c r="D11" s="36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628" t="s">
        <v>312</v>
      </c>
      <c r="B12" s="3629">
        <v>15</v>
      </c>
      <c r="C12" s="3637"/>
      <c r="D12" s="36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628"/>
      <c r="B13" s="3629"/>
      <c r="C13" s="3639"/>
      <c r="D13" s="36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628" t="s">
        <v>315</v>
      </c>
      <c r="B14" s="3629">
        <v>30</v>
      </c>
      <c r="C14" s="3637"/>
      <c r="D14" s="3640"/>
      <c r="E14" s="261" t="s">
        <v>316</v>
      </c>
      <c r="F14" s="262"/>
      <c r="G14" s="262"/>
      <c r="H14" s="262"/>
      <c r="I14" s="263"/>
      <c r="J14" s="2030"/>
      <c r="K14" s="2029"/>
      <c r="L14" s="2029"/>
      <c r="M14" s="2029"/>
      <c r="N14" s="2029"/>
      <c r="O14" s="2029"/>
      <c r="P14" s="2029"/>
      <c r="Q14" s="2029"/>
      <c r="R14" s="2029"/>
      <c r="S14" s="2029"/>
      <c r="T14" s="2029"/>
      <c r="U14" s="2029"/>
      <c r="V14" s="2029"/>
    </row>
    <row r="15" spans="1:22" ht="14.25">
      <c r="A15" s="3628"/>
      <c r="B15" s="3629"/>
      <c r="C15" s="3638"/>
      <c r="D15" s="36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628"/>
      <c r="B16" s="3629"/>
      <c r="C16" s="3639"/>
      <c r="D16" s="36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70</v>
      </c>
      <c r="D17" s="265">
        <f>SUM(D5:D16)</f>
        <v>30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0.7</v>
      </c>
      <c r="D18" s="267">
        <f>1-C18</f>
        <v>0.30000000000000004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2678</v>
      </c>
      <c r="D19" s="271">
        <f ca="1">SUMIF(INDIRECT("'"&amp;D4&amp;"'"&amp;"!A:A"),结果表!B19,INDIRECT("'"&amp;D4&amp;"'"&amp;"!B:B"))</f>
        <v>2731</v>
      </c>
      <c r="E19" s="268" t="s">
        <v>323</v>
      </c>
      <c r="F19" s="269" t="s">
        <v>322</v>
      </c>
      <c r="G19" s="272">
        <f ca="1">ROUND(C19*$C$18+D19*$D$18,0)</f>
        <v>2694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2678</v>
      </c>
      <c r="D20" s="277">
        <f ca="1">SUMIF(INDIRECT("'"&amp;D4&amp;"'"&amp;"!A:A"),结果表!B20,INDIRECT("'"&amp;D4&amp;"'"&amp;"!B:B"))</f>
        <v>2731</v>
      </c>
      <c r="E20" s="274"/>
      <c r="F20" s="275" t="s">
        <v>325</v>
      </c>
      <c r="G20" s="278">
        <f ca="1">ROUND(C20*$C$18+D20*$D$18,0)</f>
        <v>2694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t="e">
        <f ca="1">SUMIF(INDIRECT("'"&amp;C4&amp;"'"&amp;"!A:A"),结果表!B21,INDIRECT("'"&amp;C4&amp;"'"&amp;"!B:B"))</f>
        <v>#DIV/0!</v>
      </c>
      <c r="D21" s="151">
        <f ca="1">SUMIF(INDIRECT("'"&amp;D4&amp;"'"&amp;"!A:A"),结果表!B21,INDIRECT("'"&amp;D4&amp;"'"&amp;"!B:B"))</f>
        <v>2021</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1.9790888722927669E-2</v>
      </c>
      <c r="E22" s="284"/>
      <c r="F22" s="285"/>
      <c r="G22" s="286">
        <f ca="1">ROUND(G19/('数据-汇总表'!D3/666.67),0)</f>
        <v>133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43"/>
      <c r="B25" s="1321" t="s">
        <v>331</v>
      </c>
      <c r="C25" s="290">
        <f>IF(B30=0,0,C30)</f>
        <v>0</v>
      </c>
      <c r="D25" s="291"/>
      <c r="E25" s="311"/>
      <c r="F25" s="311"/>
      <c r="G25" s="311"/>
      <c r="H25" s="311"/>
      <c r="I25" s="311"/>
      <c r="J25" s="2029"/>
      <c r="K25" s="1255" t="str">
        <f ca="1">项目基本情况!B16&amp;"国有建设用地使用权价格："&amp;O38&amp;"万元"</f>
        <v>国有建设用地使用权价格：2694万元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大写金额：人民币贰仟陆佰玖拾肆万元整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单位面积地价：1994元/平方米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楼面地价：2694元/平方米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2976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1690</v>
      </c>
      <c r="C32" s="1383">
        <f ca="1">G19-C24</f>
        <v>2694</v>
      </c>
      <c r="D32" s="1384" t="s">
        <v>1691</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1692</v>
      </c>
      <c r="C33" s="264">
        <f ca="1">ROUND(C32*10000/'数据-汇总表'!E3,0)</f>
        <v>2694</v>
      </c>
      <c r="D33" s="1386" t="s">
        <v>1693</v>
      </c>
      <c r="E33" s="36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1994</v>
      </c>
      <c r="D34" s="1388" t="s">
        <v>1693</v>
      </c>
      <c r="E34" s="360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133</v>
      </c>
      <c r="D35" s="1391" t="s">
        <v>1695</v>
      </c>
      <c r="E35" s="3603"/>
      <c r="F35" s="301" t="s">
        <v>342</v>
      </c>
      <c r="G35" s="982"/>
      <c r="H35" s="981" t="s">
        <v>343</v>
      </c>
      <c r="I35" s="311"/>
      <c r="J35" s="2029"/>
      <c r="K35" s="3607" t="s">
        <v>350</v>
      </c>
      <c r="L35" s="3607" t="s">
        <v>351</v>
      </c>
      <c r="M35" s="1264" t="s">
        <v>352</v>
      </c>
      <c r="N35" s="3607" t="s">
        <v>353</v>
      </c>
      <c r="O35" s="3607" t="s">
        <v>354</v>
      </c>
      <c r="P35" s="2029"/>
      <c r="V35" s="2029"/>
    </row>
    <row r="36" spans="1:26" ht="16.5" customHeight="1">
      <c r="A36" s="303" t="s">
        <v>344</v>
      </c>
      <c r="B36" s="304" t="s">
        <v>333</v>
      </c>
      <c r="C36" s="305" t="s">
        <v>345</v>
      </c>
      <c r="D36" s="305" t="s">
        <v>346</v>
      </c>
      <c r="E36" s="306" t="s">
        <v>347</v>
      </c>
      <c r="F36" s="311"/>
      <c r="G36" s="311"/>
      <c r="H36" s="311"/>
      <c r="I36" s="311"/>
      <c r="J36" s="2031"/>
      <c r="K36" s="3608"/>
      <c r="L36" s="3608"/>
      <c r="M36" s="1266" t="s">
        <v>355</v>
      </c>
      <c r="N36" s="3608"/>
      <c r="O36" s="3608"/>
      <c r="P36" s="2029"/>
      <c r="V36" s="2029"/>
    </row>
    <row r="37" spans="1:26" ht="16.5" customHeight="1" thickBot="1">
      <c r="A37" s="1260" t="s">
        <v>348</v>
      </c>
      <c r="B37" s="307"/>
      <c r="C37" s="294"/>
      <c r="D37" s="294"/>
      <c r="E37" s="295"/>
      <c r="F37" s="311"/>
      <c r="G37" s="311"/>
      <c r="H37" s="311"/>
      <c r="I37" s="311"/>
      <c r="J37" s="2031"/>
      <c r="K37" s="3609"/>
      <c r="L37" s="3609"/>
      <c r="M37" s="1267"/>
      <c r="N37" s="3609"/>
      <c r="O37" s="3609"/>
      <c r="P37" s="2029"/>
      <c r="V37" s="2029"/>
    </row>
    <row r="38" spans="1:26" ht="16.5" customHeight="1" thickBot="1">
      <c r="A38" s="1260" t="s">
        <v>349</v>
      </c>
      <c r="B38" s="307"/>
      <c r="C38" s="294"/>
      <c r="D38" s="294"/>
      <c r="E38" s="295"/>
      <c r="F38" s="311"/>
      <c r="G38" s="311"/>
      <c r="H38" s="311"/>
      <c r="I38" s="311"/>
      <c r="J38" s="2031"/>
      <c r="K38" s="1268">
        <f>'数据-汇总表'!D3</f>
        <v>13513.51</v>
      </c>
      <c r="L38" s="1269">
        <f>'数据-汇总表'!E3</f>
        <v>10000</v>
      </c>
      <c r="M38" s="1269">
        <f ca="1">C34</f>
        <v>1994</v>
      </c>
      <c r="N38" s="1269">
        <f ca="1">C33</f>
        <v>2694</v>
      </c>
      <c r="O38" s="1270">
        <f ca="1">C32</f>
        <v>2694</v>
      </c>
      <c r="P38" s="2029"/>
      <c r="V38" s="2029"/>
    </row>
    <row r="39" spans="1:26" ht="16.5" customHeight="1" thickBot="1">
      <c r="A39" s="1265"/>
      <c r="B39" s="308"/>
      <c r="C39" s="309"/>
      <c r="D39" s="309"/>
      <c r="E39" s="310"/>
      <c r="F39" s="311"/>
      <c r="G39" s="311"/>
      <c r="H39" s="311"/>
      <c r="I39" s="311"/>
      <c r="J39" s="2031"/>
      <c r="K39" s="3584" t="str">
        <f>MID(A44,3,LEN(A44)-2)</f>
        <v/>
      </c>
      <c r="L39" s="3585"/>
      <c r="M39" s="3585"/>
      <c r="N39" s="3586"/>
      <c r="O39" s="1393" t="str">
        <f>C44</f>
        <v>——</v>
      </c>
      <c r="P39" s="2029"/>
      <c r="V39" s="2029"/>
    </row>
    <row r="40" spans="1:26" ht="19.5" thickBot="1">
      <c r="A40" s="104" t="s">
        <v>874</v>
      </c>
      <c r="B40" s="311"/>
      <c r="C40" s="311"/>
      <c r="D40" s="311"/>
      <c r="E40" s="311"/>
      <c r="F40" s="311"/>
      <c r="G40" s="311"/>
      <c r="H40" s="311"/>
      <c r="I40" s="311"/>
      <c r="J40" s="2031"/>
      <c r="K40" s="3584" t="str">
        <f t="shared" ref="K40:K41" si="0">MID(A45,3,LEN(A45)-2)</f>
        <v/>
      </c>
      <c r="L40" s="3585"/>
      <c r="M40" s="3585"/>
      <c r="N40" s="3586"/>
      <c r="O40" s="1393" t="str">
        <f>C45</f>
        <v>——</v>
      </c>
      <c r="P40" s="2029"/>
      <c r="V40" s="2029"/>
    </row>
    <row r="41" spans="1:26" ht="16.5" thickBot="1">
      <c r="A41" s="312" t="s">
        <v>356</v>
      </c>
      <c r="B41" s="313"/>
      <c r="C41" s="314" t="s">
        <v>357</v>
      </c>
      <c r="D41" s="315" t="s">
        <v>358</v>
      </c>
      <c r="E41" s="315" t="s">
        <v>359</v>
      </c>
      <c r="F41" s="316" t="s">
        <v>360</v>
      </c>
      <c r="G41" s="311"/>
      <c r="H41" s="311"/>
      <c r="I41" s="311"/>
      <c r="J41" s="2031"/>
      <c r="K41" s="3584" t="str">
        <f t="shared" si="0"/>
        <v/>
      </c>
      <c r="L41" s="3585"/>
      <c r="M41" s="3585"/>
      <c r="N41" s="3586"/>
      <c r="O41" s="1393" t="str">
        <f>C46</f>
        <v>——</v>
      </c>
      <c r="P41" s="2029"/>
      <c r="V41" s="2029"/>
    </row>
    <row r="42" spans="1:26" ht="29.25">
      <c r="A42" s="3644" t="s">
        <v>2071</v>
      </c>
      <c r="B42" s="3645"/>
      <c r="C42" s="264">
        <f ca="1">C32</f>
        <v>2694</v>
      </c>
      <c r="D42" s="317">
        <f ca="1">C33</f>
        <v>2694</v>
      </c>
      <c r="E42" s="317">
        <f ca="1">C34</f>
        <v>1994</v>
      </c>
      <c r="F42" s="318">
        <f ca="1">C35</f>
        <v>133</v>
      </c>
      <c r="G42" s="311"/>
      <c r="H42" s="311"/>
      <c r="I42" s="319"/>
      <c r="J42" s="2031"/>
      <c r="K42" s="1271" t="s">
        <v>361</v>
      </c>
      <c r="L42" s="2048" t="s">
        <v>362</v>
      </c>
      <c r="M42" s="1272" t="s">
        <v>363</v>
      </c>
      <c r="N42" s="2049" t="s">
        <v>364</v>
      </c>
      <c r="O42" s="2050" t="s">
        <v>365</v>
      </c>
      <c r="P42" s="2029"/>
      <c r="V42" s="2029"/>
    </row>
    <row r="43" spans="1:26" ht="18">
      <c r="A43" s="3654" t="s">
        <v>2737</v>
      </c>
      <c r="B43" s="3655"/>
      <c r="C43" s="264">
        <f>IF(H33="正常操作",G33+G34+G35,G34+G35)</f>
        <v>0</v>
      </c>
      <c r="D43" s="317" t="s">
        <v>43</v>
      </c>
      <c r="E43" s="317" t="s">
        <v>44</v>
      </c>
      <c r="F43" s="318" t="s">
        <v>44</v>
      </c>
      <c r="G43" s="2892" t="s">
        <v>953</v>
      </c>
      <c r="H43" s="311"/>
      <c r="I43" s="319"/>
      <c r="J43" s="2031"/>
      <c r="K43" s="1273" t="str">
        <f>C4</f>
        <v>基准地价</v>
      </c>
      <c r="L43" s="1274">
        <f ca="1">IF(L42="估价结果/万元",C19,C20)</f>
        <v>2678</v>
      </c>
      <c r="M43" s="1275">
        <f>C18</f>
        <v>0.7</v>
      </c>
      <c r="N43" s="1276">
        <f ca="1">IF(N42="测算结果/万元",G19,G20)</f>
        <v>2694</v>
      </c>
      <c r="O43" s="1277">
        <f ca="1">IF(O42="最终结果/万元",C32,C33)</f>
        <v>2694</v>
      </c>
      <c r="P43" s="2029"/>
      <c r="V43" s="2029"/>
    </row>
    <row r="44" spans="1:26" ht="18.75" thickBot="1">
      <c r="A44" s="3644" t="str">
        <f>IF(OR(项目基本情况!E8="抵押价格",项目基本情况!E8="已注销及未注销"),"3.抵押价格","——")</f>
        <v>——</v>
      </c>
      <c r="B44" s="3645"/>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收益还原法</v>
      </c>
      <c r="L44" s="1279">
        <f ca="1">IF(L42="估价结果/万元",D19,D20)</f>
        <v>2731</v>
      </c>
      <c r="M44" s="1280">
        <f>D18</f>
        <v>0.30000000000000004</v>
      </c>
      <c r="N44" s="1281"/>
      <c r="O44" s="1282"/>
      <c r="P44" s="2029"/>
      <c r="V44" s="2029"/>
    </row>
    <row r="45" spans="1:26" ht="15">
      <c r="A45" s="3649" t="str">
        <f>IF(项目基本情况!E8="已注销及未注销","4.抵押担保权已注销时的抵押价格",IF(项目基本情况!E8="已注销","3.抵押担保权已注销时的抵押价格","——"))</f>
        <v>——</v>
      </c>
      <c r="B45" s="365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46" t="str">
        <f>IF(项目基本情况!E9="抵押净值",IF(A45="——","4.抵押净值","5.抵押净值"),"——")</f>
        <v>——</v>
      </c>
      <c r="B46" s="364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12" t="s">
        <v>374</v>
      </c>
      <c r="B63" s="3613"/>
      <c r="C63" s="3614"/>
      <c r="D63" s="341">
        <f ca="1">ROUND(C42*F63,0)</f>
        <v>1616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51" t="s">
        <v>378</v>
      </c>
      <c r="B64" s="3652"/>
      <c r="C64" s="3652"/>
      <c r="D64" s="3652"/>
      <c r="E64" s="3652"/>
      <c r="F64" s="3652"/>
      <c r="G64" s="365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48" t="s">
        <v>386</v>
      </c>
      <c r="B66" s="3619"/>
      <c r="C66" s="3619"/>
      <c r="D66" s="261">
        <f ca="1">IF(H66="情况1",0,IF(H66="情况2",D70,IF(H66="情况3",D71,IF(H66="情况4",D72))))</f>
        <v>86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588" t="s">
        <v>385</v>
      </c>
      <c r="M66" s="3589"/>
      <c r="N66" s="2483"/>
      <c r="O66" s="2484"/>
      <c r="P66" s="2485"/>
      <c r="Q66" s="2029"/>
      <c r="R66" s="2029"/>
      <c r="S66" s="2029"/>
      <c r="T66" s="2029"/>
      <c r="U66" s="2029"/>
      <c r="V66" s="2029"/>
    </row>
    <row r="67" spans="1:22" ht="25.5" customHeight="1">
      <c r="A67" s="352" t="s">
        <v>390</v>
      </c>
      <c r="B67" s="3631" t="s">
        <v>391</v>
      </c>
      <c r="C67" s="3631"/>
      <c r="D67" s="353">
        <v>0</v>
      </c>
      <c r="E67" s="41" t="s">
        <v>392</v>
      </c>
      <c r="F67" s="62" t="s">
        <v>21</v>
      </c>
      <c r="G67" s="3615"/>
      <c r="H67" s="311"/>
      <c r="I67" s="1292"/>
      <c r="J67" s="2036"/>
      <c r="K67" s="1977">
        <v>2</v>
      </c>
      <c r="L67" s="3587" t="s">
        <v>389</v>
      </c>
      <c r="M67" s="3587"/>
      <c r="N67" s="1325">
        <f>'数据-取费表'!B2</f>
        <v>43115</v>
      </c>
      <c r="O67" s="1325"/>
      <c r="P67" s="1325"/>
      <c r="Q67" s="2029"/>
      <c r="R67" s="2029"/>
      <c r="S67" s="2029"/>
      <c r="T67" s="2029"/>
      <c r="U67" s="2029"/>
      <c r="V67" s="2029"/>
    </row>
    <row r="68" spans="1:22" ht="25.5" customHeight="1">
      <c r="A68" s="354"/>
      <c r="B68" s="3631" t="s">
        <v>394</v>
      </c>
      <c r="C68" s="3631"/>
      <c r="D68" s="355"/>
      <c r="E68" s="77"/>
      <c r="F68" s="356"/>
      <c r="G68" s="3616"/>
      <c r="H68" s="311"/>
      <c r="I68" s="1292"/>
      <c r="J68" s="2036"/>
      <c r="K68" s="1977">
        <v>3</v>
      </c>
      <c r="L68" s="3587" t="s">
        <v>393</v>
      </c>
      <c r="M68" s="3587"/>
      <c r="N68" s="1293">
        <f ca="1">C42</f>
        <v>2694</v>
      </c>
      <c r="O68" s="1293"/>
      <c r="P68" s="1293"/>
      <c r="Q68" s="2029"/>
      <c r="R68" s="2029"/>
      <c r="S68" s="2029"/>
      <c r="T68" s="2029"/>
      <c r="U68" s="2029"/>
      <c r="V68" s="2029"/>
    </row>
    <row r="69" spans="1:22" ht="12" customHeight="1">
      <c r="A69" s="357"/>
      <c r="B69" s="3631" t="s">
        <v>395</v>
      </c>
      <c r="C69" s="3631"/>
      <c r="D69" s="358"/>
      <c r="E69" s="73"/>
      <c r="F69" s="356"/>
      <c r="G69" s="3617"/>
      <c r="H69" s="311"/>
      <c r="I69" s="1292"/>
      <c r="J69" s="2036"/>
      <c r="K69" s="1294">
        <v>4</v>
      </c>
      <c r="L69" s="3593" t="s">
        <v>2889</v>
      </c>
      <c r="M69" s="3594"/>
      <c r="N69" s="1295" t="str">
        <f>C44</f>
        <v>——</v>
      </c>
      <c r="O69" s="1295"/>
      <c r="P69" s="1295"/>
      <c r="Q69" s="2029"/>
      <c r="R69" s="2029"/>
      <c r="S69" s="2029"/>
      <c r="T69" s="2029"/>
      <c r="U69" s="2029"/>
      <c r="V69" s="2029"/>
    </row>
    <row r="70" spans="1:22" ht="24" customHeight="1">
      <c r="A70" s="359" t="s">
        <v>396</v>
      </c>
      <c r="B70" s="3631" t="s">
        <v>397</v>
      </c>
      <c r="C70" s="3631"/>
      <c r="D70" s="358">
        <f ca="1">ROUND(D63*'数据-取费表'!B41/(1+'数据-取费表'!C42),0)</f>
        <v>86</v>
      </c>
      <c r="E70" s="17" t="s">
        <v>398</v>
      </c>
      <c r="F70" s="360">
        <f>'数据-取费表'!B41</f>
        <v>5.6000000000000001E-2</v>
      </c>
      <c r="G70" s="361"/>
      <c r="H70" s="311"/>
      <c r="I70" s="1292"/>
      <c r="J70" s="2036"/>
      <c r="K70" s="3088"/>
      <c r="L70" s="3089"/>
      <c r="M70" s="3089"/>
      <c r="N70" s="3090" t="s">
        <v>2894</v>
      </c>
      <c r="O70" s="3089"/>
      <c r="P70" s="3091"/>
      <c r="Q70" s="2029"/>
      <c r="R70" s="2029"/>
      <c r="S70" s="2029"/>
      <c r="T70" s="2029"/>
      <c r="U70" s="2029"/>
      <c r="V70" s="2029"/>
    </row>
    <row r="71" spans="1:22" ht="12" customHeight="1">
      <c r="A71" s="359" t="s">
        <v>404</v>
      </c>
      <c r="B71" s="3630" t="s">
        <v>405</v>
      </c>
      <c r="C71" s="3642"/>
      <c r="D71" s="358">
        <f ca="1">ROUND(D63*'数据-取费表'!B41/(1+'数据-取费表'!C42),0)</f>
        <v>86</v>
      </c>
      <c r="E71" s="17" t="s">
        <v>398</v>
      </c>
      <c r="F71" s="360">
        <f>'数据-取费表'!B41</f>
        <v>5.6000000000000001E-2</v>
      </c>
      <c r="G71" s="361"/>
      <c r="H71" s="311"/>
      <c r="I71" s="1292"/>
      <c r="J71" s="2036"/>
      <c r="K71" s="3087" t="s">
        <v>399</v>
      </c>
      <c r="L71" s="3595" t="s">
        <v>400</v>
      </c>
      <c r="M71" s="3595"/>
      <c r="N71" s="3087" t="s">
        <v>401</v>
      </c>
      <c r="O71" s="3087" t="s">
        <v>402</v>
      </c>
      <c r="P71" s="3087" t="s">
        <v>403</v>
      </c>
      <c r="Q71" s="2029"/>
      <c r="R71" s="2029"/>
      <c r="S71" s="2029"/>
      <c r="T71" s="2029"/>
      <c r="U71" s="2029"/>
      <c r="V71" s="2029"/>
    </row>
    <row r="72" spans="1:22" ht="12" customHeight="1">
      <c r="A72" s="359" t="s">
        <v>407</v>
      </c>
      <c r="B72" s="3630" t="s">
        <v>408</v>
      </c>
      <c r="C72" s="3642"/>
      <c r="D72" s="358">
        <f ca="1">C86</f>
        <v>0</v>
      </c>
      <c r="E72" s="73" t="s">
        <v>409</v>
      </c>
      <c r="F72" s="360">
        <f>'数据-取费表'!B41</f>
        <v>5.6000000000000001E-2</v>
      </c>
      <c r="G72" s="361"/>
      <c r="H72" s="1298"/>
      <c r="I72" s="1292"/>
      <c r="J72" s="2036"/>
      <c r="K72" s="1977">
        <v>1</v>
      </c>
      <c r="L72" s="3592" t="s">
        <v>406</v>
      </c>
      <c r="M72" s="3592"/>
      <c r="N72" s="1296">
        <f ca="1">D66</f>
        <v>86</v>
      </c>
      <c r="O72" s="1860" t="str">
        <f>E66</f>
        <v>销售额×税（费）率</v>
      </c>
      <c r="P72" s="1297">
        <f>F66</f>
        <v>5.6000000000000001E-2</v>
      </c>
      <c r="Q72" s="2029"/>
      <c r="R72" s="2029"/>
      <c r="S72" s="2029"/>
      <c r="T72" s="2029"/>
      <c r="U72" s="2029"/>
      <c r="V72" s="2029"/>
    </row>
    <row r="73" spans="1:22" ht="24" customHeight="1">
      <c r="A73" s="3618" t="s">
        <v>411</v>
      </c>
      <c r="B73" s="3619"/>
      <c r="C73" s="3619"/>
      <c r="D73" s="362">
        <f>IF(H73="个人住宅",0,ROUND(D63*I73,0))</f>
        <v>0</v>
      </c>
      <c r="E73" s="17" t="s">
        <v>412</v>
      </c>
      <c r="F73" s="360" t="str">
        <f>IF(H73="正常",I73,"免征")</f>
        <v>免征</v>
      </c>
      <c r="G73" s="361"/>
      <c r="H73" s="191" t="s">
        <v>2461</v>
      </c>
      <c r="I73" s="360">
        <f>'数据-取费表'!B49</f>
        <v>0</v>
      </c>
      <c r="J73" s="2036"/>
      <c r="K73" s="1977">
        <v>2</v>
      </c>
      <c r="L73" s="3592" t="s">
        <v>410</v>
      </c>
      <c r="M73" s="3592"/>
      <c r="N73" s="1296">
        <f t="shared" ref="N73:P74" si="1">D73</f>
        <v>0</v>
      </c>
      <c r="O73" s="1860" t="str">
        <f t="shared" si="1"/>
        <v>销售额×税（费）率</v>
      </c>
      <c r="P73" s="1297" t="str">
        <f t="shared" si="1"/>
        <v>免征</v>
      </c>
      <c r="Q73" s="2029"/>
      <c r="R73" s="2029"/>
      <c r="S73" s="2029"/>
      <c r="T73" s="2029"/>
      <c r="U73" s="2029"/>
      <c r="V73" s="2029"/>
    </row>
    <row r="74" spans="1:22" ht="24.75">
      <c r="A74" s="3618" t="s">
        <v>415</v>
      </c>
      <c r="B74" s="3619"/>
      <c r="C74" s="3619"/>
      <c r="D74" s="362">
        <f ca="1">IF(H74="个人住宅",D75,D76)</f>
        <v>328</v>
      </c>
      <c r="E74" s="17" t="s">
        <v>416</v>
      </c>
      <c r="F74" s="360" t="str">
        <f>IF(H74="正常",F76,"免征")</f>
        <v>——</v>
      </c>
      <c r="G74" s="983" t="s">
        <v>417</v>
      </c>
      <c r="H74" s="363" t="s">
        <v>413</v>
      </c>
      <c r="I74" s="42"/>
      <c r="J74" s="2036"/>
      <c r="K74" s="1977">
        <v>3</v>
      </c>
      <c r="L74" s="3592" t="s">
        <v>414</v>
      </c>
      <c r="M74" s="3592"/>
      <c r="N74" s="1296">
        <f t="shared" ca="1" si="1"/>
        <v>328</v>
      </c>
      <c r="O74" s="1860" t="str">
        <f t="shared" si="1"/>
        <v>增值额×税（费）率</v>
      </c>
      <c r="P74" s="1299" t="str">
        <f t="shared" si="1"/>
        <v>——</v>
      </c>
      <c r="Q74" s="2029"/>
      <c r="R74" s="2029"/>
      <c r="S74" s="2029"/>
      <c r="T74" s="2029"/>
      <c r="U74" s="2029"/>
      <c r="V74" s="2029"/>
    </row>
    <row r="75" spans="1:22" ht="24">
      <c r="A75" s="359" t="s">
        <v>418</v>
      </c>
      <c r="B75" s="3599" t="s">
        <v>419</v>
      </c>
      <c r="C75" s="3600"/>
      <c r="D75" s="364">
        <v>0</v>
      </c>
      <c r="E75" s="41" t="s">
        <v>420</v>
      </c>
      <c r="F75" s="365"/>
      <c r="G75" s="361"/>
      <c r="H75" s="42"/>
      <c r="I75" s="42"/>
      <c r="J75" s="2036"/>
      <c r="K75" s="3080">
        <f>IF(H77="非个人房产","",4)</f>
        <v>4</v>
      </c>
      <c r="L75" s="3592" t="str">
        <f>IF(H77="非个人房产","——","个人所得税")</f>
        <v>个人所得税</v>
      </c>
      <c r="M75" s="3592"/>
      <c r="N75" s="1300">
        <f ca="1">D77</f>
        <v>16</v>
      </c>
      <c r="O75" s="1873" t="str">
        <f>E77</f>
        <v>销售额×税（费）率</v>
      </c>
      <c r="P75" s="1301">
        <f>F77</f>
        <v>0.01</v>
      </c>
      <c r="Q75" s="2029"/>
      <c r="R75" s="2029"/>
      <c r="S75" s="2029"/>
      <c r="T75" s="2029"/>
      <c r="U75" s="2029"/>
      <c r="V75" s="2029"/>
    </row>
    <row r="76" spans="1:22" ht="24.75">
      <c r="A76" s="359" t="s">
        <v>396</v>
      </c>
      <c r="B76" s="3599" t="s">
        <v>422</v>
      </c>
      <c r="C76" s="3641"/>
      <c r="D76" s="362">
        <f ca="1">IF(H76="转让取得",C99,C115)</f>
        <v>328</v>
      </c>
      <c r="E76" s="17" t="s">
        <v>423</v>
      </c>
      <c r="F76" s="53" t="s">
        <v>21</v>
      </c>
      <c r="G76" s="361"/>
      <c r="H76" s="363" t="s">
        <v>424</v>
      </c>
      <c r="I76" s="42"/>
      <c r="J76" s="2036"/>
      <c r="K76" s="3080" t="str">
        <f>IF(项目基本情况!K6="上海银行",IF(K75="",4,K75+1),"")</f>
        <v/>
      </c>
      <c r="L76" s="3580" t="str">
        <f>IF(项目基本情况!K6="上海银行","其他处置费用","")</f>
        <v/>
      </c>
      <c r="M76" s="3581"/>
      <c r="N76" s="1296" t="str">
        <f>IF(项目基本情况!K6="上海银行",N89,"")</f>
        <v/>
      </c>
      <c r="O76" s="3582" t="str">
        <f>IF(项目基本情况!K6="上海银行","包含处置中涉及的律师、诉讼、拍卖、评估等费用","")</f>
        <v/>
      </c>
      <c r="P76" s="3583"/>
      <c r="Q76" s="2029"/>
      <c r="R76" s="2029"/>
      <c r="S76" s="2029"/>
      <c r="T76" s="2029"/>
      <c r="U76" s="2029"/>
      <c r="V76" s="2029"/>
    </row>
    <row r="77" spans="1:22" ht="26.25" thickBot="1">
      <c r="A77" s="3610" t="s">
        <v>426</v>
      </c>
      <c r="B77" s="3611"/>
      <c r="C77" s="3611"/>
      <c r="D77" s="366">
        <f ca="1">IF(H77="非个人房产","——",IF(H77="个人住宅",0,ROUND(D63*I77,0)))</f>
        <v>16</v>
      </c>
      <c r="E77" s="367" t="str">
        <f>IF(H77="非个人房产","——","销售额×税（费）率")</f>
        <v>销售额×税（费）率</v>
      </c>
      <c r="F77" s="368">
        <f>IF(H77="非个人房产","——",IF(H77="个人住宅","免征",I77))</f>
        <v>0.01</v>
      </c>
      <c r="G77" s="984" t="s">
        <v>417</v>
      </c>
      <c r="H77" s="363" t="s">
        <v>2890</v>
      </c>
      <c r="I77" s="369">
        <v>0.01</v>
      </c>
      <c r="J77" s="2036"/>
      <c r="K77" s="3606">
        <f>IF(AND(K75="",K76=""),4,IF(项目基本情况!K6="上海银行",K76+1,K75+1))</f>
        <v>5</v>
      </c>
      <c r="L77" s="3592" t="s">
        <v>2891</v>
      </c>
      <c r="M77" s="3086" t="s">
        <v>421</v>
      </c>
      <c r="N77" s="1302"/>
      <c r="O77" s="1303">
        <f ca="1">SUMIF(N72:N76,"&lt;9e307")</f>
        <v>430</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606"/>
      <c r="L78" s="3592"/>
      <c r="M78" s="3086" t="s">
        <v>425</v>
      </c>
      <c r="N78" s="1302"/>
      <c r="O78" s="1303" t="str">
        <f ca="1">NUMBERSTRING(INT(O77*10000),2)&amp;"元整"</f>
        <v>肆佰叁拾万元整</v>
      </c>
      <c r="P78" s="1304"/>
      <c r="Q78" s="2029"/>
      <c r="R78" s="2029"/>
      <c r="S78" s="2029"/>
      <c r="T78" s="2029"/>
      <c r="U78" s="2029"/>
      <c r="V78" s="2029"/>
    </row>
    <row r="79" spans="1:22" ht="13.5" thickBot="1">
      <c r="A79" s="3596" t="s">
        <v>427</v>
      </c>
      <c r="B79" s="3596"/>
      <c r="C79" s="3596"/>
      <c r="D79" s="3596"/>
      <c r="E79" s="3596"/>
      <c r="F79" s="42"/>
      <c r="G79" s="42"/>
      <c r="H79" s="1003"/>
      <c r="I79" s="311"/>
      <c r="J79" s="2036"/>
      <c r="K79" s="3590">
        <f>K77+1</f>
        <v>6</v>
      </c>
      <c r="L79" s="3592" t="s">
        <v>2892</v>
      </c>
      <c r="M79" s="3086" t="s">
        <v>421</v>
      </c>
      <c r="N79" s="1302"/>
      <c r="O79" s="1303" t="e">
        <f ca="1">N69-O77</f>
        <v>#VALUE!</v>
      </c>
      <c r="P79" s="1304"/>
      <c r="Q79" s="2029"/>
      <c r="R79" s="2029"/>
      <c r="S79" s="2029"/>
      <c r="T79" s="2029"/>
      <c r="U79" s="2029"/>
      <c r="V79" s="2029"/>
    </row>
    <row r="80" spans="1:22" ht="12.75">
      <c r="A80" s="3597" t="s">
        <v>428</v>
      </c>
      <c r="B80" s="3598"/>
      <c r="C80" s="994"/>
      <c r="D80" s="994" t="s">
        <v>429</v>
      </c>
      <c r="E80" s="370" t="s">
        <v>430</v>
      </c>
      <c r="F80" s="42"/>
      <c r="G80" s="42"/>
      <c r="H80" s="1003"/>
      <c r="I80" s="311"/>
      <c r="J80" s="2029"/>
      <c r="K80" s="3591"/>
      <c r="L80" s="3592"/>
      <c r="M80" s="3086"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1539</v>
      </c>
      <c r="D81" s="373"/>
      <c r="E81" s="374"/>
      <c r="F81" s="42"/>
      <c r="G81" s="42"/>
      <c r="H81" s="1003"/>
      <c r="I81" s="311"/>
      <c r="J81" s="2029"/>
      <c r="K81" s="3080">
        <f>K79+1</f>
        <v>7</v>
      </c>
      <c r="L81" s="3604" t="s">
        <v>2893</v>
      </c>
      <c r="M81" s="3605"/>
      <c r="N81" s="1306"/>
      <c r="O81" s="1307" t="e">
        <f ca="1">ROUND(O79*10000/'数据-汇总表'!E3,0)</f>
        <v>#VALUE!</v>
      </c>
      <c r="P81" s="1308"/>
      <c r="Q81" s="2029"/>
      <c r="R81" s="2029"/>
      <c r="S81" s="2029"/>
      <c r="T81" s="2029"/>
      <c r="U81" s="2029"/>
      <c r="V81" s="2029"/>
    </row>
    <row r="82" spans="1:26" ht="13.5" thickTop="1">
      <c r="A82" s="375" t="s">
        <v>1826</v>
      </c>
      <c r="B82" s="376" t="s">
        <v>432</v>
      </c>
      <c r="C82" s="377">
        <f ca="1">D63</f>
        <v>1616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579" t="s">
        <v>2880</v>
      </c>
      <c r="L83" s="3092" t="s">
        <v>2881</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1828</v>
      </c>
      <c r="B84" s="382" t="s">
        <v>434</v>
      </c>
      <c r="C84" s="383">
        <v>2000</v>
      </c>
      <c r="D84" s="384" t="s">
        <v>19</v>
      </c>
      <c r="E84" s="3126" t="s">
        <v>2947</v>
      </c>
      <c r="F84" s="42"/>
      <c r="G84" s="42"/>
      <c r="H84" s="1003"/>
      <c r="I84" s="311"/>
      <c r="J84" s="2029"/>
      <c r="K84" s="3579"/>
      <c r="L84" s="3092" t="s">
        <v>2882</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2883</v>
      </c>
      <c r="P84" s="2029"/>
      <c r="Q84" s="2029"/>
      <c r="R84" s="2029"/>
      <c r="S84" s="2029"/>
      <c r="T84" s="2029"/>
      <c r="U84" s="2029"/>
      <c r="V84" s="2029"/>
    </row>
    <row r="85" spans="1:26" ht="12.75">
      <c r="A85" s="381" t="s">
        <v>1829</v>
      </c>
      <c r="B85" s="382" t="s">
        <v>435</v>
      </c>
      <c r="C85" s="385">
        <f ca="1">C81-C84</f>
        <v>-461</v>
      </c>
      <c r="D85" s="378" t="s">
        <v>19</v>
      </c>
      <c r="E85" s="379"/>
      <c r="F85" s="42"/>
      <c r="G85" s="42"/>
      <c r="H85" s="1003"/>
      <c r="I85" s="311"/>
      <c r="J85" s="2029"/>
      <c r="K85" s="3579"/>
      <c r="L85" s="3092" t="s">
        <v>2884</v>
      </c>
      <c r="M85" s="3082" t="e">
        <f>IF(N69&gt;1000,N69*0.1%,IF(AND(N69&gt;500,N69&lt;=1000),N69*0.5%,IF(AND(N69&gt;50,N69&lt;=500),N69*1%,IF(AND(N69&gt;1,N69&lt;=50),N69*1.5%))))</f>
        <v>#VALUE!</v>
      </c>
      <c r="N85" s="53" t="e">
        <f t="shared" si="2"/>
        <v>#VALUE!</v>
      </c>
      <c r="O85" s="2029" t="s">
        <v>2883</v>
      </c>
      <c r="P85" s="2029"/>
      <c r="Q85" s="2029"/>
      <c r="R85" s="2029"/>
      <c r="S85" s="2029"/>
      <c r="T85" s="2029"/>
      <c r="U85" s="2029"/>
      <c r="V85" s="2029"/>
    </row>
    <row r="86" spans="1:26" ht="13.5" thickBot="1">
      <c r="A86" s="386" t="s">
        <v>1830</v>
      </c>
      <c r="B86" s="387" t="s">
        <v>436</v>
      </c>
      <c r="C86" s="388">
        <f ca="1">IF(C85&lt;=0,0,ROUND(C85*D86,0))</f>
        <v>0</v>
      </c>
      <c r="D86" s="389">
        <f>'数据-取费表'!B41</f>
        <v>5.6000000000000001E-2</v>
      </c>
      <c r="E86" s="390"/>
      <c r="F86" s="42"/>
      <c r="G86" s="42"/>
      <c r="H86" s="1003"/>
      <c r="I86" s="311"/>
      <c r="J86" s="2029"/>
      <c r="K86" s="3579"/>
      <c r="L86" s="3092" t="s">
        <v>2885</v>
      </c>
      <c r="M86" s="3082" t="e">
        <f>N69*0.5%</f>
        <v>#VALUE!</v>
      </c>
      <c r="N86" s="53" t="e">
        <f>IF(M86&gt;0.5,0.5,ROUND(M86,0))</f>
        <v>#VALUE!</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579"/>
      <c r="L87" s="3092" t="s">
        <v>2887</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633" t="s">
        <v>437</v>
      </c>
      <c r="B88" s="3634"/>
      <c r="C88" s="3634"/>
      <c r="D88" s="3634"/>
      <c r="E88" s="3634"/>
      <c r="F88" s="3634"/>
      <c r="G88" s="3634"/>
      <c r="H88" s="3634"/>
      <c r="I88" s="1315"/>
      <c r="J88" s="2037"/>
      <c r="K88" s="3579"/>
      <c r="L88" s="3092" t="s">
        <v>2888</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597" t="s">
        <v>428</v>
      </c>
      <c r="B89" s="3598"/>
      <c r="C89" s="994"/>
      <c r="D89" s="994" t="s">
        <v>429</v>
      </c>
      <c r="E89" s="391" t="s">
        <v>438</v>
      </c>
      <c r="F89" s="392"/>
      <c r="G89" s="392"/>
      <c r="H89" s="393"/>
      <c r="I89" s="1316"/>
      <c r="J89" s="2039"/>
      <c r="K89" s="3579"/>
      <c r="L89" s="3092" t="s">
        <v>27</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1539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2509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2500</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630" t="s">
        <v>447</v>
      </c>
      <c r="F94" s="3631"/>
      <c r="G94" s="3631"/>
      <c r="H94" s="36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0</v>
      </c>
      <c r="D95" s="402">
        <f>'数据-取费表'!B48+'数据-取费表'!B49</f>
        <v>0</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9</v>
      </c>
      <c r="D96" s="406">
        <f>'数据-取费表'!B43</f>
        <v>6.000000000000001E-3</v>
      </c>
      <c r="E96" s="3620" t="s">
        <v>2433</v>
      </c>
      <c r="F96" s="3621"/>
      <c r="G96" s="3621"/>
      <c r="H96" s="362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-970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33" t="s">
        <v>454</v>
      </c>
      <c r="B101" s="3634"/>
      <c r="C101" s="3634"/>
      <c r="D101" s="3634"/>
      <c r="E101" s="3634"/>
      <c r="F101" s="3634"/>
      <c r="G101" s="3634"/>
      <c r="H101" s="36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597" t="s">
        <v>428</v>
      </c>
      <c r="B102" s="359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1539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680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555</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0</v>
      </c>
      <c r="D107" s="406">
        <f>'数据-取费表'!B48+'数据-取费表'!B49</f>
        <v>0</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623" t="s">
        <v>462</v>
      </c>
      <c r="F109" s="3621"/>
      <c r="G109" s="3621"/>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61</v>
      </c>
      <c r="D110" s="406">
        <v>0.1</v>
      </c>
      <c r="E110" s="3623" t="s">
        <v>464</v>
      </c>
      <c r="F110" s="3621"/>
      <c r="G110" s="3621"/>
      <c r="H110" s="362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9</v>
      </c>
      <c r="D111" s="406">
        <f>'数据-取费表'!B43</f>
        <v>6.000000000000001E-3</v>
      </c>
      <c r="E111" s="3620" t="s">
        <v>2433</v>
      </c>
      <c r="F111" s="3621"/>
      <c r="G111" s="3621"/>
      <c r="H111" s="362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623" t="s">
        <v>2458</v>
      </c>
      <c r="F112" s="3621"/>
      <c r="G112" s="3621"/>
      <c r="H112" s="362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859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1.263235294117647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-311</v>
      </c>
      <c r="C2" s="2105"/>
      <c r="D2" s="2105"/>
      <c r="E2" s="2105"/>
      <c r="F2" s="2105"/>
      <c r="G2" s="2105"/>
      <c r="H2" s="2105"/>
      <c r="I2" s="2105"/>
      <c r="J2" s="2105"/>
      <c r="K2" s="2105"/>
    </row>
    <row r="3" spans="1:31" s="2042" customFormat="1" ht="18" customHeight="1">
      <c r="A3" s="2107" t="s">
        <v>1686</v>
      </c>
      <c r="B3" s="2108">
        <f ca="1">ROUND(B2*10000/IF(B1="",'数据-汇总表'!E3,INDIRECT("'数据-取费表'!K"&amp;$K$1)),0)</f>
        <v>-311</v>
      </c>
      <c r="C3" s="2105"/>
      <c r="D3" s="2105"/>
      <c r="E3" s="2105"/>
      <c r="F3" s="2105"/>
      <c r="G3" s="2105"/>
      <c r="H3" s="2105"/>
      <c r="I3" s="2105"/>
      <c r="J3" s="2105"/>
      <c r="K3" s="2105"/>
    </row>
    <row r="4" spans="1:31" s="2042" customFormat="1" ht="18" customHeight="1">
      <c r="A4" s="426" t="s">
        <v>468</v>
      </c>
      <c r="B4" s="427">
        <f ca="1">ROUND(B2*10000/IF(B1="",'数据-汇总表'!D3,INDIRECT("'数据-取费表'!R"&amp;$K$1)),0)</f>
        <v>-230</v>
      </c>
      <c r="C4" s="428"/>
      <c r="D4" s="422"/>
      <c r="E4" s="422"/>
      <c r="F4" s="422"/>
      <c r="G4" s="422"/>
      <c r="H4" s="422"/>
      <c r="I4" s="422"/>
      <c r="J4" s="422"/>
      <c r="K4" s="422"/>
    </row>
    <row r="5" spans="1:31" s="2042" customFormat="1" ht="18" customHeight="1" thickBot="1">
      <c r="A5" s="429"/>
      <c r="B5" s="430">
        <f ca="1">ROUND(B2/(IF(B1="",'数据-汇总表'!D3,INDIRECT("'数据-取费表'!R"&amp;$K$1))/666.67),0)</f>
        <v>-15</v>
      </c>
      <c r="C5" s="431" t="s">
        <v>469</v>
      </c>
      <c r="D5" s="422"/>
      <c r="E5" s="422"/>
      <c r="F5" s="422"/>
      <c r="G5" s="422"/>
      <c r="H5" s="422"/>
      <c r="I5" s="422"/>
      <c r="J5" s="422"/>
      <c r="K5" s="422"/>
    </row>
    <row r="6" spans="1:31" s="2112" customFormat="1" ht="16.5" customHeight="1">
      <c r="A6" s="2854" t="s">
        <v>1844</v>
      </c>
      <c r="B6" s="2855"/>
      <c r="C6" s="2856">
        <f>SUM(C10:K10)</f>
        <v>0</v>
      </c>
      <c r="D6" s="2855"/>
      <c r="E6" s="2855"/>
      <c r="F6" s="2855"/>
      <c r="G6" s="2855"/>
      <c r="H6" s="2855"/>
      <c r="I6" s="2855"/>
      <c r="J6" s="2855"/>
      <c r="K6" s="2857"/>
    </row>
    <row r="7" spans="1:31" s="2114" customFormat="1" ht="15">
      <c r="A7" s="2858" t="s">
        <v>470</v>
      </c>
      <c r="B7" s="2859"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c r="D10" s="3055"/>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100</v>
      </c>
      <c r="D13" s="2870"/>
      <c r="E13" s="2871"/>
      <c r="F13" s="2872"/>
      <c r="G13" s="2838"/>
      <c r="H13" s="2839"/>
      <c r="I13" s="2839"/>
      <c r="J13" s="2839"/>
      <c r="K13" s="2840"/>
    </row>
    <row r="14" spans="1:31" s="2117" customFormat="1" ht="13.5" customHeight="1">
      <c r="A14" s="2868" t="s">
        <v>1851</v>
      </c>
      <c r="B14" s="2869" t="s">
        <v>480</v>
      </c>
      <c r="C14" s="53">
        <f ca="1">ROUND(C13*F14,0)</f>
        <v>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1853</v>
      </c>
      <c r="B16" s="2869" t="s">
        <v>484</v>
      </c>
      <c r="C16" s="53">
        <f ca="1">ROUND(D16*E16/10000,0)</f>
        <v>200</v>
      </c>
      <c r="D16" s="2870">
        <f ca="1">IF(B1="",'数据-汇总表'!E3,INDIRECT("'数据-取费表'!K"&amp;$K$1)+INDIRECT("'数据-取费表'!S"&amp;$K$1))</f>
        <v>10000</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2</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305</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10000</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0</v>
      </c>
      <c r="D20" s="2880"/>
      <c r="E20" s="2834"/>
      <c r="F20" s="2881"/>
      <c r="G20" s="3114"/>
      <c r="H20" s="2836"/>
      <c r="I20" s="2837" t="s">
        <v>2658</v>
      </c>
      <c r="J20" s="2843"/>
      <c r="K20" s="2844"/>
    </row>
    <row r="21" spans="1:14" s="2117" customFormat="1" ht="13.5" customHeight="1">
      <c r="A21" s="2868" t="s">
        <v>1858</v>
      </c>
      <c r="B21" s="2869" t="s">
        <v>491</v>
      </c>
      <c r="C21" s="53">
        <f ca="1">ROUND(D21*E21/10000,0)</f>
        <v>0</v>
      </c>
      <c r="D21" s="2870">
        <f ca="1">IF(B1="",'数据-汇总表'!E5,IF(INDIRECT("'数据-取费表'!c"&amp;$K$1)="住宅",INDIRECT("'数据-取费表'!k"&amp;$K$1),0))</f>
        <v>0</v>
      </c>
      <c r="E21" s="53">
        <f>'数据-取费表'!B27</f>
        <v>0</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10000</v>
      </c>
      <c r="E22" s="53">
        <f>'数据-取费表'!B28</f>
        <v>0</v>
      </c>
      <c r="F22" s="2873"/>
      <c r="G22" s="26"/>
      <c r="H22" s="51"/>
      <c r="I22" s="51"/>
      <c r="J22" s="51"/>
      <c r="K22" s="2845"/>
    </row>
    <row r="23" spans="1:14" s="2117" customFormat="1" ht="13.5" customHeight="1">
      <c r="A23" s="2876" t="s">
        <v>1860</v>
      </c>
      <c r="B23" s="3061" t="s">
        <v>2840</v>
      </c>
      <c r="C23" s="2878">
        <f ca="1">ROUND((C18+C19+C20)*F23,0)</f>
        <v>6</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ROUND(C6*F24,0)</f>
        <v>0</v>
      </c>
      <c r="D24" s="475"/>
      <c r="E24" s="473"/>
      <c r="F24" s="2882">
        <f>'数据-取费表'!B38</f>
        <v>0.01</v>
      </c>
      <c r="G24" s="2847" t="s">
        <v>499</v>
      </c>
      <c r="H24" s="2841"/>
      <c r="I24" s="2841"/>
      <c r="J24" s="2841"/>
      <c r="K24" s="279"/>
      <c r="L24" s="2119"/>
      <c r="M24" s="2119"/>
      <c r="N24" s="2119"/>
    </row>
    <row r="25" spans="1:14" s="2120" customFormat="1" ht="13.5" customHeight="1">
      <c r="A25" s="2876" t="s">
        <v>1862</v>
      </c>
      <c r="B25" s="3061" t="s">
        <v>2841</v>
      </c>
      <c r="C25" s="467">
        <f>ROUND(F25/(1+'数据-取费表'!C42),4)</f>
        <v>0</v>
      </c>
      <c r="D25" s="462" t="s">
        <v>2835</v>
      </c>
      <c r="E25" s="469"/>
      <c r="F25" s="2882">
        <f>'数据-取费表'!B48+'数据-取费表'!B49</f>
        <v>0</v>
      </c>
      <c r="G25" s="2846" t="s">
        <v>2293</v>
      </c>
      <c r="H25" s="2839"/>
      <c r="I25" s="2839"/>
      <c r="J25" s="2839"/>
      <c r="K25" s="2840"/>
    </row>
    <row r="26" spans="1:14" s="2119" customFormat="1" ht="13.5" customHeight="1">
      <c r="A26" s="2876" t="s">
        <v>1863</v>
      </c>
      <c r="B26" s="3062" t="s">
        <v>2842</v>
      </c>
      <c r="C26" s="2883">
        <f ca="1">C28</f>
        <v>0</v>
      </c>
      <c r="D26" s="467">
        <f ca="1">C27</f>
        <v>0</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v>
      </c>
      <c r="D27" s="472"/>
      <c r="E27" s="473"/>
      <c r="F27" s="474"/>
      <c r="G27" s="2597" t="str">
        <f>IF('数据-取费表'!B22&lt;=1,"（1+取得税费率/(1+5%)）×年利率×建设期","（1+取得税费率）/(1+5%)×((1+年利率)^建设期-1)")</f>
        <v>（1+取得税费率/(1+5%)）×年利率×建设期</v>
      </c>
      <c r="H27" s="2841"/>
      <c r="I27" s="2841"/>
      <c r="J27" s="2841"/>
      <c r="K27" s="279"/>
    </row>
    <row r="28" spans="1:14" s="2121" customFormat="1" ht="13.5" customHeight="1">
      <c r="A28" s="803" t="s">
        <v>1859</v>
      </c>
      <c r="B28" s="2884" t="s">
        <v>2844</v>
      </c>
      <c r="C28" s="2886">
        <f ca="1">ROUND(IF('数据-取费表'!B22&lt;=1,(C18+C19+C20+C23+C24)*F26*'数据-取费表'!B24/2,(C18+C19+C20+C23+C24)*(POWER((1+F26),'数据-取费表'!B24/2)-1)),0)</f>
        <v>0</v>
      </c>
      <c r="D28" s="472"/>
      <c r="E28" s="473"/>
      <c r="F28" s="474"/>
      <c r="G28" s="2597" t="str">
        <f>IF('数据-取费表'!B22&lt;=1,"（1）-（4）项×年利率×建设期÷2","（1）-（4）项×((1+年利率)^(建设期÷2)-1)")</f>
        <v>（1）-（4）项×年利率×建设期÷2</v>
      </c>
      <c r="H28" s="2841"/>
      <c r="I28" s="2841"/>
      <c r="J28" s="2841"/>
      <c r="K28" s="279"/>
    </row>
    <row r="29" spans="1:14" s="2121" customFormat="1" ht="13.5" customHeight="1">
      <c r="A29" s="2887" t="s">
        <v>1864</v>
      </c>
      <c r="B29" s="2877" t="s">
        <v>497</v>
      </c>
      <c r="C29" s="2878">
        <f>ROUND(C6*F29/(1+'数据-取费表'!C42),0)</f>
        <v>0</v>
      </c>
      <c r="D29" s="468"/>
      <c r="E29" s="468"/>
      <c r="F29" s="3063">
        <f>'数据-取费表'!B41</f>
        <v>5.6000000000000001E-2</v>
      </c>
      <c r="G29" s="2847" t="s">
        <v>498</v>
      </c>
      <c r="H29" s="2839"/>
      <c r="I29" s="2839"/>
      <c r="J29" s="2839"/>
      <c r="K29" s="2840"/>
    </row>
    <row r="30" spans="1:14" s="2122" customFormat="1" ht="13.5" customHeight="1">
      <c r="A30" s="1635" t="s">
        <v>1865</v>
      </c>
      <c r="B30" s="2888" t="s">
        <v>500</v>
      </c>
      <c r="C30" s="2883">
        <f ca="1">C31</f>
        <v>311</v>
      </c>
      <c r="D30" s="477">
        <f ca="1">C32</f>
        <v>0</v>
      </c>
      <c r="E30" s="469" t="s">
        <v>495</v>
      </c>
      <c r="F30" s="471"/>
      <c r="G30" s="2838" t="s">
        <v>501</v>
      </c>
      <c r="H30" s="2839"/>
      <c r="I30" s="2839"/>
      <c r="J30" s="2839"/>
      <c r="K30" s="2840"/>
    </row>
    <row r="31" spans="1:14" s="2121" customFormat="1" ht="13.5" customHeight="1">
      <c r="A31" s="803" t="s">
        <v>1858</v>
      </c>
      <c r="B31" s="2884"/>
      <c r="C31" s="450">
        <f ca="1">C18+C19+C20+C23+C24+C26+C29</f>
        <v>311</v>
      </c>
      <c r="D31" s="472"/>
      <c r="E31" s="473"/>
      <c r="F31" s="474"/>
      <c r="G31" s="261"/>
      <c r="H31" s="2841"/>
      <c r="I31" s="2841"/>
      <c r="J31" s="2841"/>
      <c r="K31" s="279"/>
    </row>
    <row r="32" spans="1:14" s="2121" customFormat="1" ht="13.5" customHeight="1">
      <c r="A32" s="803" t="s">
        <v>1859</v>
      </c>
      <c r="B32" s="2884"/>
      <c r="C32" s="53">
        <f ca="1">ROUND(C25+D26,4)</f>
        <v>0</v>
      </c>
      <c r="D32" s="472"/>
      <c r="E32" s="473"/>
      <c r="F32" s="474"/>
      <c r="G32" s="261"/>
      <c r="H32" s="2841"/>
      <c r="I32" s="2841"/>
      <c r="J32" s="2841"/>
      <c r="K32" s="279"/>
    </row>
    <row r="33" spans="1:11" s="2123" customFormat="1" ht="13.5" customHeight="1">
      <c r="A33" s="3060" t="s">
        <v>2839</v>
      </c>
      <c r="B33" s="3058" t="s">
        <v>2837</v>
      </c>
      <c r="C33" s="478">
        <f ca="1">C35</f>
        <v>16</v>
      </c>
      <c r="D33" s="467">
        <f ca="1">C34</f>
        <v>0.05</v>
      </c>
      <c r="E33" s="469" t="s">
        <v>495</v>
      </c>
      <c r="F33" s="479">
        <f ca="1">IF(B1="",'数据-取费表'!Q16,INDIRECT("'数据-取费表'!q"&amp;$K$1))</f>
        <v>0.05</v>
      </c>
      <c r="G33" s="2842"/>
      <c r="H33" s="2843"/>
      <c r="I33" s="2843"/>
      <c r="J33" s="2843"/>
      <c r="K33" s="2844"/>
    </row>
    <row r="34" spans="1:11" s="2124" customFormat="1" ht="13.5" customHeight="1">
      <c r="A34" s="375" t="s">
        <v>1858</v>
      </c>
      <c r="B34" s="2889" t="s">
        <v>502</v>
      </c>
      <c r="C34" s="472">
        <f ca="1">ROUND((1+C25)*F33,4)</f>
        <v>0.05</v>
      </c>
      <c r="D34" s="472"/>
      <c r="E34" s="473"/>
      <c r="F34" s="480"/>
      <c r="G34" s="261" t="s">
        <v>2294</v>
      </c>
      <c r="H34" s="2841"/>
      <c r="I34" s="2841"/>
      <c r="J34" s="2841"/>
      <c r="K34" s="279"/>
    </row>
    <row r="35" spans="1:11" s="2124" customFormat="1" ht="13.5" customHeight="1" thickBot="1">
      <c r="A35" s="1636" t="s">
        <v>1859</v>
      </c>
      <c r="B35" s="3059" t="s">
        <v>2845</v>
      </c>
      <c r="C35" s="1628">
        <f ca="1">ROUND((C18+C19+C20+C23+C24)*F33,0)</f>
        <v>16</v>
      </c>
      <c r="D35" s="1629"/>
      <c r="E35" s="2890"/>
      <c r="F35" s="1630"/>
      <c r="G35" s="2848"/>
      <c r="H35" s="2849"/>
      <c r="I35" s="2849"/>
      <c r="J35" s="2849"/>
      <c r="K35" s="2850"/>
    </row>
    <row r="36" spans="1:11" s="2086" customFormat="1" ht="13.5" customHeight="1" thickBot="1">
      <c r="A36" s="284" t="s">
        <v>1846</v>
      </c>
      <c r="B36" s="2852"/>
      <c r="C36" s="2891">
        <f ca="1">ROUND((C6-C30-C33)/(1+D30+D33),0)</f>
        <v>-311</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北京市国有建设用地使用权市场价格预评估</v>
      </c>
      <c r="AX2" s="2922"/>
      <c r="AZ2" s="2922"/>
      <c r="BA2" s="2923"/>
      <c r="BC2" s="2923"/>
    </row>
    <row r="3" spans="1:55" s="2924" customFormat="1">
      <c r="A3" s="2903" t="s">
        <v>2668</v>
      </c>
      <c r="B3" s="2906">
        <f>'预评函-封皮'!B40</f>
        <v>0</v>
      </c>
    </row>
    <row r="4" spans="1:55" s="2905" customFormat="1">
      <c r="A4" s="2903" t="s">
        <v>2669</v>
      </c>
      <c r="B4" s="2904" t="str">
        <f>'预评函-封皮'!B46</f>
        <v>陈颖、叶凌</v>
      </c>
      <c r="N4" s="2905" t="str">
        <f>'预评函-1'!A28</f>
        <v>——</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受贵公司委托，我公司对北京市国有建设用地使用权市场价格进行了预评估。</v>
      </c>
      <c r="AM6" s="2928"/>
    </row>
    <row r="7" spans="1:55" s="2902" customFormat="1">
      <c r="A7" s="2903" t="s">
        <v>2664</v>
      </c>
      <c r="B7" s="2904" t="str">
        <f>'预评函-1'!A6</f>
        <v>估价对象为使用的、位于北京市国有建设用地使用权。根据《国有土地使用证》[]，估价对象（分摊）国有建设用地使用权面积为13513.51平方米。根据《建设工程规划许可证》[]、《出让合同》[]，估价对象规划建筑面积为10000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本次评估为委托估价方了解标的物之市场价格提供参考依据而评估国有建设用地使用权市场价格。</v>
      </c>
    </row>
    <row r="10" spans="1:55" s="2902" customFormat="1">
      <c r="A10" s="2903" t="s">
        <v>2666</v>
      </c>
      <c r="B10" s="2904" t="str">
        <f>'预评函-1'!A11</f>
        <v>2018年1月15日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根据《国有土地使用证》[]，估价对象（分摊）出让国有建设用地使用权面积为13513.51平方米。根据《建设工程规划许可证》[]、《出让合同》[]，估价对象规划建筑面积为10000平方米。</v>
      </c>
    </row>
    <row r="16" spans="1:55" s="2902" customFormat="1">
      <c r="A16" s="2903" t="s">
        <v>2676</v>
      </c>
      <c r="B16" s="2904" t="str">
        <f>'预评函-1'!A22</f>
        <v>本次估价对象国有建设用地使用权类型为划拨，无土地使用年限限制。</v>
      </c>
    </row>
    <row r="17" spans="1:48" s="2902" customFormat="1">
      <c r="A17" s="2903" t="s">
        <v>2677</v>
      </c>
      <c r="B17" s="2904" t="str">
        <f>'预评函-1'!A23</f>
        <v/>
      </c>
    </row>
    <row r="18" spans="1:48" s="2902" customFormat="1">
      <c r="A18" s="2903" t="s">
        <v>2678</v>
      </c>
      <c r="B18" s="290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2" customFormat="1">
      <c r="A19" s="2903" t="s">
        <v>2679</v>
      </c>
      <c r="B19" s="2904" t="str">
        <f>'预评函-1'!A26</f>
        <v>——</v>
      </c>
    </row>
    <row r="20" spans="1:48" s="2902" customFormat="1">
      <c r="A20" s="2903" t="s">
        <v>2680</v>
      </c>
      <c r="B20" s="2904" t="str">
        <f>'预评函-1'!A27</f>
        <v>——</v>
      </c>
    </row>
    <row r="21" spans="1:48" s="2918" customFormat="1" ht="15" thickBot="1">
      <c r="A21" s="2925" t="s">
        <v>2681</v>
      </c>
      <c r="B21" s="2926" t="str">
        <f>'预评函-1'!A28</f>
        <v>——</v>
      </c>
    </row>
    <row r="22" spans="1:48" ht="15" thickTop="1">
      <c r="A22" s="2914" t="s">
        <v>2682</v>
      </c>
      <c r="B22" s="291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903" t="s">
        <v>2683</v>
      </c>
      <c r="B23" s="2904" t="str">
        <f>'预评函-2'!K2</f>
        <v>估价期日：2018年1月15日</v>
      </c>
    </row>
    <row r="24" spans="1:48">
      <c r="A24" s="2903" t="s">
        <v>2684</v>
      </c>
      <c r="B24" s="2904" t="str">
        <f>'预评函-2'!R2</f>
        <v>估价期日的国有建设用地使用权性质：</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t="str">
        <f>'预评函-2'!M5</f>
        <v>——</v>
      </c>
    </row>
    <row r="42" spans="1:2">
      <c r="A42" s="2903" t="s">
        <v>2746</v>
      </c>
      <c r="B42" s="2904" t="str">
        <f>'预评函-2'!N3</f>
        <v>（分摊）国有建设用地使用权面积/㎡</v>
      </c>
    </row>
    <row r="43" spans="1:2">
      <c r="A43" s="2903" t="s">
        <v>2728</v>
      </c>
      <c r="B43" s="2904">
        <f>'预评函-2'!N5</f>
        <v>13513.51</v>
      </c>
    </row>
    <row r="44" spans="1:2">
      <c r="A44" s="2903" t="s">
        <v>2747</v>
      </c>
      <c r="B44" s="2904" t="str">
        <f>'预评函-2'!O3</f>
        <v>规划建筑面积/㎡</v>
      </c>
    </row>
    <row r="45" spans="1:2">
      <c r="A45" s="2903" t="s">
        <v>2729</v>
      </c>
      <c r="B45" s="2904">
        <f>'预评函-2'!O5</f>
        <v>10000</v>
      </c>
    </row>
    <row r="46" spans="1:2">
      <c r="A46" s="2903" t="s">
        <v>2730</v>
      </c>
      <c r="B46" s="2904">
        <f ca="1">'预评函-2'!P5</f>
        <v>1994</v>
      </c>
    </row>
    <row r="47" spans="1:2">
      <c r="A47" s="2903" t="s">
        <v>2731</v>
      </c>
      <c r="B47" s="2904">
        <f ca="1">'预评函-2'!Q5</f>
        <v>2694</v>
      </c>
    </row>
    <row r="48" spans="1:2">
      <c r="A48" s="2903" t="s">
        <v>2732</v>
      </c>
      <c r="B48" s="2904">
        <f ca="1">'预评函-2'!R5</f>
        <v>2694</v>
      </c>
    </row>
    <row r="49" spans="1:2">
      <c r="A49" s="2903" t="s">
        <v>2748</v>
      </c>
      <c r="B49" s="2904" t="str">
        <f>'预评函-2'!A6</f>
        <v>——</v>
      </c>
    </row>
    <row r="50" spans="1:2">
      <c r="A50" s="2903" t="s">
        <v>2733</v>
      </c>
      <c r="B50" s="2904" t="str">
        <f>'预评函-2'!R6</f>
        <v>——</v>
      </c>
    </row>
    <row r="51" spans="1:2">
      <c r="A51" s="2903" t="s">
        <v>2749</v>
      </c>
      <c r="B51" s="2904" t="str">
        <f>'预评函-2'!A7</f>
        <v>——</v>
      </c>
    </row>
    <row r="52" spans="1:2">
      <c r="A52" s="2903" t="s">
        <v>2734</v>
      </c>
      <c r="B52" s="2904" t="str">
        <f>'预评函-2'!R7</f>
        <v>——</v>
      </c>
    </row>
    <row r="53" spans="1:2">
      <c r="A53" s="2903" t="s">
        <v>2750</v>
      </c>
      <c r="B53" s="2904" t="str">
        <f>'预评函-2'!A8</f>
        <v>——</v>
      </c>
    </row>
    <row r="54" spans="1:2" s="2918" customFormat="1" ht="15" thickBot="1">
      <c r="A54" s="2925" t="s">
        <v>2735</v>
      </c>
      <c r="B54" s="2926" t="str">
        <f>'预评函-2'!R8</f>
        <v>——</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2.本次评估设定估价对象宗地权属无争议，未被查封或者以其他形式限制其房地产权利，未设定抵押权等他项权利，不涉及第三方权利义务。</v>
      </c>
    </row>
    <row r="60" spans="1:2">
      <c r="A60" s="2903" t="s">
        <v>2689</v>
      </c>
      <c r="B60" s="2904" t="str">
        <f>'预评函-3'!A9</f>
        <v>——</v>
      </c>
    </row>
    <row r="61" spans="1:2">
      <c r="A61" s="2903" t="s">
        <v>2691</v>
      </c>
      <c r="B61" s="2904" t="str">
        <f>'预评函-3'!A10</f>
        <v>——</v>
      </c>
    </row>
    <row r="62" spans="1:2">
      <c r="A62" s="2903" t="s">
        <v>2690</v>
      </c>
      <c r="B62" s="2904" t="str">
        <f>'预评函-3'!A11</f>
        <v>——</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v>
      </c>
    </row>
    <row r="66" spans="1:2">
      <c r="A66" s="2903" t="s">
        <v>2695</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陈颖</v>
      </c>
    </row>
    <row r="70" spans="1:2">
      <c r="A70" s="2903" t="s">
        <v>2697</v>
      </c>
      <c r="B70" s="2910">
        <f ca="1">'预评函-3'!B20</f>
        <v>2004110096</v>
      </c>
    </row>
    <row r="71" spans="1:2">
      <c r="A71" s="2903" t="s">
        <v>2698</v>
      </c>
      <c r="B71" s="2904" t="str">
        <f>'预评函-3'!A21</f>
        <v>叶凌</v>
      </c>
    </row>
    <row r="72" spans="1:2" s="2918" customFormat="1" ht="15" thickBot="1">
      <c r="A72" s="2925" t="s">
        <v>2698</v>
      </c>
      <c r="B72" s="2931">
        <f ca="1">'预评函-3'!B21</f>
        <v>94010078</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-3566.5294924554178</v>
      </c>
      <c r="C2" s="2105"/>
      <c r="D2" s="2105"/>
      <c r="E2" s="2105"/>
      <c r="F2" s="2105"/>
      <c r="G2" s="2105"/>
      <c r="H2" s="2105"/>
      <c r="I2" s="2105"/>
      <c r="J2" s="2105"/>
      <c r="K2" s="2105"/>
    </row>
    <row r="3" spans="1:41" s="2042" customFormat="1" ht="18" customHeight="1">
      <c r="A3" s="1380" t="s">
        <v>1686</v>
      </c>
      <c r="B3" s="425">
        <f ca="1">ROUND(B2*10000/IF(B1="",'数据-汇总表'!E3,INDIRECT("'数据-取费表'!K"&amp;$K$1)),0)</f>
        <v>-3567</v>
      </c>
      <c r="C3" s="2105"/>
      <c r="D3" s="2105"/>
      <c r="E3" s="2105"/>
      <c r="F3" s="2105"/>
      <c r="G3" s="2105"/>
      <c r="H3" s="2105"/>
      <c r="I3" s="2105"/>
      <c r="J3" s="2105"/>
      <c r="K3" s="2105"/>
    </row>
    <row r="4" spans="1:41" s="2042" customFormat="1" ht="18" customHeight="1">
      <c r="A4" s="426" t="s">
        <v>468</v>
      </c>
      <c r="B4" s="427">
        <f ca="1">ROUND(B2*10000/IF(B1="",'数据-汇总表'!D3,INDIRECT("'数据-取费表'!R"&amp;$K$1)),0)</f>
        <v>-2639</v>
      </c>
      <c r="C4" s="2062"/>
      <c r="D4" s="2105"/>
      <c r="E4" s="2105"/>
      <c r="F4" s="2105"/>
      <c r="G4" s="2105"/>
      <c r="H4" s="2105"/>
      <c r="I4" s="2105"/>
      <c r="J4" s="2105"/>
      <c r="K4" s="2105"/>
    </row>
    <row r="5" spans="1:41" s="2042" customFormat="1" ht="18" customHeight="1" thickBot="1">
      <c r="A5" s="429"/>
      <c r="B5" s="430">
        <f ca="1">ROUND(B2/(IF(B1="",'数据-汇总表'!D3,INDIRECT("'数据-取费表'!R"&amp;$K$1))/666.67),0)</f>
        <v>-176</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2500</v>
      </c>
      <c r="D13" s="451"/>
      <c r="E13" s="365"/>
      <c r="F13" s="452"/>
      <c r="G13" s="444"/>
      <c r="H13" s="447"/>
      <c r="I13" s="447"/>
      <c r="J13" s="447"/>
      <c r="K13" s="448"/>
    </row>
    <row r="14" spans="1:41" s="2117" customFormat="1" ht="13.5" customHeight="1">
      <c r="A14" s="1633" t="s">
        <v>1851</v>
      </c>
      <c r="B14" s="449" t="s">
        <v>480</v>
      </c>
      <c r="C14" s="53">
        <f ca="1">ROUND(C13*F14,0)</f>
        <v>75</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3" t="s">
        <v>1853</v>
      </c>
      <c r="B16" s="449" t="s">
        <v>484</v>
      </c>
      <c r="C16" s="53">
        <f ca="1">ROUND(D16*E16/10000,0)</f>
        <v>200</v>
      </c>
      <c r="D16" s="451">
        <f ca="1">IF(B1="",'数据-汇总表'!E3,INDIRECT("'数据-取费表'!K"&amp;$K$1)+INDIRECT("'数据-取费表'!S"&amp;$K$1))</f>
        <v>10000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38</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2813</v>
      </c>
      <c r="D18" s="461"/>
      <c r="E18" s="462"/>
      <c r="F18" s="462"/>
      <c r="G18" s="1327" t="s">
        <v>2437</v>
      </c>
      <c r="H18" s="447"/>
      <c r="I18" s="447"/>
      <c r="J18" s="447"/>
      <c r="K18" s="448"/>
    </row>
    <row r="19" spans="1:14" s="2120" customFormat="1" ht="13.5" customHeight="1">
      <c r="A19" s="1634" t="s">
        <v>1856</v>
      </c>
      <c r="B19" s="459" t="s">
        <v>493</v>
      </c>
      <c r="C19" s="460">
        <f ca="1">ROUND(C18*F19,0)</f>
        <v>56</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0.01</v>
      </c>
      <c r="D20" s="469" t="s">
        <v>506</v>
      </c>
      <c r="E20" s="469"/>
      <c r="F20" s="486">
        <f>'数据-取费表'!B38</f>
        <v>0.01</v>
      </c>
      <c r="G20" s="1327" t="s">
        <v>507</v>
      </c>
      <c r="H20" s="447"/>
      <c r="I20" s="447"/>
      <c r="J20" s="447"/>
      <c r="K20" s="448"/>
      <c r="L20" s="2122"/>
      <c r="M20" s="2122"/>
      <c r="N20" s="2122"/>
    </row>
    <row r="21" spans="1:14" s="2122" customFormat="1" ht="13.5" customHeight="1">
      <c r="A21" s="1634" t="s">
        <v>1860</v>
      </c>
      <c r="B21" s="461" t="s">
        <v>494</v>
      </c>
      <c r="C21" s="470">
        <f ca="1">C22</f>
        <v>62</v>
      </c>
      <c r="D21" s="467">
        <f ca="1">C23</f>
        <v>2.0000000000000001E-4</v>
      </c>
      <c r="E21" s="469" t="s">
        <v>508</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2459</v>
      </c>
    </row>
    <row r="22" spans="1:14" s="2121" customFormat="1" ht="13.5" customHeight="1">
      <c r="A22" s="1633" t="s">
        <v>1850</v>
      </c>
      <c r="B22" s="1328" t="s">
        <v>2440</v>
      </c>
      <c r="C22" s="487">
        <f ca="1">ROUND(IF('数据-取费表'!B22&lt;=1,(C18+C19)*F21*'数据-取费表'!B20/2,(C18+C19)*(POWER((1+F21),'数据-取费表'!B20/2)-1)),0)</f>
        <v>62</v>
      </c>
      <c r="D22" s="472"/>
      <c r="E22" s="473"/>
      <c r="F22" s="474"/>
      <c r="G22" s="2592" t="str">
        <f>IF('数据-取费表'!B22&lt;=1,"((1)+(2))×年利率×建设期÷2","((1)+(2))×((1+年利率)^(建设期÷2)-1)")</f>
        <v>((1)+(2))×年利率×建设期÷2</v>
      </c>
      <c r="H22" s="457"/>
      <c r="I22" s="457"/>
      <c r="J22" s="457"/>
      <c r="K22" s="458"/>
    </row>
    <row r="23" spans="1:14" s="2121" customFormat="1" ht="13.5" customHeight="1">
      <c r="A23" s="1633" t="s">
        <v>1851</v>
      </c>
      <c r="B23" s="1328" t="s">
        <v>509</v>
      </c>
      <c r="C23" s="488">
        <f ca="1">ROUND(IF('数据-取费表'!B22&lt;=1,F20*F21*'数据-取费表'!B20/2,F20*(POWER((1+F21),'数据-取费表'!B20/2)-1)),4)</f>
        <v>2.0000000000000001E-4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4" t="s">
        <v>1861</v>
      </c>
      <c r="B24" s="3058" t="s">
        <v>2838</v>
      </c>
      <c r="C24" s="478">
        <f ca="1">C25</f>
        <v>143</v>
      </c>
      <c r="D24" s="489">
        <f ca="1">C26</f>
        <v>5.0000000000000001E-4</v>
      </c>
      <c r="E24" s="469" t="s">
        <v>508</v>
      </c>
      <c r="F24" s="479">
        <f ca="1">IF(B1="",'数据-取费表'!Q16,INDIRECT("'数据-取费表'!q"&amp;$K$1))</f>
        <v>0.05</v>
      </c>
      <c r="G24" s="444"/>
      <c r="H24" s="447"/>
      <c r="I24" s="447"/>
      <c r="J24" s="447"/>
      <c r="K24" s="448"/>
    </row>
    <row r="25" spans="1:14" s="2121" customFormat="1" ht="13.5" customHeight="1">
      <c r="A25" s="1633" t="s">
        <v>1850</v>
      </c>
      <c r="B25" s="1328" t="s">
        <v>2441</v>
      </c>
      <c r="C25" s="490">
        <f ca="1">ROUND((C18+C19)*F24,0)</f>
        <v>143</v>
      </c>
      <c r="D25" s="472"/>
      <c r="E25" s="473"/>
      <c r="F25" s="480"/>
      <c r="G25" s="1326" t="s">
        <v>2438</v>
      </c>
      <c r="H25" s="457"/>
      <c r="I25" s="457"/>
      <c r="J25" s="457"/>
      <c r="K25" s="458"/>
    </row>
    <row r="26" spans="1:14" s="2121" customFormat="1" ht="13.5" customHeight="1">
      <c r="A26" s="1633" t="s">
        <v>1851</v>
      </c>
      <c r="B26" s="1328" t="s">
        <v>510</v>
      </c>
      <c r="C26" s="491">
        <f ca="1">ROUND(F20*F24,4)</f>
        <v>5.0000000000000001E-4</v>
      </c>
      <c r="D26" s="472"/>
      <c r="E26" s="481"/>
      <c r="F26" s="480"/>
      <c r="G26" s="1326" t="s">
        <v>511</v>
      </c>
      <c r="H26" s="457"/>
      <c r="I26" s="457"/>
      <c r="J26" s="457"/>
      <c r="K26" s="458"/>
    </row>
    <row r="27" spans="1:14" s="2121" customFormat="1" ht="13.5" customHeight="1">
      <c r="A27" s="1637" t="s">
        <v>1869</v>
      </c>
      <c r="B27" s="459" t="s">
        <v>512</v>
      </c>
      <c r="C27" s="3057">
        <f>ROUND(F27/(1+'数据-取费表'!C42),4)</f>
        <v>5.33E-2</v>
      </c>
      <c r="D27" s="462" t="s">
        <v>2836</v>
      </c>
      <c r="E27" s="462"/>
      <c r="F27" s="466">
        <f>'数据-取费表'!B41</f>
        <v>5.6000000000000001E-2</v>
      </c>
      <c r="G27" s="1961" t="s">
        <v>2295</v>
      </c>
      <c r="H27" s="447"/>
      <c r="I27" s="447"/>
      <c r="J27" s="447"/>
      <c r="K27" s="448"/>
    </row>
    <row r="28" spans="1:14" s="2122" customFormat="1" ht="13.5" customHeight="1">
      <c r="A28" s="1637" t="s">
        <v>1870</v>
      </c>
      <c r="B28" s="476" t="s">
        <v>513</v>
      </c>
      <c r="C28" s="3477">
        <f>ROUND(4063*'数据-汇总表'!F19/10000,0)</f>
        <v>4063</v>
      </c>
      <c r="D28" s="477"/>
      <c r="E28" s="469"/>
      <c r="F28" s="471"/>
      <c r="G28" s="1327" t="s">
        <v>2439</v>
      </c>
      <c r="H28" s="447"/>
      <c r="I28" s="447"/>
      <c r="J28" s="447"/>
      <c r="K28" s="448"/>
    </row>
    <row r="29" spans="1:14" s="2122" customFormat="1" ht="13.5" customHeight="1">
      <c r="A29" s="1637" t="s">
        <v>1871</v>
      </c>
      <c r="B29" s="476" t="s">
        <v>514</v>
      </c>
      <c r="C29" s="492">
        <f ca="1">IF(B1="",'数据-取费表'!N16,INDIRECT("'数据-取费表'!N"&amp;$K$1))</f>
        <v>0.96</v>
      </c>
      <c r="D29" s="493"/>
      <c r="E29" s="494"/>
      <c r="F29" s="495"/>
      <c r="G29" s="444"/>
      <c r="H29" s="447"/>
      <c r="I29" s="447"/>
      <c r="J29" s="447"/>
      <c r="K29" s="448"/>
    </row>
    <row r="30" spans="1:14" s="2122" customFormat="1" ht="13.5" customHeight="1">
      <c r="A30" s="443">
        <v>2</v>
      </c>
      <c r="B30" s="476" t="s">
        <v>515</v>
      </c>
      <c r="C30" s="497">
        <f ca="1">ROUND(C28*C29,0)</f>
        <v>3900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-3566.5294924554178</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3" sqref="I15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80" t="s">
        <v>1686</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78" t="s">
        <v>523</v>
      </c>
      <c r="D6" s="3679"/>
      <c r="E6" s="3678" t="s">
        <v>524</v>
      </c>
      <c r="F6" s="3679"/>
      <c r="G6" s="3678" t="s">
        <v>525</v>
      </c>
      <c r="H6" s="3679"/>
      <c r="I6" s="3678" t="s">
        <v>526</v>
      </c>
      <c r="J6" s="3679"/>
      <c r="K6" s="514" t="s">
        <v>527</v>
      </c>
      <c r="L6" s="2134"/>
      <c r="M6" s="2133"/>
      <c r="N6" s="2133"/>
      <c r="O6" s="2135"/>
      <c r="P6" s="3680" t="s">
        <v>528</v>
      </c>
      <c r="Q6" s="3681"/>
      <c r="R6" s="3666" t="s">
        <v>524</v>
      </c>
      <c r="S6" s="3667"/>
      <c r="T6" s="3666" t="s">
        <v>525</v>
      </c>
      <c r="U6" s="3667"/>
      <c r="V6" s="3686" t="s">
        <v>526</v>
      </c>
      <c r="W6" s="3686"/>
      <c r="X6" s="1567"/>
      <c r="Y6" s="3666" t="s">
        <v>528</v>
      </c>
      <c r="Z6" s="3667"/>
      <c r="AA6" s="3661" t="s">
        <v>524</v>
      </c>
      <c r="AB6" s="3662" t="s">
        <v>525</v>
      </c>
      <c r="AC6" s="3661" t="s">
        <v>526</v>
      </c>
    </row>
    <row r="7" spans="1:30" ht="20.25">
      <c r="A7" s="515"/>
      <c r="B7" s="516"/>
      <c r="C7" s="3689" t="s">
        <v>2936</v>
      </c>
      <c r="D7" s="3690"/>
      <c r="E7" s="3689" t="s">
        <v>2937</v>
      </c>
      <c r="F7" s="3690"/>
      <c r="G7" s="3689" t="s">
        <v>2938</v>
      </c>
      <c r="H7" s="3690"/>
      <c r="I7" s="3689" t="s">
        <v>2939</v>
      </c>
      <c r="J7" s="3690"/>
      <c r="K7" s="514"/>
      <c r="L7" s="2134"/>
      <c r="M7" s="2133"/>
      <c r="N7" s="2133"/>
      <c r="O7" s="2135"/>
      <c r="P7" s="3682"/>
      <c r="Q7" s="3683"/>
      <c r="R7" s="3668"/>
      <c r="S7" s="3669"/>
      <c r="T7" s="3668"/>
      <c r="U7" s="3669"/>
      <c r="V7" s="3686"/>
      <c r="W7" s="3686"/>
      <c r="X7" s="1567"/>
      <c r="Y7" s="3668"/>
      <c r="Z7" s="3669"/>
      <c r="AA7" s="3662"/>
      <c r="AB7" s="3662"/>
      <c r="AC7" s="3662"/>
    </row>
    <row r="8" spans="1:30" ht="21" thickBot="1">
      <c r="A8" s="515"/>
      <c r="B8" s="516"/>
      <c r="C8" s="3691" t="s">
        <v>2940</v>
      </c>
      <c r="D8" s="3692"/>
      <c r="E8" s="3691" t="s">
        <v>2940</v>
      </c>
      <c r="F8" s="3692"/>
      <c r="G8" s="3687" t="s">
        <v>2940</v>
      </c>
      <c r="H8" s="3688"/>
      <c r="I8" s="3687" t="s">
        <v>2940</v>
      </c>
      <c r="J8" s="3688"/>
      <c r="K8" s="514" t="s">
        <v>529</v>
      </c>
      <c r="L8" s="2134"/>
      <c r="M8" s="2133"/>
      <c r="N8" s="2133"/>
      <c r="O8" s="2135"/>
      <c r="P8" s="3684"/>
      <c r="Q8" s="3685"/>
      <c r="R8" s="3668"/>
      <c r="S8" s="3669"/>
      <c r="T8" s="3670"/>
      <c r="U8" s="3671"/>
      <c r="V8" s="3686"/>
      <c r="W8" s="3686"/>
      <c r="X8" s="1567"/>
      <c r="Y8" s="3670"/>
      <c r="Z8" s="3671"/>
      <c r="AA8" s="3663"/>
      <c r="AB8" s="3663"/>
      <c r="AC8" s="3663"/>
    </row>
    <row r="9" spans="1:30" s="1220" customFormat="1" ht="21" thickBot="1">
      <c r="A9" s="2938"/>
      <c r="B9" s="2945" t="s">
        <v>530</v>
      </c>
      <c r="C9" s="2937">
        <f>'数据-取费表'!B2</f>
        <v>43115</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664" t="s">
        <v>531</v>
      </c>
      <c r="Q9" s="3673"/>
      <c r="R9" s="1568" t="s">
        <v>8</v>
      </c>
      <c r="S9" s="1569">
        <f t="shared" ref="S9:S17" si="0">F9</f>
        <v>0</v>
      </c>
      <c r="T9" s="1568" t="s">
        <v>8</v>
      </c>
      <c r="U9" s="1569">
        <f t="shared" ref="U9:U17" si="1">H9</f>
        <v>0</v>
      </c>
      <c r="V9" s="1568" t="s">
        <v>8</v>
      </c>
      <c r="W9" s="1569">
        <f t="shared" ref="W9:W17" si="2">J9</f>
        <v>0</v>
      </c>
      <c r="X9" s="1570"/>
      <c r="Y9" s="3664" t="s">
        <v>531</v>
      </c>
      <c r="Z9" s="3665"/>
      <c r="AA9" s="1571" t="e">
        <f>D9/F9</f>
        <v>#DIV/0!</v>
      </c>
      <c r="AB9" s="1571" t="e">
        <f>D9/H9</f>
        <v>#DIV/0!</v>
      </c>
      <c r="AC9" s="1571" t="e">
        <f>D9/J9</f>
        <v>#DIV/0!</v>
      </c>
    </row>
    <row r="10" spans="1:30" s="1220" customFormat="1" ht="21" thickBot="1">
      <c r="A10" s="2939"/>
      <c r="B10" s="2946"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664" t="s">
        <v>534</v>
      </c>
      <c r="Q10" s="3665"/>
      <c r="R10" s="1568" t="s">
        <v>8</v>
      </c>
      <c r="S10" s="1569">
        <f t="shared" si="0"/>
        <v>0</v>
      </c>
      <c r="T10" s="1568" t="s">
        <v>8</v>
      </c>
      <c r="U10" s="1569">
        <f t="shared" si="1"/>
        <v>0</v>
      </c>
      <c r="V10" s="1568" t="s">
        <v>8</v>
      </c>
      <c r="W10" s="1569">
        <f t="shared" si="2"/>
        <v>0</v>
      </c>
      <c r="X10" s="1570"/>
      <c r="Y10" s="3664" t="s">
        <v>534</v>
      </c>
      <c r="Z10" s="3665"/>
      <c r="AA10" s="1571" t="e">
        <f t="shared" ref="AA10:AA47" si="3">D10/F10</f>
        <v>#DIV/0!</v>
      </c>
      <c r="AB10" s="1571" t="e">
        <f t="shared" ref="AB10:AB47" si="4">D10/H10</f>
        <v>#DIV/0!</v>
      </c>
      <c r="AC10" s="1571" t="e">
        <f t="shared" ref="AC10:AC47" si="5">D10/J10</f>
        <v>#DIV/0!</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672" t="s">
        <v>536</v>
      </c>
      <c r="Q11" s="1151" t="str">
        <f t="shared" ref="Q11:Q17" si="6">B11</f>
        <v>用途</v>
      </c>
      <c r="R11" s="1568" t="s">
        <v>8</v>
      </c>
      <c r="S11" s="1569">
        <f t="shared" si="0"/>
        <v>100</v>
      </c>
      <c r="T11" s="1568" t="s">
        <v>8</v>
      </c>
      <c r="U11" s="1569">
        <f t="shared" si="1"/>
        <v>100</v>
      </c>
      <c r="V11" s="1568" t="s">
        <v>8</v>
      </c>
      <c r="W11" s="1569">
        <f t="shared" si="2"/>
        <v>100</v>
      </c>
      <c r="X11" s="1570"/>
      <c r="Y11" s="3629" t="s">
        <v>537</v>
      </c>
      <c r="Z11" s="1150" t="str">
        <f t="shared" ref="Z11:Z17" si="7">Q11</f>
        <v>用途</v>
      </c>
      <c r="AA11" s="1571">
        <f t="shared" si="3"/>
        <v>1</v>
      </c>
      <c r="AB11" s="1571">
        <f t="shared" si="4"/>
        <v>1</v>
      </c>
      <c r="AC11" s="1571">
        <f t="shared" si="5"/>
        <v>1</v>
      </c>
    </row>
    <row r="12" spans="1:30" s="1338" customFormat="1" ht="27">
      <c r="A12" s="2941"/>
      <c r="B12" s="2946" t="s">
        <v>2764</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72"/>
      <c r="Q12" s="1151" t="str">
        <f t="shared" si="6"/>
        <v>土地使用年限（年）</v>
      </c>
      <c r="R12" s="1568" t="s">
        <v>8</v>
      </c>
      <c r="S12" s="1569">
        <f t="shared" si="0"/>
        <v>100</v>
      </c>
      <c r="T12" s="1568" t="s">
        <v>8</v>
      </c>
      <c r="U12" s="1569">
        <f t="shared" si="1"/>
        <v>100</v>
      </c>
      <c r="V12" s="1568" t="s">
        <v>8</v>
      </c>
      <c r="W12" s="1569">
        <f t="shared" si="2"/>
        <v>100</v>
      </c>
      <c r="X12" s="1570"/>
      <c r="Y12" s="3629"/>
      <c r="Z12" s="1150" t="str">
        <f t="shared" si="7"/>
        <v>土地使用年限（年）</v>
      </c>
      <c r="AA12" s="1571">
        <f t="shared" si="3"/>
        <v>1</v>
      </c>
      <c r="AB12" s="1571">
        <f t="shared" si="4"/>
        <v>1</v>
      </c>
      <c r="AC12" s="1571">
        <f t="shared" si="5"/>
        <v>1</v>
      </c>
    </row>
    <row r="13" spans="1:30" ht="20.25">
      <c r="A13" s="2942"/>
      <c r="B13" s="2946" t="s">
        <v>2765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672"/>
      <c r="Q13" s="1151" t="str">
        <f t="shared" si="6"/>
        <v>容积率</v>
      </c>
      <c r="R13" s="1568" t="s">
        <v>8</v>
      </c>
      <c r="S13" s="1569" t="e">
        <f t="shared" si="0"/>
        <v>#N/A</v>
      </c>
      <c r="T13" s="1568" t="s">
        <v>8</v>
      </c>
      <c r="U13" s="1569" t="e">
        <f t="shared" si="1"/>
        <v>#N/A</v>
      </c>
      <c r="V13" s="1568" t="s">
        <v>8</v>
      </c>
      <c r="W13" s="1569" t="e">
        <f t="shared" si="2"/>
        <v>#N/A</v>
      </c>
      <c r="X13" s="1570"/>
      <c r="Y13" s="3629"/>
      <c r="Z13" s="1150" t="str">
        <f t="shared" si="7"/>
        <v>容积率</v>
      </c>
      <c r="AA13" s="1571" t="e">
        <f t="shared" si="3"/>
        <v>#N/A</v>
      </c>
      <c r="AB13" s="1571" t="e">
        <f t="shared" si="4"/>
        <v>#N/A</v>
      </c>
      <c r="AC13" s="1571" t="e">
        <f t="shared" si="5"/>
        <v>#N/A</v>
      </c>
    </row>
    <row r="14" spans="1:30" s="1220" customFormat="1" ht="20.25">
      <c r="A14" s="2939"/>
      <c r="B14" s="2948" t="s">
        <v>2766</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72"/>
      <c r="Q14" s="1151" t="str">
        <f t="shared" si="6"/>
        <v>配建</v>
      </c>
      <c r="R14" s="1568" t="s">
        <v>8</v>
      </c>
      <c r="S14" s="1569">
        <f t="shared" si="0"/>
        <v>100</v>
      </c>
      <c r="T14" s="1568" t="s">
        <v>8</v>
      </c>
      <c r="U14" s="1569">
        <f t="shared" si="1"/>
        <v>100</v>
      </c>
      <c r="V14" s="1568" t="s">
        <v>8</v>
      </c>
      <c r="W14" s="1569">
        <f t="shared" si="2"/>
        <v>100</v>
      </c>
      <c r="X14" s="1570"/>
      <c r="Y14" s="3629"/>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72"/>
      <c r="Q15" s="1151">
        <f t="shared" si="6"/>
        <v>111</v>
      </c>
      <c r="R15" s="1568" t="s">
        <v>8</v>
      </c>
      <c r="S15" s="1569">
        <f t="shared" si="0"/>
        <v>100</v>
      </c>
      <c r="T15" s="1568" t="s">
        <v>8</v>
      </c>
      <c r="U15" s="1569">
        <f t="shared" si="1"/>
        <v>100</v>
      </c>
      <c r="V15" s="1568" t="s">
        <v>8</v>
      </c>
      <c r="W15" s="1569">
        <f t="shared" si="2"/>
        <v>100</v>
      </c>
      <c r="X15" s="1570"/>
      <c r="Y15" s="3629"/>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72"/>
      <c r="Q16" s="1151">
        <f t="shared" si="6"/>
        <v>111</v>
      </c>
      <c r="R16" s="1568" t="s">
        <v>8</v>
      </c>
      <c r="S16" s="1569">
        <f t="shared" si="0"/>
        <v>100</v>
      </c>
      <c r="T16" s="1568" t="s">
        <v>8</v>
      </c>
      <c r="U16" s="1569">
        <f t="shared" si="1"/>
        <v>100</v>
      </c>
      <c r="V16" s="1568" t="s">
        <v>8</v>
      </c>
      <c r="W16" s="1569">
        <f t="shared" si="2"/>
        <v>100</v>
      </c>
      <c r="X16" s="1570"/>
      <c r="Y16" s="3629"/>
      <c r="Z16" s="1150">
        <f t="shared" si="7"/>
        <v>111</v>
      </c>
      <c r="AA16" s="1571">
        <f>D16/F16</f>
        <v>1</v>
      </c>
      <c r="AB16" s="1571">
        <f>D16/H16</f>
        <v>1</v>
      </c>
      <c r="AC16" s="1571">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674" t="s">
        <v>541</v>
      </c>
      <c r="Q17" s="1572" t="str">
        <f t="shared" si="6"/>
        <v>居住社区成熟度</v>
      </c>
      <c r="R17" s="1573" t="s">
        <v>8</v>
      </c>
      <c r="S17" s="1574">
        <f t="shared" si="0"/>
        <v>100</v>
      </c>
      <c r="T17" s="1573" t="s">
        <v>8</v>
      </c>
      <c r="U17" s="1574">
        <f t="shared" si="1"/>
        <v>100</v>
      </c>
      <c r="V17" s="1573" t="s">
        <v>8</v>
      </c>
      <c r="W17" s="1574">
        <f t="shared" si="2"/>
        <v>100</v>
      </c>
      <c r="X17" s="1567"/>
      <c r="Y17" s="3674" t="s">
        <v>541</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675"/>
      <c r="Q18" s="1572"/>
      <c r="R18" s="1573"/>
      <c r="S18" s="1574"/>
      <c r="T18" s="1573"/>
      <c r="U18" s="1574"/>
      <c r="V18" s="1573"/>
      <c r="W18" s="1574"/>
      <c r="X18" s="1567"/>
      <c r="Y18" s="3675"/>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75"/>
      <c r="Q19" s="1572" t="str">
        <f>B19</f>
        <v>商业繁华度</v>
      </c>
      <c r="R19" s="1573" t="s">
        <v>8</v>
      </c>
      <c r="S19" s="1574">
        <f>F19</f>
        <v>100</v>
      </c>
      <c r="T19" s="1573" t="s">
        <v>8</v>
      </c>
      <c r="U19" s="1574">
        <f>H19</f>
        <v>100</v>
      </c>
      <c r="V19" s="1573" t="s">
        <v>8</v>
      </c>
      <c r="W19" s="1574">
        <f>J19</f>
        <v>100</v>
      </c>
      <c r="X19" s="1567"/>
      <c r="Y19" s="367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675"/>
      <c r="Q20" s="1572"/>
      <c r="R20" s="1573"/>
      <c r="S20" s="1574"/>
      <c r="T20" s="1573"/>
      <c r="U20" s="1574"/>
      <c r="V20" s="1573"/>
      <c r="W20" s="1574"/>
      <c r="X20" s="1567"/>
      <c r="Y20" s="3675"/>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75"/>
      <c r="Q21" s="1572" t="str">
        <f>B21</f>
        <v>办公集聚程度</v>
      </c>
      <c r="R21" s="1573" t="s">
        <v>8</v>
      </c>
      <c r="S21" s="1574">
        <f>F21</f>
        <v>100</v>
      </c>
      <c r="T21" s="1573" t="s">
        <v>8</v>
      </c>
      <c r="U21" s="1574">
        <f>H21</f>
        <v>100</v>
      </c>
      <c r="V21" s="1573" t="s">
        <v>8</v>
      </c>
      <c r="W21" s="1574">
        <f>J21</f>
        <v>100</v>
      </c>
      <c r="X21" s="1567"/>
      <c r="Y21" s="367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75"/>
      <c r="Q22" s="1572"/>
      <c r="R22" s="1573"/>
      <c r="S22" s="1574"/>
      <c r="T22" s="1573"/>
      <c r="U22" s="1574"/>
      <c r="V22" s="1573"/>
      <c r="W22" s="1574"/>
      <c r="X22" s="1567"/>
      <c r="Y22" s="3675"/>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675"/>
      <c r="Q23" s="1572" t="str">
        <f>B23</f>
        <v>交通便捷度</v>
      </c>
      <c r="R23" s="1573" t="s">
        <v>8</v>
      </c>
      <c r="S23" s="1574">
        <f>F23</f>
        <v>100</v>
      </c>
      <c r="T23" s="1573" t="s">
        <v>8</v>
      </c>
      <c r="U23" s="1574">
        <f>H23</f>
        <v>100</v>
      </c>
      <c r="V23" s="1573" t="s">
        <v>8</v>
      </c>
      <c r="W23" s="1574">
        <f>J23</f>
        <v>100</v>
      </c>
      <c r="X23" s="1567"/>
      <c r="Y23" s="3675"/>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675"/>
      <c r="Q24" s="1572"/>
      <c r="R24" s="1573"/>
      <c r="S24" s="1574"/>
      <c r="T24" s="1573"/>
      <c r="U24" s="1574"/>
      <c r="V24" s="1573"/>
      <c r="W24" s="1574"/>
      <c r="X24" s="1567"/>
      <c r="Y24" s="3675"/>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675"/>
      <c r="Q25" s="1572" t="str">
        <f t="shared" ref="Q25:Q39" si="8">B25</f>
        <v>区域土地利用方向</v>
      </c>
      <c r="R25" s="1573" t="s">
        <v>8</v>
      </c>
      <c r="S25" s="1574">
        <f>F25</f>
        <v>100</v>
      </c>
      <c r="T25" s="1573" t="s">
        <v>8</v>
      </c>
      <c r="U25" s="1574">
        <f>H25</f>
        <v>100</v>
      </c>
      <c r="V25" s="1573" t="s">
        <v>8</v>
      </c>
      <c r="W25" s="1574">
        <f>J25</f>
        <v>100</v>
      </c>
      <c r="X25" s="1567"/>
      <c r="Y25" s="3675"/>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675"/>
      <c r="Q26" s="1572"/>
      <c r="R26" s="1573"/>
      <c r="S26" s="1574"/>
      <c r="T26" s="1573"/>
      <c r="U26" s="1574"/>
      <c r="V26" s="1573"/>
      <c r="W26" s="1574"/>
      <c r="X26" s="1567"/>
      <c r="Y26" s="3675"/>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675"/>
      <c r="Q27" s="1572" t="str">
        <f t="shared" si="8"/>
        <v>自然及人文环境状况</v>
      </c>
      <c r="R27" s="1573" t="s">
        <v>8</v>
      </c>
      <c r="S27" s="1574">
        <f>F27</f>
        <v>100</v>
      </c>
      <c r="T27" s="1573" t="s">
        <v>8</v>
      </c>
      <c r="U27" s="1574">
        <f>H27</f>
        <v>100</v>
      </c>
      <c r="V27" s="1573" t="s">
        <v>8</v>
      </c>
      <c r="W27" s="1574">
        <f>J27</f>
        <v>100</v>
      </c>
      <c r="X27" s="1567"/>
      <c r="Y27" s="3675"/>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675"/>
      <c r="Q28" s="1572"/>
      <c r="R28" s="1573"/>
      <c r="S28" s="1574"/>
      <c r="T28" s="1573"/>
      <c r="U28" s="1574"/>
      <c r="V28" s="1573"/>
      <c r="W28" s="1574"/>
      <c r="X28" s="1567"/>
      <c r="Y28" s="3675"/>
      <c r="Z28" s="1575"/>
      <c r="AA28" s="1576">
        <v>1</v>
      </c>
      <c r="AB28" s="1576">
        <v>1</v>
      </c>
      <c r="AC28" s="1576">
        <v>1</v>
      </c>
    </row>
    <row r="29" spans="1:29" s="1220" customFormat="1" ht="42.75">
      <c r="A29" s="577"/>
      <c r="B29" s="2616"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675"/>
      <c r="Q29" s="1151" t="str">
        <f t="shared" si="8"/>
        <v>公共配套设施</v>
      </c>
      <c r="R29" s="1568" t="s">
        <v>8</v>
      </c>
      <c r="S29" s="1569">
        <f>F29</f>
        <v>100</v>
      </c>
      <c r="T29" s="1568" t="s">
        <v>8</v>
      </c>
      <c r="U29" s="1569">
        <f>H29</f>
        <v>100</v>
      </c>
      <c r="V29" s="1568" t="s">
        <v>8</v>
      </c>
      <c r="W29" s="1569">
        <f>J29</f>
        <v>100</v>
      </c>
      <c r="X29" s="1570"/>
      <c r="Y29" s="3675"/>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675"/>
      <c r="Q30" s="1151"/>
      <c r="R30" s="1568"/>
      <c r="S30" s="1569"/>
      <c r="T30" s="1568"/>
      <c r="U30" s="1569"/>
      <c r="V30" s="1568"/>
      <c r="W30" s="1569"/>
      <c r="X30" s="1570"/>
      <c r="Y30" s="3675"/>
      <c r="Z30" s="1150"/>
      <c r="AA30" s="1576">
        <v>1</v>
      </c>
      <c r="AB30" s="1576">
        <v>1</v>
      </c>
      <c r="AC30" s="1576">
        <v>1</v>
      </c>
    </row>
    <row r="31" spans="1:29" s="1220" customFormat="1" ht="28.5">
      <c r="A31" s="577"/>
      <c r="B31" s="2616"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675"/>
      <c r="Q31" s="2603" t="str">
        <f t="shared" ref="Q31" si="9">B31</f>
        <v>基础设施水平</v>
      </c>
      <c r="R31" s="1568" t="s">
        <v>8</v>
      </c>
      <c r="S31" s="1569">
        <f>F31</f>
        <v>100</v>
      </c>
      <c r="T31" s="1568" t="s">
        <v>8</v>
      </c>
      <c r="U31" s="1569">
        <f>H31</f>
        <v>100</v>
      </c>
      <c r="V31" s="1568" t="s">
        <v>8</v>
      </c>
      <c r="W31" s="1569">
        <f>J31</f>
        <v>100</v>
      </c>
      <c r="X31" s="1570"/>
      <c r="Y31" s="3675"/>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675"/>
      <c r="Q32" s="2603"/>
      <c r="R32" s="1568"/>
      <c r="S32" s="1569"/>
      <c r="T32" s="1568"/>
      <c r="U32" s="1569"/>
      <c r="V32" s="1568"/>
      <c r="W32" s="1569"/>
      <c r="X32" s="1570"/>
      <c r="Y32" s="3675"/>
      <c r="Z32" s="2600"/>
      <c r="AA32" s="1576">
        <v>1</v>
      </c>
      <c r="AB32" s="1576">
        <v>1</v>
      </c>
      <c r="AC32" s="1576">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75"/>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675"/>
      <c r="Q34" s="1572" t="str">
        <f t="shared" si="8"/>
        <v>毗邻道路的类型与等级</v>
      </c>
      <c r="R34" s="1573" t="s">
        <v>8</v>
      </c>
      <c r="S34" s="1574">
        <f t="shared" si="10"/>
        <v>100</v>
      </c>
      <c r="T34" s="1573" t="s">
        <v>8</v>
      </c>
      <c r="U34" s="1574">
        <f t="shared" si="11"/>
        <v>100</v>
      </c>
      <c r="V34" s="1573" t="s">
        <v>8</v>
      </c>
      <c r="W34" s="1574">
        <f t="shared" si="12"/>
        <v>100</v>
      </c>
      <c r="X34" s="1567"/>
      <c r="Y34" s="367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675"/>
      <c r="Q35" s="1572"/>
      <c r="R35" s="1573"/>
      <c r="S35" s="1574"/>
      <c r="T35" s="1573"/>
      <c r="U35" s="1574"/>
      <c r="V35" s="1573"/>
      <c r="W35" s="1574"/>
      <c r="X35" s="1567"/>
      <c r="Y35" s="3675"/>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75"/>
      <c r="Q36" s="1572" t="str">
        <f t="shared" si="8"/>
        <v>土地级别</v>
      </c>
      <c r="R36" s="1573" t="s">
        <v>8</v>
      </c>
      <c r="S36" s="1574">
        <f t="shared" si="10"/>
        <v>100</v>
      </c>
      <c r="T36" s="1573" t="s">
        <v>8</v>
      </c>
      <c r="U36" s="1574">
        <f t="shared" si="11"/>
        <v>100</v>
      </c>
      <c r="V36" s="1573" t="s">
        <v>8</v>
      </c>
      <c r="W36" s="1574">
        <f t="shared" si="12"/>
        <v>100</v>
      </c>
      <c r="X36" s="1567"/>
      <c r="Y36" s="367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75"/>
      <c r="Q37" s="1572">
        <f t="shared" si="8"/>
        <v>111</v>
      </c>
      <c r="R37" s="1573" t="s">
        <v>8</v>
      </c>
      <c r="S37" s="1574">
        <f t="shared" si="10"/>
        <v>100</v>
      </c>
      <c r="T37" s="1573" t="s">
        <v>8</v>
      </c>
      <c r="U37" s="1574">
        <f t="shared" si="11"/>
        <v>100</v>
      </c>
      <c r="V37" s="1573" t="s">
        <v>8</v>
      </c>
      <c r="W37" s="1574">
        <f t="shared" si="12"/>
        <v>100</v>
      </c>
      <c r="X37" s="1567"/>
      <c r="Y37" s="367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76" t="s">
        <v>551</v>
      </c>
      <c r="Q38" s="1572">
        <f t="shared" si="8"/>
        <v>111</v>
      </c>
      <c r="R38" s="1573" t="s">
        <v>8</v>
      </c>
      <c r="S38" s="1574">
        <f t="shared" si="10"/>
        <v>100</v>
      </c>
      <c r="T38" s="1573" t="s">
        <v>8</v>
      </c>
      <c r="U38" s="1574">
        <f t="shared" si="11"/>
        <v>100</v>
      </c>
      <c r="V38" s="1573" t="s">
        <v>8</v>
      </c>
      <c r="W38" s="1574">
        <f t="shared" si="12"/>
        <v>100</v>
      </c>
      <c r="X38" s="1567"/>
      <c r="Y38" s="3677"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77"/>
      <c r="Q39" s="1572">
        <f t="shared" si="8"/>
        <v>111</v>
      </c>
      <c r="R39" s="1577" t="s">
        <v>8</v>
      </c>
      <c r="S39" s="1578">
        <f t="shared" si="10"/>
        <v>100</v>
      </c>
      <c r="T39" s="1577" t="s">
        <v>8</v>
      </c>
      <c r="U39" s="1578">
        <f t="shared" si="11"/>
        <v>100</v>
      </c>
      <c r="V39" s="1577" t="s">
        <v>8</v>
      </c>
      <c r="W39" s="1578">
        <f t="shared" si="12"/>
        <v>100</v>
      </c>
      <c r="X39" s="1579"/>
      <c r="Y39" s="3677"/>
      <c r="Z39" s="1580">
        <f t="shared" si="13"/>
        <v>111</v>
      </c>
      <c r="AA39" s="1576">
        <f t="shared" si="3"/>
        <v>1</v>
      </c>
      <c r="AB39" s="1576">
        <f t="shared" si="4"/>
        <v>1</v>
      </c>
      <c r="AC39" s="1576">
        <f t="shared" si="5"/>
        <v>1</v>
      </c>
    </row>
    <row r="40" spans="1:29" ht="20.25">
      <c r="A40" s="2933" t="s">
        <v>2762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677"/>
      <c r="Q40" s="1572" t="str">
        <f>B40</f>
        <v>宗地面积</v>
      </c>
      <c r="R40" s="1573" t="s">
        <v>8</v>
      </c>
      <c r="S40" s="1574" t="e">
        <f t="shared" si="10"/>
        <v>#N/A</v>
      </c>
      <c r="T40" s="1573" t="s">
        <v>8</v>
      </c>
      <c r="U40" s="1574" t="e">
        <f t="shared" si="11"/>
        <v>#N/A</v>
      </c>
      <c r="V40" s="1573" t="s">
        <v>8</v>
      </c>
      <c r="W40" s="1574" t="e">
        <f t="shared" si="12"/>
        <v>#N/A</v>
      </c>
      <c r="X40" s="1567"/>
      <c r="Y40" s="3677"/>
      <c r="Z40" s="1575" t="str">
        <f t="shared" si="13"/>
        <v>宗地面积</v>
      </c>
      <c r="AA40" s="1576" t="e">
        <f t="shared" si="3"/>
        <v>#N/A</v>
      </c>
      <c r="AB40" s="1576" t="e">
        <f t="shared" si="4"/>
        <v>#N/A</v>
      </c>
      <c r="AC40" s="1576"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677"/>
      <c r="Q41" s="1572" t="str">
        <f t="shared" ref="Q41:Q47" si="14">B41</f>
        <v>宗地形状</v>
      </c>
      <c r="R41" s="1573" t="s">
        <v>8</v>
      </c>
      <c r="S41" s="1574">
        <f t="shared" si="10"/>
        <v>100</v>
      </c>
      <c r="T41" s="1573" t="s">
        <v>8</v>
      </c>
      <c r="U41" s="1574">
        <f t="shared" si="11"/>
        <v>100</v>
      </c>
      <c r="V41" s="1573" t="s">
        <v>8</v>
      </c>
      <c r="W41" s="1574">
        <f t="shared" si="12"/>
        <v>100</v>
      </c>
      <c r="X41" s="1567"/>
      <c r="Y41" s="3677"/>
      <c r="Z41" s="1575" t="str">
        <f t="shared" si="13"/>
        <v>宗地形状</v>
      </c>
      <c r="AA41" s="1576">
        <f t="shared" si="3"/>
        <v>1</v>
      </c>
      <c r="AB41" s="1576">
        <f t="shared" si="4"/>
        <v>1</v>
      </c>
      <c r="AC41" s="1576">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77"/>
      <c r="Q42" s="1572" t="str">
        <f t="shared" si="14"/>
        <v>临街宽度及深度</v>
      </c>
      <c r="R42" s="1573" t="s">
        <v>8</v>
      </c>
      <c r="S42" s="1574">
        <f t="shared" si="10"/>
        <v>100</v>
      </c>
      <c r="T42" s="1573" t="s">
        <v>8</v>
      </c>
      <c r="U42" s="1574">
        <f t="shared" si="11"/>
        <v>100</v>
      </c>
      <c r="V42" s="1573" t="s">
        <v>8</v>
      </c>
      <c r="W42" s="1574">
        <f t="shared" si="12"/>
        <v>100</v>
      </c>
      <c r="X42" s="1567"/>
      <c r="Y42" s="3677"/>
      <c r="Z42" s="1575" t="str">
        <f t="shared" si="13"/>
        <v>临街宽度及深度</v>
      </c>
      <c r="AA42" s="1576">
        <f t="shared" si="3"/>
        <v>1</v>
      </c>
      <c r="AB42" s="1576">
        <f t="shared" si="4"/>
        <v>1</v>
      </c>
      <c r="AC42" s="1576">
        <f t="shared" si="5"/>
        <v>1</v>
      </c>
    </row>
    <row r="43" spans="1:29" s="1220" customFormat="1" ht="20.25">
      <c r="A43" s="600"/>
      <c r="B43" s="1896"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677"/>
      <c r="Q43" s="1572" t="str">
        <f t="shared" si="14"/>
        <v>宗地开发程度</v>
      </c>
      <c r="R43" s="1568" t="s">
        <v>8</v>
      </c>
      <c r="S43" s="1569">
        <f t="shared" si="10"/>
        <v>100</v>
      </c>
      <c r="T43" s="1568" t="s">
        <v>8</v>
      </c>
      <c r="U43" s="1569">
        <f t="shared" si="11"/>
        <v>100</v>
      </c>
      <c r="V43" s="1568" t="s">
        <v>8</v>
      </c>
      <c r="W43" s="1569">
        <f t="shared" si="12"/>
        <v>100</v>
      </c>
      <c r="X43" s="1570"/>
      <c r="Y43" s="3677"/>
      <c r="Z43" s="1150" t="str">
        <f t="shared" si="13"/>
        <v>宗地开发程度</v>
      </c>
      <c r="AA43" s="1571">
        <f t="shared" si="3"/>
        <v>1</v>
      </c>
      <c r="AB43" s="1571">
        <f t="shared" si="4"/>
        <v>1</v>
      </c>
      <c r="AC43" s="1571">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677" t="s">
        <v>551</v>
      </c>
      <c r="Q44" s="1572" t="str">
        <f t="shared" si="14"/>
        <v>工程地质条件</v>
      </c>
      <c r="R44" s="1573" t="s">
        <v>8</v>
      </c>
      <c r="S44" s="1574">
        <f t="shared" si="10"/>
        <v>100</v>
      </c>
      <c r="T44" s="1573" t="s">
        <v>8</v>
      </c>
      <c r="U44" s="1574">
        <f t="shared" si="11"/>
        <v>100</v>
      </c>
      <c r="V44" s="1573" t="s">
        <v>8</v>
      </c>
      <c r="W44" s="1574">
        <f t="shared" si="12"/>
        <v>100</v>
      </c>
      <c r="X44" s="1567"/>
      <c r="Y44" s="3677"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77"/>
      <c r="Q45" s="1572">
        <f t="shared" si="14"/>
        <v>111</v>
      </c>
      <c r="R45" s="1573" t="s">
        <v>8</v>
      </c>
      <c r="S45" s="1574">
        <f t="shared" si="10"/>
        <v>100</v>
      </c>
      <c r="T45" s="1573" t="s">
        <v>8</v>
      </c>
      <c r="U45" s="1574">
        <f t="shared" si="11"/>
        <v>100</v>
      </c>
      <c r="V45" s="1573" t="s">
        <v>8</v>
      </c>
      <c r="W45" s="1574">
        <f t="shared" si="12"/>
        <v>100</v>
      </c>
      <c r="X45" s="1567"/>
      <c r="Y45" s="367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77"/>
      <c r="Q46" s="1572">
        <f t="shared" si="14"/>
        <v>111</v>
      </c>
      <c r="R46" s="1573" t="s">
        <v>8</v>
      </c>
      <c r="S46" s="1574">
        <f t="shared" si="10"/>
        <v>100</v>
      </c>
      <c r="T46" s="1573" t="s">
        <v>8</v>
      </c>
      <c r="U46" s="1574">
        <f t="shared" si="11"/>
        <v>100</v>
      </c>
      <c r="V46" s="1573" t="s">
        <v>8</v>
      </c>
      <c r="W46" s="1574">
        <f t="shared" si="12"/>
        <v>100</v>
      </c>
      <c r="X46" s="1567"/>
      <c r="Y46" s="367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77"/>
      <c r="Q47" s="1572">
        <f t="shared" si="14"/>
        <v>111</v>
      </c>
      <c r="R47" s="1577" t="s">
        <v>8</v>
      </c>
      <c r="S47" s="1578">
        <f t="shared" si="10"/>
        <v>100</v>
      </c>
      <c r="T47" s="1577" t="s">
        <v>8</v>
      </c>
      <c r="U47" s="1578">
        <f t="shared" si="11"/>
        <v>100</v>
      </c>
      <c r="V47" s="1577" t="s">
        <v>8</v>
      </c>
      <c r="W47" s="1578">
        <f t="shared" si="12"/>
        <v>100</v>
      </c>
      <c r="X47" s="1579"/>
      <c r="Y47" s="3677"/>
      <c r="Z47" s="1580">
        <f t="shared" si="13"/>
        <v>111</v>
      </c>
      <c r="AA47" s="1576">
        <f t="shared" si="3"/>
        <v>1</v>
      </c>
      <c r="AB47" s="1576">
        <f t="shared" si="4"/>
        <v>1</v>
      </c>
      <c r="AC47" s="1576">
        <f t="shared" si="5"/>
        <v>1</v>
      </c>
    </row>
    <row r="48" spans="1:29" ht="20.25">
      <c r="A48" s="607" t="s">
        <v>557</v>
      </c>
      <c r="B48" s="608" t="s">
        <v>2941</v>
      </c>
      <c r="C48" s="609" t="s">
        <v>1</v>
      </c>
      <c r="D48" s="610"/>
      <c r="E48" s="611"/>
      <c r="F48" s="612"/>
      <c r="G48" s="613"/>
      <c r="H48" s="614"/>
      <c r="I48" s="611"/>
      <c r="J48" s="614"/>
      <c r="K48" s="1340"/>
      <c r="L48" s="2145"/>
      <c r="M48" s="2133"/>
      <c r="N48" s="2133"/>
      <c r="O48" s="2146"/>
      <c r="P48" s="3672" t="str">
        <f>A48</f>
        <v>成交单价</v>
      </c>
      <c r="Q48" s="3672"/>
      <c r="R48" s="3686">
        <f>E48</f>
        <v>0</v>
      </c>
      <c r="S48" s="3686"/>
      <c r="T48" s="3686">
        <f>G48</f>
        <v>0</v>
      </c>
      <c r="U48" s="3686"/>
      <c r="V48" s="3686">
        <f>I48</f>
        <v>0</v>
      </c>
      <c r="W48" s="3686"/>
      <c r="X48" s="1559"/>
      <c r="Y48" s="1581"/>
      <c r="Z48" s="1559"/>
      <c r="AA48" s="1559"/>
      <c r="AB48" s="1559"/>
      <c r="AC48" s="1559"/>
    </row>
    <row r="49" spans="1:29" ht="21" thickBot="1">
      <c r="A49" s="615" t="s">
        <v>2700</v>
      </c>
      <c r="B49" s="616"/>
      <c r="C49" s="617" t="e">
        <f>R50</f>
        <v>#DIV/0!</v>
      </c>
      <c r="D49" s="618"/>
      <c r="E49" s="617" t="e">
        <f>R49</f>
        <v>#DIV/0!</v>
      </c>
      <c r="F49" s="619"/>
      <c r="G49" s="620" t="e">
        <f>T49</f>
        <v>#DIV/0!</v>
      </c>
      <c r="H49" s="618"/>
      <c r="I49" s="617" t="e">
        <f>V49</f>
        <v>#DIV/0!</v>
      </c>
      <c r="J49" s="618"/>
      <c r="K49" s="1341"/>
      <c r="L49" s="2145"/>
      <c r="M49" s="2133"/>
      <c r="N49" s="2133"/>
      <c r="O49" s="2146"/>
      <c r="P49" s="3672" t="str">
        <f>A49</f>
        <v>比较价格（元/平方米）</v>
      </c>
      <c r="Q49" s="3672"/>
      <c r="R49" s="3696" t="e">
        <f>ROUND(PRODUCT(R48,AA9:AA47),0)</f>
        <v>#DIV/0!</v>
      </c>
      <c r="S49" s="3696"/>
      <c r="T49" s="3696" t="e">
        <f>ROUND(PRODUCT(T48,AB9:AB47),0)</f>
        <v>#DIV/0!</v>
      </c>
      <c r="U49" s="3696"/>
      <c r="V49" s="3696" t="e">
        <f>ROUND(PRODUCT(V48,AC9:AC47),0)</f>
        <v>#DIV/0!</v>
      </c>
      <c r="W49" s="3696"/>
      <c r="X49" s="1559"/>
      <c r="Y49" s="1559"/>
      <c r="Z49" s="1559"/>
      <c r="AA49" s="1559"/>
      <c r="AB49" s="1559"/>
      <c r="AC49" s="1559"/>
    </row>
    <row r="50" spans="1:29" ht="21" thickBot="1">
      <c r="A50" s="621" t="s">
        <v>2942</v>
      </c>
      <c r="B50" s="622"/>
      <c r="C50" s="623" t="e">
        <f>R50</f>
        <v>#DIV/0!</v>
      </c>
      <c r="D50" s="623"/>
      <c r="E50" s="623"/>
      <c r="F50" s="623"/>
      <c r="G50" s="623"/>
      <c r="H50" s="623"/>
      <c r="I50" s="623"/>
      <c r="J50" s="623"/>
      <c r="K50" s="1342"/>
      <c r="L50" s="2145"/>
      <c r="M50" s="2133"/>
      <c r="N50" s="2133"/>
      <c r="O50" s="2146"/>
      <c r="P50" s="3693" t="str">
        <f>A50</f>
        <v>估价对象XX用房的比较价格（楼面单价，元/平方米）</v>
      </c>
      <c r="Q50" s="3694"/>
      <c r="R50" s="3695" t="e">
        <f>ROUND(AVERAGE(R49:V49),0)</f>
        <v>#DIV/0!</v>
      </c>
      <c r="S50" s="3695"/>
      <c r="T50" s="3695"/>
      <c r="U50" s="3695"/>
      <c r="V50" s="3695"/>
      <c r="W50" s="36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56" t="s">
        <v>2285</v>
      </c>
      <c r="H57" s="3657"/>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t="e">
        <f>C50</f>
        <v>#DIV/0!</v>
      </c>
      <c r="C58" s="635">
        <v>1</v>
      </c>
      <c r="D58" s="2229">
        <v>1</v>
      </c>
      <c r="E58" s="635">
        <f>'数据-汇总表'!E8+'数据-汇总表'!E9</f>
        <v>10000</v>
      </c>
      <c r="F58" s="636" t="e">
        <f t="shared" ref="F58:F67" si="15">ROUND(B58*E58/10000,0)</f>
        <v>#DIV/0!</v>
      </c>
      <c r="G58" s="3658"/>
      <c r="H58" s="365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t="e">
        <f>ROUND($C$50*C59*D59,0)</f>
        <v>#DIV/0!</v>
      </c>
      <c r="C59" s="378">
        <f t="shared" ref="C59:C67" si="16">IF($C$57="北京市系数",I59,J59)</f>
        <v>0</v>
      </c>
      <c r="D59" s="2230">
        <v>0.25</v>
      </c>
      <c r="E59" s="639">
        <v>0</v>
      </c>
      <c r="F59" s="636" t="e">
        <f t="shared" si="15"/>
        <v>#DIV/0!</v>
      </c>
      <c r="G59" s="366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t="e">
        <f t="shared" ref="B60:B67" si="17">ROUND($C$50*C60*D60,0)</f>
        <v>#DIV/0!</v>
      </c>
      <c r="C60" s="378">
        <f t="shared" si="16"/>
        <v>0</v>
      </c>
      <c r="D60" s="2230">
        <v>0.25</v>
      </c>
      <c r="E60" s="639">
        <v>0</v>
      </c>
      <c r="F60" s="636" t="e">
        <f t="shared" si="15"/>
        <v>#DIV/0!</v>
      </c>
      <c r="G60" s="366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t="e">
        <f t="shared" si="17"/>
        <v>#DIV/0!</v>
      </c>
      <c r="C61" s="378">
        <f t="shared" si="16"/>
        <v>0</v>
      </c>
      <c r="D61" s="2230">
        <v>0.25</v>
      </c>
      <c r="E61" s="639">
        <v>0</v>
      </c>
      <c r="F61" s="636" t="e">
        <f t="shared" si="15"/>
        <v>#DIV/0!</v>
      </c>
      <c r="G61" s="366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t="e">
        <f t="shared" si="17"/>
        <v>#DIV/0!</v>
      </c>
      <c r="C62" s="378">
        <f t="shared" si="16"/>
        <v>0</v>
      </c>
      <c r="D62" s="2230">
        <v>0.25</v>
      </c>
      <c r="E62" s="639">
        <v>0</v>
      </c>
      <c r="F62" s="636" t="e">
        <f t="shared" si="15"/>
        <v>#DIV/0!</v>
      </c>
      <c r="G62" s="366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t="e">
        <f t="shared" si="17"/>
        <v>#DIV/0!</v>
      </c>
      <c r="C63" s="378">
        <f t="shared" si="16"/>
        <v>0</v>
      </c>
      <c r="D63" s="2230">
        <v>0.25</v>
      </c>
      <c r="E63" s="641">
        <f>'数据-汇总表'!E11</f>
        <v>0</v>
      </c>
      <c r="F63" s="636" t="e">
        <f t="shared" si="15"/>
        <v>#DIV/0!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t="e">
        <f t="shared" si="17"/>
        <v>#DIV/0!</v>
      </c>
      <c r="C64" s="378">
        <f t="shared" si="16"/>
        <v>0</v>
      </c>
      <c r="D64" s="2230">
        <v>0.25</v>
      </c>
      <c r="E64" s="641">
        <f>'数据-汇总表'!E12</f>
        <v>0</v>
      </c>
      <c r="F64" s="636" t="e">
        <f t="shared" si="15"/>
        <v>#DIV/0!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t="e">
        <f t="shared" si="17"/>
        <v>#DIV/0!</v>
      </c>
      <c r="C65" s="378">
        <f t="shared" si="16"/>
        <v>0</v>
      </c>
      <c r="D65" s="2230">
        <v>0.25</v>
      </c>
      <c r="E65" s="641">
        <f>'数据-汇总表'!E13</f>
        <v>0</v>
      </c>
      <c r="F65" s="636" t="e">
        <f t="shared" si="15"/>
        <v>#DIV/0!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t="e">
        <f t="shared" si="17"/>
        <v>#DIV/0!</v>
      </c>
      <c r="C66" s="378">
        <f t="shared" si="16"/>
        <v>0</v>
      </c>
      <c r="D66" s="2230">
        <v>0.25</v>
      </c>
      <c r="E66" s="641">
        <f>'数据-汇总表'!E14</f>
        <v>0</v>
      </c>
      <c r="F66" s="636" t="e">
        <f t="shared" si="15"/>
        <v>#DIV/0!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t="e">
        <f t="shared" si="17"/>
        <v>#DIV/0!</v>
      </c>
      <c r="C67" s="378">
        <f t="shared" si="16"/>
        <v>0</v>
      </c>
      <c r="D67" s="2230">
        <v>0.25</v>
      </c>
      <c r="E67" s="641">
        <f>'数据-汇总表'!E15</f>
        <v>0</v>
      </c>
      <c r="F67" s="636" t="e">
        <f t="shared" si="15"/>
        <v>#DIV/0!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13513.51</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2653</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2557</v>
      </c>
      <c r="C104" s="2623" t="s">
        <v>2558</v>
      </c>
      <c r="D104" s="2623" t="s">
        <v>2559</v>
      </c>
      <c r="E104" s="2623" t="s">
        <v>2560</v>
      </c>
      <c r="F104" s="2623" t="s">
        <v>2561</v>
      </c>
      <c r="G104" s="2623"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20" sqref="K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1846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1" t="s">
        <v>1687</v>
      </c>
      <c r="B3" s="510">
        <f>ROUND(B2*10000/'数据-汇总表'!E3,0)</f>
        <v>1846</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f>IF(B43="单位面积地价",C45,ROUND(B2*10000/'数据-汇总表'!D3,0))</f>
        <v>1366</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78" t="s">
        <v>523</v>
      </c>
      <c r="D6" s="3679"/>
      <c r="E6" s="3702" t="s">
        <v>524</v>
      </c>
      <c r="F6" s="3703"/>
      <c r="G6" s="3678" t="s">
        <v>525</v>
      </c>
      <c r="H6" s="3679"/>
      <c r="I6" s="3678" t="s">
        <v>526</v>
      </c>
      <c r="J6" s="3679"/>
      <c r="K6" s="514" t="s">
        <v>527</v>
      </c>
      <c r="L6" s="2134"/>
      <c r="M6" s="2135"/>
      <c r="N6" s="2135"/>
      <c r="O6" s="2135"/>
      <c r="P6" s="3680" t="s">
        <v>528</v>
      </c>
      <c r="Q6" s="3681"/>
      <c r="R6" s="3666" t="s">
        <v>524</v>
      </c>
      <c r="S6" s="3667"/>
      <c r="T6" s="3666" t="s">
        <v>525</v>
      </c>
      <c r="U6" s="3667"/>
      <c r="V6" s="3686" t="s">
        <v>526</v>
      </c>
      <c r="W6" s="3686"/>
      <c r="X6" s="1567"/>
      <c r="Y6" s="3666" t="s">
        <v>528</v>
      </c>
      <c r="Z6" s="3667"/>
      <c r="AA6" s="3661" t="s">
        <v>524</v>
      </c>
      <c r="AB6" s="3662" t="s">
        <v>525</v>
      </c>
      <c r="AC6" s="3661" t="s">
        <v>526</v>
      </c>
    </row>
    <row r="7" spans="1:29" ht="15">
      <c r="A7" s="515"/>
      <c r="B7" s="516"/>
      <c r="C7" s="3689" t="s">
        <v>2936</v>
      </c>
      <c r="D7" s="3690"/>
      <c r="E7" s="3704" t="s">
        <v>2937</v>
      </c>
      <c r="F7" s="3705"/>
      <c r="G7" s="3689" t="s">
        <v>2938</v>
      </c>
      <c r="H7" s="3690"/>
      <c r="I7" s="3689" t="s">
        <v>2939</v>
      </c>
      <c r="J7" s="3690"/>
      <c r="K7" s="514"/>
      <c r="L7" s="2134"/>
      <c r="M7" s="2135"/>
      <c r="N7" s="2135"/>
      <c r="O7" s="2135"/>
      <c r="P7" s="3682"/>
      <c r="Q7" s="3683"/>
      <c r="R7" s="3668"/>
      <c r="S7" s="3669"/>
      <c r="T7" s="3668"/>
      <c r="U7" s="3669"/>
      <c r="V7" s="3686"/>
      <c r="W7" s="3686"/>
      <c r="X7" s="1567"/>
      <c r="Y7" s="3668"/>
      <c r="Z7" s="3669"/>
      <c r="AA7" s="3662"/>
      <c r="AB7" s="3662"/>
      <c r="AC7" s="3662"/>
    </row>
    <row r="8" spans="1:29" ht="37.5" customHeight="1" thickBot="1">
      <c r="A8" s="517"/>
      <c r="B8" s="518"/>
      <c r="C8" s="3687" t="s">
        <v>2940</v>
      </c>
      <c r="D8" s="3688"/>
      <c r="E8" s="3706" t="s">
        <v>3216</v>
      </c>
      <c r="F8" s="3707"/>
      <c r="G8" s="3687" t="s">
        <v>3253</v>
      </c>
      <c r="H8" s="3688"/>
      <c r="I8" s="3708" t="s">
        <v>3254</v>
      </c>
      <c r="J8" s="3688"/>
      <c r="K8" s="514" t="s">
        <v>529</v>
      </c>
      <c r="L8" s="2134"/>
      <c r="M8" s="2135"/>
      <c r="N8" s="2135"/>
      <c r="O8" s="2135"/>
      <c r="P8" s="3684"/>
      <c r="Q8" s="3685"/>
      <c r="R8" s="3668"/>
      <c r="S8" s="3669"/>
      <c r="T8" s="3670"/>
      <c r="U8" s="3671"/>
      <c r="V8" s="3686"/>
      <c r="W8" s="3686"/>
      <c r="X8" s="1567"/>
      <c r="Y8" s="3670"/>
      <c r="Z8" s="3671"/>
      <c r="AA8" s="3663"/>
      <c r="AB8" s="3663"/>
      <c r="AC8" s="3663"/>
    </row>
    <row r="9" spans="1:29" s="1220" customFormat="1" ht="15.75" thickBot="1">
      <c r="A9" s="2938"/>
      <c r="B9" s="2945" t="s">
        <v>530</v>
      </c>
      <c r="C9" s="519">
        <f>'数据-取费表'!B2</f>
        <v>43115</v>
      </c>
      <c r="D9" s="520">
        <v>100</v>
      </c>
      <c r="E9" s="521">
        <v>43084</v>
      </c>
      <c r="F9" s="522">
        <f>SUMIF(67:67,YEAR(E9)&amp;"-"&amp;INT((MONTH(E9)+2)/3),68:68)</f>
        <v>99.5</v>
      </c>
      <c r="G9" s="523">
        <v>42668</v>
      </c>
      <c r="H9" s="520">
        <f>SUMIF(67:67,YEAR(G9)&amp;"-"&amp;INT((MONTH(G9)+2)/3),68:68)</f>
        <v>99</v>
      </c>
      <c r="I9" s="523">
        <v>42538</v>
      </c>
      <c r="J9" s="520">
        <f>SUMIF(67:67,YEAR(I9)&amp;"-"&amp;INT((MONTH(I9)+2)/3),68:68)</f>
        <v>99</v>
      </c>
      <c r="K9" s="524"/>
      <c r="L9" s="2136"/>
      <c r="M9" s="2137"/>
      <c r="N9" s="2137"/>
      <c r="O9" s="2137"/>
      <c r="P9" s="3664" t="s">
        <v>531</v>
      </c>
      <c r="Q9" s="3673"/>
      <c r="R9" s="1568" t="s">
        <v>8</v>
      </c>
      <c r="S9" s="1569">
        <f t="shared" ref="S9:S17" si="0">F9</f>
        <v>99.5</v>
      </c>
      <c r="T9" s="1568" t="s">
        <v>8</v>
      </c>
      <c r="U9" s="1569">
        <f t="shared" ref="U9:U17" si="1">H9</f>
        <v>99</v>
      </c>
      <c r="V9" s="1568" t="s">
        <v>8</v>
      </c>
      <c r="W9" s="1569">
        <f t="shared" ref="W9:W17" si="2">J9</f>
        <v>99</v>
      </c>
      <c r="X9" s="1570"/>
      <c r="Y9" s="3664" t="s">
        <v>531</v>
      </c>
      <c r="Z9" s="3665"/>
      <c r="AA9" s="1571">
        <f>D9/F9</f>
        <v>1.0050251256281406</v>
      </c>
      <c r="AB9" s="1571">
        <f>D9/H9</f>
        <v>1.0101010101010102</v>
      </c>
      <c r="AC9" s="1571">
        <f>D9/J9</f>
        <v>1.0101010101010102</v>
      </c>
    </row>
    <row r="10" spans="1:29" s="1220" customFormat="1" ht="15.75" thickBot="1">
      <c r="A10" s="2939"/>
      <c r="B10" s="2946" t="s">
        <v>532</v>
      </c>
      <c r="C10" s="525" t="s">
        <v>533</v>
      </c>
      <c r="D10" s="520">
        <v>100</v>
      </c>
      <c r="E10" s="525" t="s">
        <v>3211</v>
      </c>
      <c r="F10" s="522">
        <f>SUMIF(70:70,E10,71:71)-SUMIF(70:70,C10,71:71)+100</f>
        <v>100</v>
      </c>
      <c r="G10" s="525" t="s">
        <v>3211</v>
      </c>
      <c r="H10" s="520">
        <f>SUMIF(70:70,G10,71:71)-SUMIF(70:70,C10,71:71)+100</f>
        <v>100</v>
      </c>
      <c r="I10" s="525" t="s">
        <v>3211</v>
      </c>
      <c r="J10" s="520">
        <f>SUMIF(70:70,I10,71:71)-SUMIF(70:70,C10,71:71)+100</f>
        <v>100</v>
      </c>
      <c r="K10" s="524"/>
      <c r="L10" s="2136"/>
      <c r="M10" s="2137"/>
      <c r="N10" s="2137"/>
      <c r="O10" s="2137"/>
      <c r="P10" s="3664" t="s">
        <v>534</v>
      </c>
      <c r="Q10" s="3665"/>
      <c r="R10" s="1568" t="s">
        <v>8</v>
      </c>
      <c r="S10" s="1569">
        <f t="shared" si="0"/>
        <v>100</v>
      </c>
      <c r="T10" s="1568" t="s">
        <v>8</v>
      </c>
      <c r="U10" s="1569">
        <f t="shared" si="1"/>
        <v>100</v>
      </c>
      <c r="V10" s="1568" t="s">
        <v>8</v>
      </c>
      <c r="W10" s="1569">
        <f t="shared" si="2"/>
        <v>100</v>
      </c>
      <c r="X10" s="1570"/>
      <c r="Y10" s="3664" t="s">
        <v>534</v>
      </c>
      <c r="Z10" s="3665"/>
      <c r="AA10" s="1571">
        <f t="shared" ref="AA10:AA42" si="3">D10/F10</f>
        <v>1</v>
      </c>
      <c r="AB10" s="1571">
        <f t="shared" ref="AB10:AB42" si="4">D10/H10</f>
        <v>1</v>
      </c>
      <c r="AC10" s="1571">
        <f t="shared" ref="AC10:AC42" si="5">D10/J10</f>
        <v>1</v>
      </c>
    </row>
    <row r="11" spans="1:29" s="1220" customFormat="1" ht="15">
      <c r="A11" s="2940"/>
      <c r="B11" s="2947" t="s">
        <v>2763</v>
      </c>
      <c r="C11" s="526" t="s">
        <v>983</v>
      </c>
      <c r="D11" s="254">
        <v>100</v>
      </c>
      <c r="E11" s="526" t="s">
        <v>983</v>
      </c>
      <c r="F11" s="254">
        <f>SUMIF(72:72,E11,73:73)-SUMIF(72:72,C11,73:73)+100</f>
        <v>100</v>
      </c>
      <c r="G11" s="526" t="s">
        <v>983</v>
      </c>
      <c r="H11" s="254">
        <f>SUMIF(72:72,G11,73:73)-SUMIF(72:72,C11,73:73)+100</f>
        <v>100</v>
      </c>
      <c r="I11" s="526" t="s">
        <v>983</v>
      </c>
      <c r="J11" s="254">
        <f>SUMIF(72:72,I11,73:73)-SUMIF(72:72,C11,73:73)+100</f>
        <v>100</v>
      </c>
      <c r="K11" s="524"/>
      <c r="L11" s="2136"/>
      <c r="M11" s="2137"/>
      <c r="N11" s="2137"/>
      <c r="O11" s="2138"/>
      <c r="P11" s="3672" t="s">
        <v>536</v>
      </c>
      <c r="Q11" s="1151" t="str">
        <f t="shared" ref="Q11:Q17" si="6">B11</f>
        <v>用途</v>
      </c>
      <c r="R11" s="1568" t="s">
        <v>8</v>
      </c>
      <c r="S11" s="1569">
        <f t="shared" si="0"/>
        <v>100</v>
      </c>
      <c r="T11" s="1568" t="s">
        <v>8</v>
      </c>
      <c r="U11" s="1569">
        <f t="shared" si="1"/>
        <v>100</v>
      </c>
      <c r="V11" s="1568" t="s">
        <v>8</v>
      </c>
      <c r="W11" s="1569">
        <f t="shared" si="2"/>
        <v>100</v>
      </c>
      <c r="X11" s="1570"/>
      <c r="Y11" s="3629" t="s">
        <v>537</v>
      </c>
      <c r="Z11" s="1150" t="str">
        <f t="shared" ref="Z11:Z17" si="7">Q11</f>
        <v>用途</v>
      </c>
      <c r="AA11" s="1571">
        <f t="shared" si="3"/>
        <v>1</v>
      </c>
      <c r="AB11" s="1571">
        <f t="shared" si="4"/>
        <v>1</v>
      </c>
      <c r="AC11" s="1571">
        <f t="shared" si="5"/>
        <v>1</v>
      </c>
    </row>
    <row r="12" spans="1:29" s="1338" customFormat="1" ht="27">
      <c r="A12" s="2941"/>
      <c r="B12" s="2946" t="s">
        <v>2764</v>
      </c>
      <c r="C12" s="528">
        <v>50</v>
      </c>
      <c r="D12" s="255">
        <v>100</v>
      </c>
      <c r="E12" s="528">
        <v>50</v>
      </c>
      <c r="F12" s="255">
        <f>ROUND(100/'数据-取费表'!G16,0)</f>
        <v>100</v>
      </c>
      <c r="G12" s="528">
        <v>50</v>
      </c>
      <c r="H12" s="255">
        <f>ROUND(100/'数据-取费表'!G16,0)</f>
        <v>100</v>
      </c>
      <c r="I12" s="528">
        <v>50</v>
      </c>
      <c r="J12" s="255">
        <f>ROUND(100/'数据-取费表'!G16,0)</f>
        <v>100</v>
      </c>
      <c r="K12" s="531"/>
      <c r="L12" s="2139"/>
      <c r="M12" s="2179"/>
      <c r="N12" s="2179"/>
      <c r="O12" s="2140"/>
      <c r="P12" s="3672"/>
      <c r="Q12" s="1151" t="str">
        <f t="shared" si="6"/>
        <v>土地使用年限（年）</v>
      </c>
      <c r="R12" s="1568" t="s">
        <v>8</v>
      </c>
      <c r="S12" s="1569">
        <f t="shared" si="0"/>
        <v>100</v>
      </c>
      <c r="T12" s="1568" t="s">
        <v>8</v>
      </c>
      <c r="U12" s="1569">
        <f t="shared" si="1"/>
        <v>100</v>
      </c>
      <c r="V12" s="1568" t="s">
        <v>8</v>
      </c>
      <c r="W12" s="1569">
        <f t="shared" si="2"/>
        <v>100</v>
      </c>
      <c r="X12" s="1570"/>
      <c r="Y12" s="3629"/>
      <c r="Z12" s="1150" t="str">
        <f t="shared" si="7"/>
        <v>土地使用年限（年）</v>
      </c>
      <c r="AA12" s="1571">
        <f t="shared" si="3"/>
        <v>1</v>
      </c>
      <c r="AB12" s="1571">
        <f t="shared" si="4"/>
        <v>1</v>
      </c>
      <c r="AC12" s="1571">
        <f t="shared" si="5"/>
        <v>1</v>
      </c>
    </row>
    <row r="13" spans="1:29" ht="15">
      <c r="A13" s="2942"/>
      <c r="B13" s="2946" t="s">
        <v>2765</v>
      </c>
      <c r="C13" s="533">
        <v>0.74</v>
      </c>
      <c r="D13" s="255">
        <v>100</v>
      </c>
      <c r="E13" s="533">
        <v>0.8</v>
      </c>
      <c r="F13" s="255">
        <f>LOOKUP(E13,77:77,78:78)-LOOKUP(C13,77:77,78:78)+100</f>
        <v>100</v>
      </c>
      <c r="G13" s="534">
        <v>0.8</v>
      </c>
      <c r="H13" s="255">
        <f>LOOKUP(G13,77:77,78:78)-LOOKUP(C13,77:77,78:78)+100</f>
        <v>100</v>
      </c>
      <c r="I13" s="533">
        <v>1.5</v>
      </c>
      <c r="J13" s="255">
        <f>LOOKUP(I13,77:77,78:78)-LOOKUP(C13,77:77,78:78)+100</f>
        <v>96</v>
      </c>
      <c r="K13" s="535">
        <v>2</v>
      </c>
      <c r="L13" s="2141"/>
      <c r="M13" s="2135"/>
      <c r="N13" s="2135"/>
      <c r="O13" s="2142"/>
      <c r="P13" s="3672"/>
      <c r="Q13" s="1151" t="str">
        <f t="shared" si="6"/>
        <v>容积率</v>
      </c>
      <c r="R13" s="1568" t="s">
        <v>8</v>
      </c>
      <c r="S13" s="1569">
        <f t="shared" si="0"/>
        <v>100</v>
      </c>
      <c r="T13" s="1568" t="s">
        <v>8</v>
      </c>
      <c r="U13" s="1569">
        <f t="shared" si="1"/>
        <v>100</v>
      </c>
      <c r="V13" s="1568" t="s">
        <v>8</v>
      </c>
      <c r="W13" s="1569">
        <f t="shared" si="2"/>
        <v>96</v>
      </c>
      <c r="X13" s="1570"/>
      <c r="Y13" s="3629"/>
      <c r="Z13" s="1150" t="str">
        <f t="shared" si="7"/>
        <v>容积率</v>
      </c>
      <c r="AA13" s="1571">
        <f t="shared" si="3"/>
        <v>1</v>
      </c>
      <c r="AB13" s="1571">
        <f t="shared" si="4"/>
        <v>1</v>
      </c>
      <c r="AC13" s="1571">
        <f t="shared" si="5"/>
        <v>1.0416666666666667</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72"/>
      <c r="Q15" s="1151">
        <f t="shared" si="6"/>
        <v>111</v>
      </c>
      <c r="R15" s="1568" t="s">
        <v>8</v>
      </c>
      <c r="S15" s="1569">
        <f t="shared" si="0"/>
        <v>100</v>
      </c>
      <c r="T15" s="1568" t="s">
        <v>8</v>
      </c>
      <c r="U15" s="1569">
        <f t="shared" si="1"/>
        <v>100</v>
      </c>
      <c r="V15" s="1568" t="s">
        <v>8</v>
      </c>
      <c r="W15" s="1569">
        <f t="shared" si="2"/>
        <v>100</v>
      </c>
      <c r="X15" s="1570"/>
      <c r="Y15" s="3629"/>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72"/>
      <c r="Q16" s="1151">
        <f t="shared" si="6"/>
        <v>111</v>
      </c>
      <c r="R16" s="1568" t="s">
        <v>8</v>
      </c>
      <c r="S16" s="1569">
        <f t="shared" si="0"/>
        <v>100</v>
      </c>
      <c r="T16" s="1568" t="s">
        <v>8</v>
      </c>
      <c r="U16" s="1569">
        <f t="shared" si="1"/>
        <v>100</v>
      </c>
      <c r="V16" s="1568" t="s">
        <v>8</v>
      </c>
      <c r="W16" s="1569">
        <f t="shared" si="2"/>
        <v>100</v>
      </c>
      <c r="X16" s="1570"/>
      <c r="Y16" s="3629"/>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103</v>
      </c>
      <c r="G17" s="550"/>
      <c r="H17" s="549">
        <f>SUMIF(85:85,G18,86:86)-SUMIF(85:85,C18,86:86)+100</f>
        <v>103</v>
      </c>
      <c r="I17" s="552"/>
      <c r="J17" s="549">
        <f>SUMIF(85:85,I18,86:86)-SUMIF(85:85,C18,86:86)+100</f>
        <v>103</v>
      </c>
      <c r="K17" s="535">
        <v>1</v>
      </c>
      <c r="L17" s="2143"/>
      <c r="M17" s="2135"/>
      <c r="N17" s="2135"/>
      <c r="O17" s="2142"/>
      <c r="P17" s="3674" t="s">
        <v>541</v>
      </c>
      <c r="Q17" s="1572" t="str">
        <f t="shared" si="6"/>
        <v>产业集聚程度</v>
      </c>
      <c r="R17" s="1573" t="s">
        <v>8</v>
      </c>
      <c r="S17" s="1574">
        <f t="shared" si="0"/>
        <v>103</v>
      </c>
      <c r="T17" s="1573" t="s">
        <v>8</v>
      </c>
      <c r="U17" s="1574">
        <f t="shared" si="1"/>
        <v>103</v>
      </c>
      <c r="V17" s="1573" t="s">
        <v>8</v>
      </c>
      <c r="W17" s="1574">
        <f t="shared" si="2"/>
        <v>103</v>
      </c>
      <c r="X17" s="1567"/>
      <c r="Y17" s="3674" t="s">
        <v>541</v>
      </c>
      <c r="Z17" s="1575" t="str">
        <f t="shared" si="7"/>
        <v>产业集聚程度</v>
      </c>
      <c r="AA17" s="1576">
        <f t="shared" si="3"/>
        <v>0.970873786407767</v>
      </c>
      <c r="AB17" s="1576">
        <f t="shared" si="4"/>
        <v>0.970873786407767</v>
      </c>
      <c r="AC17" s="1576">
        <f t="shared" si="5"/>
        <v>0.970873786407767</v>
      </c>
    </row>
    <row r="18" spans="1:29" ht="15">
      <c r="A18" s="532"/>
      <c r="B18" s="869"/>
      <c r="C18" s="576" t="s">
        <v>3212</v>
      </c>
      <c r="D18" s="555"/>
      <c r="E18" s="554" t="s">
        <v>3214</v>
      </c>
      <c r="F18" s="555"/>
      <c r="G18" s="554" t="s">
        <v>3214</v>
      </c>
      <c r="H18" s="559"/>
      <c r="I18" s="554" t="s">
        <v>3214</v>
      </c>
      <c r="J18" s="555"/>
      <c r="K18" s="531"/>
      <c r="L18" s="2143"/>
      <c r="M18" s="2135"/>
      <c r="N18" s="2135"/>
      <c r="O18" s="2142"/>
      <c r="P18" s="3675"/>
      <c r="Q18" s="1572"/>
      <c r="R18" s="1573"/>
      <c r="S18" s="1574"/>
      <c r="T18" s="1573"/>
      <c r="U18" s="1574"/>
      <c r="V18" s="1573"/>
      <c r="W18" s="1574"/>
      <c r="X18" s="1567"/>
      <c r="Y18" s="3675"/>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106</v>
      </c>
      <c r="G19" s="562"/>
      <c r="H19" s="565">
        <f>SUMIF(87:87,G20,88:88)-SUMIF(87:87,C20,88:88)+100</f>
        <v>106</v>
      </c>
      <c r="I19" s="564"/>
      <c r="J19" s="559">
        <f>SUMIF(87:87,I20,88:88)-SUMIF(87:87,C20,88:88)+100</f>
        <v>106</v>
      </c>
      <c r="K19" s="535">
        <v>3</v>
      </c>
      <c r="L19" s="2143"/>
      <c r="M19" s="2135"/>
      <c r="N19" s="2135"/>
      <c r="O19" s="2142"/>
      <c r="P19" s="3675"/>
      <c r="Q19" s="1572" t="str">
        <f>B19</f>
        <v>交通便捷度</v>
      </c>
      <c r="R19" s="1573" t="s">
        <v>8</v>
      </c>
      <c r="S19" s="1574">
        <f>F19</f>
        <v>106</v>
      </c>
      <c r="T19" s="1573" t="s">
        <v>8</v>
      </c>
      <c r="U19" s="1574">
        <f>H19</f>
        <v>106</v>
      </c>
      <c r="V19" s="1573" t="s">
        <v>8</v>
      </c>
      <c r="W19" s="1574">
        <f>J19</f>
        <v>106</v>
      </c>
      <c r="X19" s="1567"/>
      <c r="Y19" s="3675"/>
      <c r="Z19" s="1575" t="str">
        <f>Q19</f>
        <v>交通便捷度</v>
      </c>
      <c r="AA19" s="1576">
        <f t="shared" si="3"/>
        <v>0.94339622641509435</v>
      </c>
      <c r="AB19" s="1576">
        <f t="shared" si="4"/>
        <v>0.94339622641509435</v>
      </c>
      <c r="AC19" s="1576">
        <f t="shared" si="5"/>
        <v>0.94339622641509435</v>
      </c>
    </row>
    <row r="20" spans="1:29" ht="15">
      <c r="A20" s="532"/>
      <c r="B20" s="922"/>
      <c r="C20" s="576" t="s">
        <v>3212</v>
      </c>
      <c r="D20" s="555"/>
      <c r="E20" s="556" t="s">
        <v>3215</v>
      </c>
      <c r="F20" s="555"/>
      <c r="G20" s="556" t="s">
        <v>3215</v>
      </c>
      <c r="H20" s="555"/>
      <c r="I20" s="558" t="s">
        <v>3215</v>
      </c>
      <c r="J20" s="555"/>
      <c r="K20" s="531"/>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7">
      <c r="A21" s="515"/>
      <c r="B21" s="871" t="s">
        <v>545</v>
      </c>
      <c r="C21" s="872">
        <f>估价对象房地状况!G17</f>
        <v>0</v>
      </c>
      <c r="D21" s="559">
        <v>100</v>
      </c>
      <c r="E21" s="562"/>
      <c r="F21" s="563">
        <f>SUMIF(89:89,E22,90:90)-SUMIF(89:89,C22,90:90)+100</f>
        <v>106</v>
      </c>
      <c r="G21" s="564"/>
      <c r="H21" s="563">
        <f>SUMIF(89:89,G22,90:90)-SUMIF(89:89,C22,90:90)+100</f>
        <v>106</v>
      </c>
      <c r="I21" s="564"/>
      <c r="J21" s="563">
        <f>SUMIF(89:89,I22,90:90)-SUMIF(89:89,C22,90:90)+100</f>
        <v>106</v>
      </c>
      <c r="K21" s="1008">
        <v>2</v>
      </c>
      <c r="L21" s="2143"/>
      <c r="M21" s="2135"/>
      <c r="N21" s="2135"/>
      <c r="O21" s="2142"/>
      <c r="P21" s="3675"/>
      <c r="Q21" s="1572" t="str">
        <f t="shared" ref="Q21:Q35" si="8">B21</f>
        <v>区域土地利用方向</v>
      </c>
      <c r="R21" s="1573" t="s">
        <v>8</v>
      </c>
      <c r="S21" s="1574">
        <f>F21</f>
        <v>106</v>
      </c>
      <c r="T21" s="1573" t="s">
        <v>8</v>
      </c>
      <c r="U21" s="1574">
        <f>H21</f>
        <v>106</v>
      </c>
      <c r="V21" s="1573" t="s">
        <v>8</v>
      </c>
      <c r="W21" s="1574">
        <f>J21</f>
        <v>106</v>
      </c>
      <c r="X21" s="1567"/>
      <c r="Y21" s="3675"/>
      <c r="Z21" s="1575" t="str">
        <f>Q21</f>
        <v>区域土地利用方向</v>
      </c>
      <c r="AA21" s="1576">
        <f t="shared" si="3"/>
        <v>0.94339622641509435</v>
      </c>
      <c r="AB21" s="1576">
        <f t="shared" si="4"/>
        <v>0.94339622641509435</v>
      </c>
      <c r="AC21" s="1576">
        <f t="shared" si="5"/>
        <v>0.94339622641509435</v>
      </c>
    </row>
    <row r="22" spans="1:29" ht="15">
      <c r="A22" s="515"/>
      <c r="B22" s="595"/>
      <c r="C22" s="576" t="s">
        <v>3212</v>
      </c>
      <c r="D22" s="555"/>
      <c r="E22" s="556" t="s">
        <v>3214</v>
      </c>
      <c r="F22" s="557"/>
      <c r="G22" s="558" t="s">
        <v>3214</v>
      </c>
      <c r="H22" s="557"/>
      <c r="I22" s="558" t="s">
        <v>3214</v>
      </c>
      <c r="J22" s="557"/>
      <c r="K22" s="1348"/>
      <c r="L22" s="2143"/>
      <c r="M22" s="2135"/>
      <c r="N22" s="2135"/>
      <c r="O22" s="2142"/>
      <c r="P22" s="3675"/>
      <c r="Q22" s="1572"/>
      <c r="R22" s="1573"/>
      <c r="S22" s="1574"/>
      <c r="T22" s="1573"/>
      <c r="U22" s="1574"/>
      <c r="V22" s="1573"/>
      <c r="W22" s="1574"/>
      <c r="X22" s="1567"/>
      <c r="Y22" s="3675"/>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43"/>
      <c r="M23" s="2135"/>
      <c r="N23" s="2135"/>
      <c r="O23" s="2142"/>
      <c r="P23" s="3675"/>
      <c r="Q23" s="1572" t="str">
        <f t="shared" si="8"/>
        <v>环境状况</v>
      </c>
      <c r="R23" s="1573" t="s">
        <v>8</v>
      </c>
      <c r="S23" s="1574">
        <f>F23</f>
        <v>100</v>
      </c>
      <c r="T23" s="1573" t="s">
        <v>8</v>
      </c>
      <c r="U23" s="1574">
        <f>H23</f>
        <v>100</v>
      </c>
      <c r="V23" s="1573" t="s">
        <v>8</v>
      </c>
      <c r="W23" s="1574">
        <f>J23</f>
        <v>100</v>
      </c>
      <c r="X23" s="1567"/>
      <c r="Y23" s="3675"/>
      <c r="Z23" s="1575" t="str">
        <f>Q23</f>
        <v>环境状况</v>
      </c>
      <c r="AA23" s="1576">
        <f t="shared" si="3"/>
        <v>1</v>
      </c>
      <c r="AB23" s="1576">
        <f t="shared" si="4"/>
        <v>1</v>
      </c>
      <c r="AC23" s="1576">
        <f t="shared" si="5"/>
        <v>1</v>
      </c>
    </row>
    <row r="24" spans="1:29" ht="15">
      <c r="A24" s="515"/>
      <c r="B24" s="595"/>
      <c r="C24" s="576" t="s">
        <v>3215</v>
      </c>
      <c r="D24" s="555"/>
      <c r="E24" s="554" t="s">
        <v>3215</v>
      </c>
      <c r="F24" s="555"/>
      <c r="G24" s="554" t="s">
        <v>3215</v>
      </c>
      <c r="H24" s="555"/>
      <c r="I24" s="576" t="s">
        <v>3215</v>
      </c>
      <c r="J24" s="555"/>
      <c r="K24" s="531"/>
      <c r="L24" s="2143"/>
      <c r="M24" s="2135"/>
      <c r="N24" s="2135"/>
      <c r="O24" s="2142"/>
      <c r="P24" s="3675"/>
      <c r="Q24" s="1572"/>
      <c r="R24" s="1573"/>
      <c r="S24" s="1574"/>
      <c r="T24" s="1573"/>
      <c r="U24" s="1574"/>
      <c r="V24" s="1573"/>
      <c r="W24" s="1574"/>
      <c r="X24" s="1567"/>
      <c r="Y24" s="3675"/>
      <c r="Z24" s="1575"/>
      <c r="AA24" s="1576">
        <v>1</v>
      </c>
      <c r="AB24" s="1576">
        <v>1</v>
      </c>
      <c r="AC24" s="1576">
        <v>1</v>
      </c>
    </row>
    <row r="25" spans="1:29" s="1220" customFormat="1" ht="42.75">
      <c r="A25" s="577"/>
      <c r="B25" s="2618"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102</v>
      </c>
      <c r="K25" s="535">
        <v>2</v>
      </c>
      <c r="L25" s="2136"/>
      <c r="M25" s="2137"/>
      <c r="N25" s="2137"/>
      <c r="O25" s="2138"/>
      <c r="P25" s="3675"/>
      <c r="Q25" s="1151" t="str">
        <f t="shared" si="8"/>
        <v>公共配套设施</v>
      </c>
      <c r="R25" s="1568" t="s">
        <v>8</v>
      </c>
      <c r="S25" s="1569">
        <f>F25</f>
        <v>100</v>
      </c>
      <c r="T25" s="1568" t="s">
        <v>8</v>
      </c>
      <c r="U25" s="1569">
        <f>H25</f>
        <v>100</v>
      </c>
      <c r="V25" s="1568" t="s">
        <v>8</v>
      </c>
      <c r="W25" s="1569">
        <f>J25</f>
        <v>102</v>
      </c>
      <c r="X25" s="1570"/>
      <c r="Y25" s="3675"/>
      <c r="Z25" s="1150" t="str">
        <f>Q25</f>
        <v>公共配套设施</v>
      </c>
      <c r="AA25" s="1576">
        <f>D25/F25</f>
        <v>1</v>
      </c>
      <c r="AB25" s="1576">
        <f>D25/H25</f>
        <v>1</v>
      </c>
      <c r="AC25" s="1576">
        <f>D25/J25</f>
        <v>0.98039215686274506</v>
      </c>
    </row>
    <row r="26" spans="1:29" s="1220" customFormat="1" ht="15">
      <c r="A26" s="577"/>
      <c r="B26" s="595"/>
      <c r="C26" s="2617" t="s">
        <v>3213</v>
      </c>
      <c r="D26" s="555"/>
      <c r="E26" s="554" t="s">
        <v>3213</v>
      </c>
      <c r="F26" s="555"/>
      <c r="G26" s="554" t="s">
        <v>3213</v>
      </c>
      <c r="H26" s="555"/>
      <c r="I26" s="576" t="s">
        <v>3215</v>
      </c>
      <c r="J26" s="555"/>
      <c r="K26" s="531"/>
      <c r="L26" s="2136"/>
      <c r="M26" s="2137"/>
      <c r="N26" s="2137"/>
      <c r="O26" s="2138"/>
      <c r="P26" s="3675"/>
      <c r="Q26" s="1151"/>
      <c r="R26" s="1568"/>
      <c r="S26" s="1569"/>
      <c r="T26" s="1568"/>
      <c r="U26" s="1569"/>
      <c r="V26" s="1568"/>
      <c r="W26" s="1569"/>
      <c r="X26" s="1570"/>
      <c r="Y26" s="3675"/>
      <c r="Z26" s="1150"/>
      <c r="AA26" s="1571">
        <v>1</v>
      </c>
      <c r="AB26" s="1571">
        <v>1</v>
      </c>
      <c r="AC26" s="1571">
        <v>1</v>
      </c>
    </row>
    <row r="27" spans="1:29" s="1220" customFormat="1" ht="28.5">
      <c r="A27" s="577"/>
      <c r="B27" s="2618"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6"/>
      <c r="M27" s="2137"/>
      <c r="N27" s="2137"/>
      <c r="O27" s="2138"/>
      <c r="P27" s="3675"/>
      <c r="Q27" s="2603" t="str">
        <f t="shared" ref="Q27" si="9">B27</f>
        <v>基础设施水平</v>
      </c>
      <c r="R27" s="1568" t="s">
        <v>8</v>
      </c>
      <c r="S27" s="1569">
        <f>F27</f>
        <v>100</v>
      </c>
      <c r="T27" s="1568" t="s">
        <v>8</v>
      </c>
      <c r="U27" s="1569">
        <f>H27</f>
        <v>100</v>
      </c>
      <c r="V27" s="1568" t="s">
        <v>8</v>
      </c>
      <c r="W27" s="1569">
        <f>J27</f>
        <v>100</v>
      </c>
      <c r="X27" s="1570"/>
      <c r="Y27" s="3675"/>
      <c r="Z27" s="2600" t="str">
        <f>Q27</f>
        <v>基础设施水平</v>
      </c>
      <c r="AA27" s="1576">
        <f>D27/F27</f>
        <v>1</v>
      </c>
      <c r="AB27" s="1576">
        <f>D27/H27</f>
        <v>1</v>
      </c>
      <c r="AC27" s="1576">
        <f>D27/J27</f>
        <v>1</v>
      </c>
    </row>
    <row r="28" spans="1:29" s="1220" customFormat="1" ht="15">
      <c r="A28" s="577"/>
      <c r="B28" s="595"/>
      <c r="C28" s="2617" t="s">
        <v>3231</v>
      </c>
      <c r="D28" s="555"/>
      <c r="E28" s="579" t="s">
        <v>3231</v>
      </c>
      <c r="F28" s="555"/>
      <c r="G28" s="579" t="s">
        <v>3231</v>
      </c>
      <c r="H28" s="555"/>
      <c r="I28" s="579" t="s">
        <v>3231</v>
      </c>
      <c r="J28" s="555"/>
      <c r="K28" s="531"/>
      <c r="L28" s="2136"/>
      <c r="M28" s="2137"/>
      <c r="N28" s="2137"/>
      <c r="O28" s="2138"/>
      <c r="P28" s="3675"/>
      <c r="Q28" s="2603"/>
      <c r="R28" s="1568"/>
      <c r="S28" s="1569"/>
      <c r="T28" s="1568"/>
      <c r="U28" s="1569"/>
      <c r="V28" s="1568"/>
      <c r="W28" s="1569"/>
      <c r="X28" s="1570"/>
      <c r="Y28" s="3675"/>
      <c r="Z28" s="2600"/>
      <c r="AA28" s="1571">
        <v>1</v>
      </c>
      <c r="AB28" s="1571">
        <v>1</v>
      </c>
      <c r="AC28" s="1571">
        <v>1</v>
      </c>
    </row>
    <row r="29" spans="1:29" ht="15">
      <c r="A29" s="532"/>
      <c r="B29" s="595" t="s">
        <v>548</v>
      </c>
      <c r="C29" s="583" t="s">
        <v>3245</v>
      </c>
      <c r="D29" s="540">
        <v>100</v>
      </c>
      <c r="E29" s="580" t="s">
        <v>3232</v>
      </c>
      <c r="F29" s="540">
        <f>SUMIF(97:97,E29,98:98)-SUMIF(97:97,C29,98:98)+100</f>
        <v>102</v>
      </c>
      <c r="G29" s="580" t="s">
        <v>3245</v>
      </c>
      <c r="H29" s="540">
        <f>SUMIF(97:97,G29,98:98)-SUMIF(97:97,C29,98:98)+100</f>
        <v>100</v>
      </c>
      <c r="I29" s="580" t="s">
        <v>3232</v>
      </c>
      <c r="J29" s="540">
        <f>SUMIF(97:97,I29,98:98)-SUMIF(97:97,C29,98:98)+100</f>
        <v>102</v>
      </c>
      <c r="K29" s="535">
        <v>1</v>
      </c>
      <c r="L29" s="2143"/>
      <c r="M29" s="2135"/>
      <c r="N29" s="2135"/>
      <c r="O29" s="2142"/>
      <c r="P29" s="3675"/>
      <c r="Q29" s="1572" t="str">
        <f t="shared" si="8"/>
        <v>临街状况</v>
      </c>
      <c r="R29" s="1573" t="s">
        <v>8</v>
      </c>
      <c r="S29" s="1574">
        <f t="shared" ref="S29:S42" si="10">F29</f>
        <v>102</v>
      </c>
      <c r="T29" s="1573" t="s">
        <v>8</v>
      </c>
      <c r="U29" s="1574">
        <f t="shared" ref="U29:U42" si="11">H29</f>
        <v>100</v>
      </c>
      <c r="V29" s="1573" t="s">
        <v>8</v>
      </c>
      <c r="W29" s="1574">
        <f t="shared" ref="W29:W42" si="12">J29</f>
        <v>102</v>
      </c>
      <c r="X29" s="1567"/>
      <c r="Y29" s="3675"/>
      <c r="Z29" s="1575" t="str">
        <f t="shared" ref="Z29:Z42" si="13">Q29</f>
        <v>临街状况</v>
      </c>
      <c r="AA29" s="1576">
        <f t="shared" si="3"/>
        <v>0.98039215686274506</v>
      </c>
      <c r="AB29" s="1576">
        <f t="shared" si="4"/>
        <v>1</v>
      </c>
      <c r="AC29" s="1576">
        <f t="shared" si="5"/>
        <v>0.98039215686274506</v>
      </c>
    </row>
    <row r="30" spans="1:29" ht="27">
      <c r="A30" s="532"/>
      <c r="B30" s="922" t="s">
        <v>549</v>
      </c>
      <c r="C30" s="2620" t="str">
        <f>估价对象房地状况!G22</f>
        <v>城市支路</v>
      </c>
      <c r="D30" s="559">
        <v>100</v>
      </c>
      <c r="E30" s="562"/>
      <c r="F30" s="559">
        <f>SUMIF(99:99,E31,100:100)-SUMIF(99:99,C31,100:100)+100</f>
        <v>104</v>
      </c>
      <c r="G30" s="562"/>
      <c r="H30" s="559">
        <f>SUMIF(99:99,G31,100:100)-SUMIF(99:99,C31,100:100)+100</f>
        <v>102</v>
      </c>
      <c r="I30" s="564"/>
      <c r="J30" s="559">
        <f>SUMIF(99:99,I31,100:100)-SUMIF(99:99,C31,100:100)+100</f>
        <v>102</v>
      </c>
      <c r="K30" s="535">
        <v>2</v>
      </c>
      <c r="L30" s="2143"/>
      <c r="M30" s="2135"/>
      <c r="N30" s="2135"/>
      <c r="O30" s="2142"/>
      <c r="P30" s="3675"/>
      <c r="Q30" s="1572" t="str">
        <f t="shared" si="8"/>
        <v>毗邻道路的类型与等级</v>
      </c>
      <c r="R30" s="1573" t="s">
        <v>8</v>
      </c>
      <c r="S30" s="1574">
        <f t="shared" si="10"/>
        <v>104</v>
      </c>
      <c r="T30" s="1573" t="s">
        <v>8</v>
      </c>
      <c r="U30" s="1574">
        <f t="shared" si="11"/>
        <v>102</v>
      </c>
      <c r="V30" s="1573" t="s">
        <v>8</v>
      </c>
      <c r="W30" s="1574">
        <f t="shared" si="12"/>
        <v>102</v>
      </c>
      <c r="X30" s="1567"/>
      <c r="Y30" s="3675"/>
      <c r="Z30" s="1575" t="str">
        <f t="shared" si="13"/>
        <v>毗邻道路的类型与等级</v>
      </c>
      <c r="AA30" s="1576">
        <f t="shared" si="3"/>
        <v>0.96153846153846156</v>
      </c>
      <c r="AB30" s="1576">
        <f t="shared" si="4"/>
        <v>0.98039215686274506</v>
      </c>
      <c r="AC30" s="1576">
        <f t="shared" si="5"/>
        <v>0.98039215686274506</v>
      </c>
    </row>
    <row r="31" spans="1:29" ht="15">
      <c r="A31" s="532"/>
      <c r="B31" s="595"/>
      <c r="C31" s="576" t="s">
        <v>3246</v>
      </c>
      <c r="D31" s="555"/>
      <c r="E31" s="576" t="s">
        <v>3248</v>
      </c>
      <c r="F31" s="555"/>
      <c r="G31" s="576" t="s">
        <v>3249</v>
      </c>
      <c r="H31" s="555"/>
      <c r="I31" s="576" t="s">
        <v>3249</v>
      </c>
      <c r="J31" s="555"/>
      <c r="K31" s="581"/>
      <c r="L31" s="2143"/>
      <c r="M31" s="2135"/>
      <c r="N31" s="2135"/>
      <c r="O31" s="2142"/>
      <c r="P31" s="3675"/>
      <c r="Q31" s="1572"/>
      <c r="R31" s="1573"/>
      <c r="S31" s="1574"/>
      <c r="T31" s="1573"/>
      <c r="U31" s="1574"/>
      <c r="V31" s="1573"/>
      <c r="W31" s="1574"/>
      <c r="X31" s="1567"/>
      <c r="Y31" s="3675"/>
      <c r="Z31" s="1575"/>
      <c r="AA31" s="1576">
        <v>1</v>
      </c>
      <c r="AB31" s="1576">
        <v>1</v>
      </c>
      <c r="AC31" s="1576">
        <v>1</v>
      </c>
    </row>
    <row r="32" spans="1:29" ht="15">
      <c r="A32" s="532"/>
      <c r="B32" s="527" t="s">
        <v>550</v>
      </c>
      <c r="C32" s="2621" t="str">
        <f>估价对象房地状况!G23</f>
        <v>七级</v>
      </c>
      <c r="D32" s="540">
        <v>100</v>
      </c>
      <c r="E32" s="580" t="s">
        <v>1415</v>
      </c>
      <c r="F32" s="540">
        <f>SUMIF(101:101,E32,102:102)-SUMIF(101:101,C32,102:102)+100</f>
        <v>85</v>
      </c>
      <c r="G32" s="580" t="s">
        <v>1415</v>
      </c>
      <c r="H32" s="540">
        <f>SUMIF(101:101,G32,102:102)-SUMIF(101:101,C32,102:102)+100</f>
        <v>85</v>
      </c>
      <c r="I32" s="580" t="s">
        <v>1415</v>
      </c>
      <c r="J32" s="540">
        <f>SUMIF(101:101,I32,102:102)-SUMIF(101:101,C32,102:102)+100</f>
        <v>85</v>
      </c>
      <c r="K32" s="584">
        <v>15</v>
      </c>
      <c r="L32" s="2143"/>
      <c r="M32" s="2135"/>
      <c r="N32" s="2135"/>
      <c r="O32" s="2142"/>
      <c r="P32" s="3675"/>
      <c r="Q32" s="1572" t="str">
        <f t="shared" si="8"/>
        <v>土地级别</v>
      </c>
      <c r="R32" s="1573" t="s">
        <v>8</v>
      </c>
      <c r="S32" s="1574">
        <f t="shared" si="10"/>
        <v>85</v>
      </c>
      <c r="T32" s="1573" t="s">
        <v>8</v>
      </c>
      <c r="U32" s="1574">
        <f t="shared" si="11"/>
        <v>85</v>
      </c>
      <c r="V32" s="1573" t="s">
        <v>8</v>
      </c>
      <c r="W32" s="1574">
        <f t="shared" si="12"/>
        <v>85</v>
      </c>
      <c r="X32" s="1567"/>
      <c r="Y32" s="3675"/>
      <c r="Z32" s="1575" t="str">
        <f t="shared" si="13"/>
        <v>土地级别</v>
      </c>
      <c r="AA32" s="1576">
        <f t="shared" si="3"/>
        <v>1.1764705882352942</v>
      </c>
      <c r="AB32" s="1576">
        <f t="shared" si="4"/>
        <v>1.1764705882352942</v>
      </c>
      <c r="AC32" s="1576">
        <f t="shared" si="5"/>
        <v>1.1764705882352942</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75"/>
      <c r="Q33" s="1572">
        <f t="shared" si="8"/>
        <v>111</v>
      </c>
      <c r="R33" s="1573" t="s">
        <v>8</v>
      </c>
      <c r="S33" s="1574">
        <f t="shared" si="10"/>
        <v>100</v>
      </c>
      <c r="T33" s="1573" t="s">
        <v>8</v>
      </c>
      <c r="U33" s="1574">
        <f t="shared" si="11"/>
        <v>100</v>
      </c>
      <c r="V33" s="1573" t="s">
        <v>8</v>
      </c>
      <c r="W33" s="1574">
        <f t="shared" si="12"/>
        <v>100</v>
      </c>
      <c r="X33" s="1567"/>
      <c r="Y33" s="367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76" t="s">
        <v>551</v>
      </c>
      <c r="Q34" s="1572">
        <f t="shared" si="8"/>
        <v>111</v>
      </c>
      <c r="R34" s="1573" t="s">
        <v>8</v>
      </c>
      <c r="S34" s="1574">
        <f t="shared" si="10"/>
        <v>100</v>
      </c>
      <c r="T34" s="1573" t="s">
        <v>8</v>
      </c>
      <c r="U34" s="1574">
        <f t="shared" si="11"/>
        <v>100</v>
      </c>
      <c r="V34" s="1573" t="s">
        <v>8</v>
      </c>
      <c r="W34" s="1574">
        <f t="shared" si="12"/>
        <v>100</v>
      </c>
      <c r="X34" s="1567"/>
      <c r="Y34" s="3677"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77"/>
      <c r="Q35" s="1572">
        <f t="shared" si="8"/>
        <v>111</v>
      </c>
      <c r="R35" s="1577" t="s">
        <v>8</v>
      </c>
      <c r="S35" s="1578">
        <f t="shared" si="10"/>
        <v>100</v>
      </c>
      <c r="T35" s="1577" t="s">
        <v>8</v>
      </c>
      <c r="U35" s="1578">
        <f t="shared" si="11"/>
        <v>100</v>
      </c>
      <c r="V35" s="1577" t="s">
        <v>8</v>
      </c>
      <c r="W35" s="1578">
        <f t="shared" si="12"/>
        <v>100</v>
      </c>
      <c r="X35" s="1579"/>
      <c r="Y35" s="3677"/>
      <c r="Z35" s="1580">
        <f t="shared" si="13"/>
        <v>111</v>
      </c>
      <c r="AA35" s="1576">
        <f t="shared" si="3"/>
        <v>1</v>
      </c>
      <c r="AB35" s="1576">
        <f t="shared" si="4"/>
        <v>1</v>
      </c>
      <c r="AC35" s="1576">
        <f t="shared" si="5"/>
        <v>1</v>
      </c>
    </row>
    <row r="36" spans="1:29" ht="15">
      <c r="A36" s="2933" t="s">
        <v>2762</v>
      </c>
      <c r="B36" s="595" t="s">
        <v>553</v>
      </c>
      <c r="C36" s="596">
        <v>100</v>
      </c>
      <c r="D36" s="597">
        <v>100</v>
      </c>
      <c r="E36" s="596">
        <v>4280.58</v>
      </c>
      <c r="F36" s="597">
        <f>LOOKUP(E36,110:110,111:111)-LOOKUP(C36,110:110,111:111)+100</f>
        <v>98</v>
      </c>
      <c r="G36" s="596">
        <v>11912.8</v>
      </c>
      <c r="H36" s="597">
        <f>LOOKUP(G36,110:110,111:111)-LOOKUP(C36,110:110,111:111)+100</f>
        <v>98</v>
      </c>
      <c r="I36" s="598">
        <v>100</v>
      </c>
      <c r="J36" s="597">
        <f>LOOKUP(I36,110:110,111:111)-LOOKUP(C36,110:110,111:111)+100</f>
        <v>100</v>
      </c>
      <c r="K36" s="581"/>
      <c r="L36" s="2143"/>
      <c r="M36" s="2135"/>
      <c r="N36" s="2135"/>
      <c r="O36" s="2142"/>
      <c r="P36" s="3677"/>
      <c r="Q36" s="1572" t="str">
        <f>B36</f>
        <v>宗地面积</v>
      </c>
      <c r="R36" s="1573" t="s">
        <v>8</v>
      </c>
      <c r="S36" s="1574">
        <f t="shared" si="10"/>
        <v>98</v>
      </c>
      <c r="T36" s="1573" t="s">
        <v>8</v>
      </c>
      <c r="U36" s="1574">
        <f t="shared" si="11"/>
        <v>98</v>
      </c>
      <c r="V36" s="1573" t="s">
        <v>8</v>
      </c>
      <c r="W36" s="1574">
        <f t="shared" si="12"/>
        <v>100</v>
      </c>
      <c r="X36" s="1567"/>
      <c r="Y36" s="3677"/>
      <c r="Z36" s="1575" t="str">
        <f t="shared" si="13"/>
        <v>宗地面积</v>
      </c>
      <c r="AA36" s="1576">
        <f t="shared" si="3"/>
        <v>1.0204081632653061</v>
      </c>
      <c r="AB36" s="1576">
        <f t="shared" si="4"/>
        <v>1.0204081632653061</v>
      </c>
      <c r="AC36" s="1576">
        <f t="shared" si="5"/>
        <v>1</v>
      </c>
    </row>
    <row r="37" spans="1:29" ht="15">
      <c r="A37" s="594"/>
      <c r="B37" s="527" t="s">
        <v>554</v>
      </c>
      <c r="C37" s="599" t="s">
        <v>3233</v>
      </c>
      <c r="D37" s="540">
        <v>100</v>
      </c>
      <c r="E37" s="599" t="s">
        <v>3233</v>
      </c>
      <c r="F37" s="540">
        <f>SUMIF(112:112,E37,113:113)-SUMIF(112:112,C37,113:113)+100</f>
        <v>100</v>
      </c>
      <c r="G37" s="599" t="s">
        <v>3233</v>
      </c>
      <c r="H37" s="540">
        <f>SUMIF(112:112,G37,113:113)-SUMIF(112:112,C37,113:113)+100</f>
        <v>100</v>
      </c>
      <c r="I37" s="599" t="s">
        <v>3233</v>
      </c>
      <c r="J37" s="540">
        <f>SUMIF(112:112,I37,113:113)-SUMIF(112:112,C37,113:113)+100</f>
        <v>100</v>
      </c>
      <c r="K37" s="584">
        <v>1</v>
      </c>
      <c r="L37" s="2143"/>
      <c r="M37" s="2135"/>
      <c r="N37" s="2135"/>
      <c r="O37" s="2142"/>
      <c r="P37" s="3677"/>
      <c r="Q37" s="1572" t="str">
        <f t="shared" ref="Q37:Q42" si="14">B37</f>
        <v>宗地形状</v>
      </c>
      <c r="R37" s="1573" t="s">
        <v>8</v>
      </c>
      <c r="S37" s="1574">
        <f t="shared" si="10"/>
        <v>100</v>
      </c>
      <c r="T37" s="1573" t="s">
        <v>8</v>
      </c>
      <c r="U37" s="1574">
        <f t="shared" si="11"/>
        <v>100</v>
      </c>
      <c r="V37" s="1573" t="s">
        <v>8</v>
      </c>
      <c r="W37" s="1574">
        <f t="shared" si="12"/>
        <v>100</v>
      </c>
      <c r="X37" s="1567"/>
      <c r="Y37" s="3677"/>
      <c r="Z37" s="1575" t="str">
        <f t="shared" si="13"/>
        <v>宗地形状</v>
      </c>
      <c r="AA37" s="1576">
        <f t="shared" si="3"/>
        <v>1</v>
      </c>
      <c r="AB37" s="1576">
        <f t="shared" si="4"/>
        <v>1</v>
      </c>
      <c r="AC37" s="1576">
        <f t="shared" si="5"/>
        <v>1</v>
      </c>
    </row>
    <row r="38" spans="1:29" s="1220" customFormat="1" ht="15">
      <c r="A38" s="600"/>
      <c r="B38" s="1896" t="s">
        <v>2429</v>
      </c>
      <c r="C38" s="601" t="s">
        <v>3209</v>
      </c>
      <c r="D38" s="255">
        <v>100</v>
      </c>
      <c r="E38" s="601" t="s">
        <v>3220</v>
      </c>
      <c r="F38" s="540">
        <f>SUMIF(114:114,E38,115:115)-SUMIF(114:114,C38,115:115)+100</f>
        <v>96</v>
      </c>
      <c r="G38" s="601" t="s">
        <v>3223</v>
      </c>
      <c r="H38" s="540">
        <f>SUMIF(114:114,G38,115:115)-SUMIF(114:114,C38,115:115)+100</f>
        <v>92</v>
      </c>
      <c r="I38" s="601" t="s">
        <v>3209</v>
      </c>
      <c r="J38" s="540">
        <f>SUMIF(114:114,I38,115:115)-SUMIF(114:114,C38,115:115)+100</f>
        <v>100</v>
      </c>
      <c r="K38" s="584">
        <v>2</v>
      </c>
      <c r="L38" s="2136"/>
      <c r="M38" s="2137"/>
      <c r="N38" s="2137"/>
      <c r="O38" s="2138"/>
      <c r="P38" s="3677"/>
      <c r="Q38" s="1572" t="str">
        <f t="shared" si="14"/>
        <v>宗地开发程度</v>
      </c>
      <c r="R38" s="1568" t="s">
        <v>8</v>
      </c>
      <c r="S38" s="1569">
        <f t="shared" si="10"/>
        <v>96</v>
      </c>
      <c r="T38" s="1568" t="s">
        <v>8</v>
      </c>
      <c r="U38" s="1569">
        <f t="shared" si="11"/>
        <v>92</v>
      </c>
      <c r="V38" s="1568" t="s">
        <v>8</v>
      </c>
      <c r="W38" s="1569">
        <f t="shared" si="12"/>
        <v>100</v>
      </c>
      <c r="X38" s="1570"/>
      <c r="Y38" s="3677"/>
      <c r="Z38" s="1150" t="str">
        <f t="shared" si="13"/>
        <v>宗地开发程度</v>
      </c>
      <c r="AA38" s="1571">
        <f t="shared" si="3"/>
        <v>1.0416666666666667</v>
      </c>
      <c r="AB38" s="1571">
        <f t="shared" si="4"/>
        <v>1.0869565217391304</v>
      </c>
      <c r="AC38" s="1571">
        <f t="shared" si="5"/>
        <v>1</v>
      </c>
    </row>
    <row r="39" spans="1:29" ht="15">
      <c r="A39" s="594"/>
      <c r="B39" s="527" t="s">
        <v>556</v>
      </c>
      <c r="C39" s="599" t="s">
        <v>3215</v>
      </c>
      <c r="D39" s="540">
        <v>100</v>
      </c>
      <c r="E39" s="599" t="s">
        <v>3215</v>
      </c>
      <c r="F39" s="540">
        <f>SUMIF(116:116,E39,117:117)-SUMIF(116:116,C39,117:117)+100</f>
        <v>100</v>
      </c>
      <c r="G39" s="599" t="s">
        <v>3215</v>
      </c>
      <c r="H39" s="540">
        <f>SUMIF(116:116,G39,117:117)-SUMIF(116:116,C39,117:117)+100</f>
        <v>100</v>
      </c>
      <c r="I39" s="599" t="s">
        <v>3215</v>
      </c>
      <c r="J39" s="540">
        <f>SUMIF(116:116,I39,117:117)-SUMIF(116:116,C39,117:117)+100</f>
        <v>100</v>
      </c>
      <c r="K39" s="584"/>
      <c r="L39" s="2143"/>
      <c r="M39" s="2135"/>
      <c r="N39" s="2135"/>
      <c r="O39" s="2142"/>
      <c r="P39" s="3677" t="s">
        <v>602</v>
      </c>
      <c r="Q39" s="1572" t="str">
        <f t="shared" si="14"/>
        <v>工程地质条件</v>
      </c>
      <c r="R39" s="1573" t="s">
        <v>8</v>
      </c>
      <c r="S39" s="1574">
        <f t="shared" si="10"/>
        <v>100</v>
      </c>
      <c r="T39" s="1573" t="s">
        <v>8</v>
      </c>
      <c r="U39" s="1574">
        <f t="shared" si="11"/>
        <v>100</v>
      </c>
      <c r="V39" s="1573" t="s">
        <v>8</v>
      </c>
      <c r="W39" s="1574">
        <f t="shared" si="12"/>
        <v>100</v>
      </c>
      <c r="X39" s="1567"/>
      <c r="Y39" s="367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77"/>
      <c r="Q40" s="1572">
        <f t="shared" si="14"/>
        <v>111</v>
      </c>
      <c r="R40" s="1573" t="s">
        <v>8</v>
      </c>
      <c r="S40" s="1574">
        <f t="shared" si="10"/>
        <v>100</v>
      </c>
      <c r="T40" s="1573" t="s">
        <v>8</v>
      </c>
      <c r="U40" s="1574">
        <f t="shared" si="11"/>
        <v>100</v>
      </c>
      <c r="V40" s="1573" t="s">
        <v>8</v>
      </c>
      <c r="W40" s="1574">
        <f t="shared" si="12"/>
        <v>100</v>
      </c>
      <c r="X40" s="1567"/>
      <c r="Y40" s="367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77"/>
      <c r="Q41" s="1572">
        <f t="shared" si="14"/>
        <v>111</v>
      </c>
      <c r="R41" s="1573" t="s">
        <v>8</v>
      </c>
      <c r="S41" s="1574">
        <f t="shared" si="10"/>
        <v>100</v>
      </c>
      <c r="T41" s="1573" t="s">
        <v>8</v>
      </c>
      <c r="U41" s="1574">
        <f t="shared" si="11"/>
        <v>100</v>
      </c>
      <c r="V41" s="1573" t="s">
        <v>8</v>
      </c>
      <c r="W41" s="1574">
        <f t="shared" si="12"/>
        <v>100</v>
      </c>
      <c r="X41" s="1567"/>
      <c r="Y41" s="367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77"/>
      <c r="Q42" s="1572">
        <f t="shared" si="14"/>
        <v>111</v>
      </c>
      <c r="R42" s="1577" t="s">
        <v>8</v>
      </c>
      <c r="S42" s="1578">
        <f t="shared" si="10"/>
        <v>100</v>
      </c>
      <c r="T42" s="1577" t="s">
        <v>8</v>
      </c>
      <c r="U42" s="1578">
        <f t="shared" si="11"/>
        <v>100</v>
      </c>
      <c r="V42" s="1577" t="s">
        <v>8</v>
      </c>
      <c r="W42" s="1578">
        <f t="shared" si="12"/>
        <v>100</v>
      </c>
      <c r="X42" s="1579"/>
      <c r="Y42" s="3677"/>
      <c r="Z42" s="1580">
        <f t="shared" si="13"/>
        <v>111</v>
      </c>
      <c r="AA42" s="1576">
        <f t="shared" si="3"/>
        <v>1</v>
      </c>
      <c r="AB42" s="1576">
        <f t="shared" si="4"/>
        <v>1</v>
      </c>
      <c r="AC42" s="1576">
        <f t="shared" si="5"/>
        <v>1</v>
      </c>
    </row>
    <row r="43" spans="1:29" ht="15">
      <c r="A43" s="607" t="s">
        <v>557</v>
      </c>
      <c r="B43" s="608" t="s">
        <v>3239</v>
      </c>
      <c r="C43" s="609" t="s">
        <v>1</v>
      </c>
      <c r="D43" s="610"/>
      <c r="E43" s="611">
        <v>1875</v>
      </c>
      <c r="F43" s="612"/>
      <c r="G43" s="613">
        <v>1887</v>
      </c>
      <c r="H43" s="614"/>
      <c r="I43" s="611">
        <v>1500</v>
      </c>
      <c r="J43" s="614"/>
      <c r="K43" s="1340"/>
      <c r="L43" s="2145"/>
      <c r="M43" s="2135"/>
      <c r="N43" s="2135"/>
      <c r="O43" s="2146"/>
      <c r="P43" s="3672" t="str">
        <f>A43</f>
        <v>成交单价</v>
      </c>
      <c r="Q43" s="3672"/>
      <c r="R43" s="3686">
        <f>E43</f>
        <v>1875</v>
      </c>
      <c r="S43" s="3686"/>
      <c r="T43" s="3686">
        <f>G43</f>
        <v>1887</v>
      </c>
      <c r="U43" s="3686"/>
      <c r="V43" s="3686">
        <f>I43</f>
        <v>1500</v>
      </c>
      <c r="W43" s="3686"/>
      <c r="X43" s="1559"/>
      <c r="Y43" s="1581"/>
      <c r="Z43" s="1559"/>
      <c r="AA43" s="1559"/>
      <c r="AB43" s="1559"/>
      <c r="AC43" s="1559"/>
    </row>
    <row r="44" spans="1:29" ht="15.75" thickBot="1">
      <c r="A44" s="615" t="s">
        <v>2700</v>
      </c>
      <c r="B44" s="616"/>
      <c r="C44" s="617">
        <f>R45</f>
        <v>1846</v>
      </c>
      <c r="D44" s="618"/>
      <c r="E44" s="617">
        <f>R44</f>
        <v>1919</v>
      </c>
      <c r="F44" s="619"/>
      <c r="G44" s="620">
        <f>T44</f>
        <v>2107</v>
      </c>
      <c r="H44" s="618"/>
      <c r="I44" s="617">
        <f>V44</f>
        <v>1512</v>
      </c>
      <c r="J44" s="618"/>
      <c r="K44" s="1341"/>
      <c r="L44" s="2145"/>
      <c r="M44" s="2135"/>
      <c r="N44" s="2135"/>
      <c r="O44" s="2146"/>
      <c r="P44" s="3672" t="str">
        <f>A44</f>
        <v>比较价格（元/平方米）</v>
      </c>
      <c r="Q44" s="3672"/>
      <c r="R44" s="3696">
        <f>ROUND(PRODUCT(R43,AA9:AA42),0)</f>
        <v>1919</v>
      </c>
      <c r="S44" s="3696"/>
      <c r="T44" s="3696">
        <f>ROUND(PRODUCT(T43,AB9:AB42),0)</f>
        <v>2107</v>
      </c>
      <c r="U44" s="3696"/>
      <c r="V44" s="3696">
        <f>ROUND(PRODUCT(V43,AC9:AC42),0)</f>
        <v>1512</v>
      </c>
      <c r="W44" s="3696"/>
      <c r="X44" s="1559"/>
      <c r="Y44" s="1559"/>
      <c r="Z44" s="1559"/>
      <c r="AA44" s="1559"/>
      <c r="AB44" s="1559"/>
      <c r="AC44" s="1559"/>
    </row>
    <row r="45" spans="1:29" ht="15.75" thickBot="1">
      <c r="A45" s="621" t="s">
        <v>2942</v>
      </c>
      <c r="B45" s="622"/>
      <c r="C45" s="623">
        <f>R45</f>
        <v>1846</v>
      </c>
      <c r="D45" s="623"/>
      <c r="E45" s="623"/>
      <c r="F45" s="623"/>
      <c r="G45" s="623"/>
      <c r="H45" s="623"/>
      <c r="I45" s="623"/>
      <c r="J45" s="623"/>
      <c r="K45" s="1342"/>
      <c r="L45" s="2145"/>
      <c r="M45" s="2135"/>
      <c r="N45" s="2135"/>
      <c r="O45" s="2146"/>
      <c r="P45" s="3693" t="str">
        <f>A45</f>
        <v>估价对象XX用房的比较价格（楼面单价，元/平方米）</v>
      </c>
      <c r="Q45" s="3694"/>
      <c r="R45" s="3695">
        <f>ROUND(AVERAGE(R44:V44),0)</f>
        <v>1846</v>
      </c>
      <c r="S45" s="3695"/>
      <c r="T45" s="3695"/>
      <c r="U45" s="3695"/>
      <c r="V45" s="3695"/>
      <c r="W45" s="36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f>IF(E43&lt;E44,E44/E43-1,E43/E44-1)</f>
        <v>2.3466666666666747E-2</v>
      </c>
      <c r="F48" s="627" t="str">
        <f>IF(OR(E48&gt;=0.3,E48&lt;=-0.3),"超过30%","")</f>
        <v/>
      </c>
      <c r="G48" s="626">
        <f>IF(G43&lt;G44,G44/G43-1,G43/G44-1)</f>
        <v>0.11658717541070485</v>
      </c>
      <c r="H48" s="627" t="str">
        <f>IF(OR(G48&gt;=0.3,G48&lt;=-0.3),"超过30%","")</f>
        <v/>
      </c>
      <c r="I48" s="626">
        <f>IF(I43&lt;I44,I44/I43-1,I43/I44-1)</f>
        <v>8.0000000000000071E-3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f>IF(E44&lt;G44,G44/E44-1,E44/G44-1)</f>
        <v>9.7967691505992605E-2</v>
      </c>
      <c r="F49" s="627" t="str">
        <f>IF(OR(E49&gt;=0.2,E49&lt;=-0.2),"超过20%","")</f>
        <v/>
      </c>
      <c r="G49" s="626">
        <f>IF(G44&lt;I44,I44/G44-1,G44/I44-1)</f>
        <v>0.3935185185185186</v>
      </c>
      <c r="H49" s="627" t="str">
        <f>IF(OR(G49&gt;=0.2,G49&lt;=-0.2),"超过20%","")</f>
        <v>超过20%</v>
      </c>
      <c r="I49" s="626">
        <f>IF(I44&lt;E44,E44/I44-1,I44/E44-1)</f>
        <v>0.26917989417989419</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f>IF(E43&lt;G43,G43/E43-1,E43/G43-1)</f>
        <v>6.3999999999999613E-3</v>
      </c>
      <c r="F50" s="627" t="str">
        <f>IF(OR(E50&gt;=0.3,E50&lt;=-0.3),"超过30%","")</f>
        <v/>
      </c>
      <c r="G50" s="626">
        <f>IF(G43&lt;I43,I43/G43-1,G43/I43-1)</f>
        <v>0.25800000000000001</v>
      </c>
      <c r="H50" s="627" t="str">
        <f>IF(OR(G50&gt;=0.3,G50&lt;=-0.3),"超过30%","")</f>
        <v/>
      </c>
      <c r="I50" s="626">
        <f>IF(I43&lt;E43,E43/I43-1,I43/E43-1)</f>
        <v>0.25</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697" t="s">
        <v>2288</v>
      </c>
      <c r="H52" s="3698"/>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f>C45</f>
        <v>1846</v>
      </c>
      <c r="C53" s="635">
        <v>1</v>
      </c>
      <c r="D53" s="2229">
        <v>1</v>
      </c>
      <c r="E53" s="635">
        <f>'数据-汇总表'!E8+'数据-汇总表'!E9</f>
        <v>10000</v>
      </c>
      <c r="F53" s="1951">
        <f t="shared" ref="F53:F62" si="15">ROUND(B53*E53/10000,0)</f>
        <v>1846</v>
      </c>
      <c r="G53" s="3699"/>
      <c r="H53" s="370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f>ROUND($C$45*C54*D54,0)</f>
        <v>0</v>
      </c>
      <c r="C54" s="378">
        <f t="shared" ref="C54:C62" si="16">IF($C$52="北京市系数",I54,J54)</f>
        <v>0</v>
      </c>
      <c r="D54" s="2230">
        <v>0.25</v>
      </c>
      <c r="E54" s="639"/>
      <c r="F54" s="1951">
        <f t="shared" si="15"/>
        <v>0</v>
      </c>
      <c r="G54" s="3701"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f t="shared" ref="B55:B62" si="17">ROUND($C$45*C55*D55,0)</f>
        <v>0</v>
      </c>
      <c r="C55" s="378">
        <f t="shared" si="16"/>
        <v>0</v>
      </c>
      <c r="D55" s="2230">
        <v>0.25</v>
      </c>
      <c r="E55" s="639"/>
      <c r="F55" s="1951">
        <f t="shared" si="15"/>
        <v>0</v>
      </c>
      <c r="G55" s="370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f t="shared" si="17"/>
        <v>0</v>
      </c>
      <c r="C56" s="378">
        <f t="shared" si="16"/>
        <v>0</v>
      </c>
      <c r="D56" s="2230">
        <v>0.25</v>
      </c>
      <c r="E56" s="639"/>
      <c r="F56" s="1951">
        <f t="shared" si="15"/>
        <v>0</v>
      </c>
      <c r="G56" s="370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f t="shared" si="17"/>
        <v>0</v>
      </c>
      <c r="C57" s="378">
        <f t="shared" si="16"/>
        <v>0</v>
      </c>
      <c r="D57" s="2230">
        <v>0.25</v>
      </c>
      <c r="E57" s="639"/>
      <c r="F57" s="1951">
        <f t="shared" si="15"/>
        <v>0</v>
      </c>
      <c r="G57" s="370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f t="shared" si="17"/>
        <v>0</v>
      </c>
      <c r="C58" s="378">
        <f t="shared" si="16"/>
        <v>0</v>
      </c>
      <c r="D58" s="2230">
        <v>0.25</v>
      </c>
      <c r="E58" s="641">
        <f>'数据-汇总表'!E11</f>
        <v>0</v>
      </c>
      <c r="F58" s="1951">
        <f t="shared" si="15"/>
        <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f t="shared" si="17"/>
        <v>115</v>
      </c>
      <c r="C59" s="378">
        <f t="shared" si="16"/>
        <v>0.25</v>
      </c>
      <c r="D59" s="2230">
        <v>0.25</v>
      </c>
      <c r="E59" s="641">
        <f>'数据-汇总表'!E12</f>
        <v>0</v>
      </c>
      <c r="F59" s="1951">
        <f t="shared" si="15"/>
        <v>0</v>
      </c>
      <c r="G59" s="1947" t="s">
        <v>983</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f t="shared" si="17"/>
        <v>92</v>
      </c>
      <c r="C60" s="378">
        <f t="shared" si="16"/>
        <v>0.2</v>
      </c>
      <c r="D60" s="2230">
        <v>0.25</v>
      </c>
      <c r="E60" s="641">
        <f>'数据-汇总表'!E13</f>
        <v>0</v>
      </c>
      <c r="F60" s="1951">
        <f t="shared" si="15"/>
        <v>0</v>
      </c>
      <c r="G60" s="1947" t="s">
        <v>983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f t="shared" si="17"/>
        <v>0</v>
      </c>
      <c r="C61" s="378">
        <f t="shared" si="16"/>
        <v>0</v>
      </c>
      <c r="D61" s="2230">
        <v>0.25</v>
      </c>
      <c r="E61" s="641">
        <f>'数据-汇总表'!E14</f>
        <v>0</v>
      </c>
      <c r="F61" s="1951">
        <f t="shared" si="15"/>
        <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f t="shared" si="17"/>
        <v>0</v>
      </c>
      <c r="C62" s="378">
        <f t="shared" si="16"/>
        <v>0</v>
      </c>
      <c r="D62" s="2230">
        <v>0.25</v>
      </c>
      <c r="E62" s="641">
        <f>'数据-汇总表'!E15</f>
        <v>0</v>
      </c>
      <c r="F62" s="1951">
        <f t="shared" si="15"/>
        <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10000</v>
      </c>
      <c r="F63" s="644">
        <f>IF(B43="楼面地价",SUM(F53:F62),ROUND(C45*E63/10000,0))</f>
        <v>1846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2656</v>
      </c>
      <c r="B68" s="479" t="str">
        <f>"北京市平均增长率"&amp;TEXT(基准地价!P24,"0.00%")</f>
        <v>北京市平均增长率1.31%</v>
      </c>
      <c r="C68" s="894">
        <v>100</v>
      </c>
      <c r="D68" s="730">
        <v>99.5</v>
      </c>
      <c r="E68" s="730">
        <v>99.5</v>
      </c>
      <c r="F68" s="730">
        <v>99.5</v>
      </c>
      <c r="G68" s="730">
        <v>99.5</v>
      </c>
      <c r="H68" s="730">
        <v>99</v>
      </c>
      <c r="I68" s="730">
        <v>99</v>
      </c>
      <c r="J68" s="730">
        <v>99</v>
      </c>
      <c r="K68" s="730">
        <v>99</v>
      </c>
      <c r="L68" s="730">
        <v>98.5</v>
      </c>
      <c r="M68" s="2818">
        <v>98.5</v>
      </c>
      <c r="N68" s="2819">
        <v>98.5</v>
      </c>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3478" t="s">
        <v>3217</v>
      </c>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0.5（含）-1</v>
      </c>
      <c r="D76" s="682" t="str">
        <f t="shared" ref="D76:L76" si="20">D77&amp;"（含）"&amp;"-"&amp;E77</f>
        <v>1（含）-1.5</v>
      </c>
      <c r="E76" s="682" t="str">
        <f t="shared" si="20"/>
        <v>1.5（含）-2</v>
      </c>
      <c r="F76" s="682" t="str">
        <f t="shared" si="20"/>
        <v>2（含）-2.5</v>
      </c>
      <c r="G76" s="682" t="str">
        <f t="shared" si="20"/>
        <v>2.5（含）-3</v>
      </c>
      <c r="H76" s="682" t="str">
        <f t="shared" si="20"/>
        <v>3（含）-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0.5</v>
      </c>
      <c r="D77" s="541">
        <v>1</v>
      </c>
      <c r="E77" s="541">
        <v>1.5</v>
      </c>
      <c r="F77" s="541">
        <v>2</v>
      </c>
      <c r="G77" s="541">
        <v>2.5</v>
      </c>
      <c r="H77" s="541">
        <v>3</v>
      </c>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98</v>
      </c>
      <c r="E78" s="679">
        <f t="shared" ref="E78:M78" si="21">IF($B$43="单位面积地价",D78+$K13,D78-$K13)</f>
        <v>96</v>
      </c>
      <c r="F78" s="679">
        <f t="shared" si="21"/>
        <v>94</v>
      </c>
      <c r="G78" s="679">
        <f t="shared" si="21"/>
        <v>92</v>
      </c>
      <c r="H78" s="679">
        <f t="shared" si="21"/>
        <v>90</v>
      </c>
      <c r="I78" s="679">
        <f t="shared" si="21"/>
        <v>88</v>
      </c>
      <c r="J78" s="679">
        <f t="shared" si="21"/>
        <v>86</v>
      </c>
      <c r="K78" s="679">
        <f t="shared" si="21"/>
        <v>84</v>
      </c>
      <c r="L78" s="679">
        <f t="shared" si="21"/>
        <v>82</v>
      </c>
      <c r="M78" s="679">
        <f t="shared" si="21"/>
        <v>80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97</v>
      </c>
      <c r="E88" s="679">
        <f>D88-$K19</f>
        <v>94</v>
      </c>
      <c r="F88" s="679">
        <f>E88-$K19</f>
        <v>91</v>
      </c>
      <c r="G88" s="679">
        <f>F88-$K19</f>
        <v>88</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98</v>
      </c>
      <c r="E92" s="679">
        <f>D92-$K23</f>
        <v>96</v>
      </c>
      <c r="F92" s="679">
        <f>E92-$K23</f>
        <v>94</v>
      </c>
      <c r="G92" s="679">
        <f>F92-$K23</f>
        <v>92</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2557</v>
      </c>
      <c r="C95" s="2623" t="s">
        <v>2558</v>
      </c>
      <c r="D95" s="2623" t="s">
        <v>2559</v>
      </c>
      <c r="E95" s="2623" t="s">
        <v>2560</v>
      </c>
      <c r="F95" s="2623" t="s">
        <v>2561</v>
      </c>
      <c r="G95" s="2623"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98</v>
      </c>
      <c r="E96" s="679">
        <f>D96-$K27</f>
        <v>96</v>
      </c>
      <c r="F96" s="679">
        <f>E96-$K27</f>
        <v>94</v>
      </c>
      <c r="G96" s="679">
        <f>F96-$K27</f>
        <v>92</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3478" t="s">
        <v>3250</v>
      </c>
      <c r="D99" s="3478" t="s">
        <v>3251</v>
      </c>
      <c r="E99" s="3478" t="s">
        <v>3252</v>
      </c>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3480" t="s">
        <v>3226</v>
      </c>
      <c r="D101" s="3480" t="s">
        <v>3227</v>
      </c>
      <c r="E101" s="3480" t="s">
        <v>3228</v>
      </c>
      <c r="F101" s="3480" t="s">
        <v>3229</v>
      </c>
      <c r="G101" s="3480" t="s">
        <v>3230</v>
      </c>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85</v>
      </c>
      <c r="E102" s="679">
        <f t="shared" si="24"/>
        <v>70</v>
      </c>
      <c r="F102" s="679">
        <f t="shared" si="24"/>
        <v>55</v>
      </c>
      <c r="G102" s="679">
        <f t="shared" si="24"/>
        <v>40</v>
      </c>
      <c r="H102" s="679">
        <f t="shared" si="24"/>
        <v>25</v>
      </c>
      <c r="I102" s="679">
        <f t="shared" si="24"/>
        <v>10</v>
      </c>
      <c r="J102" s="679">
        <f t="shared" si="24"/>
        <v>-5</v>
      </c>
      <c r="K102" s="679">
        <f t="shared" si="24"/>
        <v>-20</v>
      </c>
      <c r="L102" s="679">
        <f t="shared" si="24"/>
        <v>-35</v>
      </c>
      <c r="M102" s="679">
        <f t="shared" si="24"/>
        <v>-50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100(含)-200</v>
      </c>
      <c r="D109" s="704" t="str">
        <f t="shared" si="25"/>
        <v>200(含)-300</v>
      </c>
      <c r="E109" s="704" t="str">
        <f t="shared" si="25"/>
        <v>300(含)-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100</v>
      </c>
      <c r="D110" s="730">
        <v>200</v>
      </c>
      <c r="E110" s="730">
        <v>300</v>
      </c>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99</v>
      </c>
      <c r="E111" s="726">
        <v>98</v>
      </c>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3480" t="s">
        <v>3234</v>
      </c>
      <c r="D112" s="3480" t="s">
        <v>3235</v>
      </c>
      <c r="E112" s="3480" t="s">
        <v>3236</v>
      </c>
      <c r="F112" s="3480" t="s">
        <v>3237</v>
      </c>
      <c r="G112" s="3480" t="s">
        <v>3238</v>
      </c>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t="s">
        <v>3218</v>
      </c>
      <c r="D114" s="1376" t="s">
        <v>3219</v>
      </c>
      <c r="E114" s="1376" t="s">
        <v>3221</v>
      </c>
      <c r="F114" s="1376" t="s">
        <v>3222</v>
      </c>
      <c r="G114" s="1376" t="s">
        <v>3224</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3481" t="s">
        <v>3240</v>
      </c>
      <c r="D116" s="3481" t="s">
        <v>3241</v>
      </c>
      <c r="E116" s="3480" t="s">
        <v>3242</v>
      </c>
      <c r="F116" s="3480" t="s">
        <v>3243</v>
      </c>
      <c r="G116" s="3480" t="s">
        <v>3244</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毗邻道路的类型与等级</formula1>
    </dataValidation>
    <dataValidation type="list" allowBlank="1" showInputMessage="1" showErrorMessage="1" sqref="C37 E37 G37 I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4" zoomScale="90" zoomScaleNormal="90" workbookViewId="0">
      <selection activeCell="E81" sqref="E81"/>
    </sheetView>
  </sheetViews>
  <sheetFormatPr defaultColWidth="12" defaultRowHeight="12"/>
  <cols>
    <col min="1" max="1" width="9.75" style="1405" customWidth="1"/>
    <col min="2" max="2" width="19.25" style="1528"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1">
        <f>SUM(D29:D30,D33:D39)</f>
        <v>10000</v>
      </c>
      <c r="E1" s="1407" t="s">
        <v>2432</v>
      </c>
      <c r="F1" s="2477"/>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7" t="s">
        <v>921</v>
      </c>
      <c r="B2" s="1038">
        <f ca="1">C26</f>
        <v>2678</v>
      </c>
      <c r="C2" s="1408" t="s">
        <v>922</v>
      </c>
      <c r="D2" s="1409" t="s">
        <v>923</v>
      </c>
      <c r="E2" s="1410" t="s">
        <v>983</v>
      </c>
      <c r="F2" s="1409" t="s">
        <v>925</v>
      </c>
      <c r="G2" s="1652" t="str">
        <f>IF(E2="商业",项目基本情况!B43,IF(E2="办公",项目基本情况!C43,IF(E2="住宅",项目基本情况!D43,项目基本情况!E43)))</f>
        <v>七级</v>
      </c>
      <c r="H2" s="1409" t="s">
        <v>927</v>
      </c>
      <c r="I2" s="1653" t="str">
        <f>IF(E2="商业",项目基本情况!B44,IF(E2="办公",项目基本情况!C44,IF(E2="住宅",项目基本情况!D44,项目基本情况!E44)))</f>
        <v>Ⅶ-01</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2.5173999999999999</v>
      </c>
      <c r="T2" s="2963">
        <f ca="1">ROUND($C$5*$C$18*$C$19*$C$20*S2*$C$24,0)</f>
        <v>4468</v>
      </c>
      <c r="U2" s="2952"/>
      <c r="V2" s="2963">
        <f ca="1">ROUND(T2*U2/10000,0)</f>
        <v>0</v>
      </c>
      <c r="W2" s="2190"/>
      <c r="X2" s="2190"/>
      <c r="Y2" s="2190"/>
      <c r="Z2" s="2190"/>
      <c r="AA2" s="2190"/>
      <c r="AB2" s="2190"/>
      <c r="AC2" s="2191"/>
    </row>
    <row r="3" spans="1:39" ht="15.75">
      <c r="A3" s="1412" t="s">
        <v>1689</v>
      </c>
      <c r="B3" s="1038">
        <f ca="1">ROUND(B2*10000/D1,0)</f>
        <v>2678</v>
      </c>
      <c r="C3" s="1408" t="s">
        <v>928</v>
      </c>
      <c r="D3" s="1409" t="s">
        <v>929</v>
      </c>
      <c r="E3" s="1413" t="s">
        <v>3205</v>
      </c>
      <c r="F3" s="1414" t="s">
        <v>3208</v>
      </c>
      <c r="G3" s="1039">
        <f>IF(F3="宗地容积率",'数据-汇总表'!I4,IF(F3="估价对象容积率",'数据-汇总表'!I6,'数据-汇总表'!I7))</f>
        <v>0.74</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1.8069999999999999</v>
      </c>
      <c r="T3" s="2963">
        <f t="shared" ref="T3:T16" ca="1" si="0">ROUND($C$5*$C$18*$C$19*$C$20*S3*$C$24,0)</f>
        <v>3207</v>
      </c>
      <c r="U3" s="2952"/>
      <c r="V3" s="2963">
        <f t="shared" ref="V3:V16" ca="1" si="1">ROUND(T3*U3/10000,0)</f>
        <v>0</v>
      </c>
      <c r="W3" s="2190"/>
      <c r="X3" s="2190"/>
      <c r="Y3" s="2190"/>
      <c r="Z3" s="2190"/>
      <c r="AA3" s="2190"/>
      <c r="AB3" s="2190"/>
      <c r="AC3" s="2191"/>
    </row>
    <row r="4" spans="1:39" ht="28.5">
      <c r="A4" s="1892" t="s">
        <v>2284</v>
      </c>
      <c r="B4" s="2478" t="e">
        <f ca="1">ROUND(B2*10000/F1,0)</f>
        <v>#DIV/0!</v>
      </c>
      <c r="C4" s="1895" t="s">
        <v>2258</v>
      </c>
      <c r="D4" s="1895" t="e">
        <f ca="1">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1.4578</v>
      </c>
      <c r="T4" s="2963">
        <f t="shared" ca="1" si="0"/>
        <v>2587</v>
      </c>
      <c r="U4" s="2952"/>
      <c r="V4" s="2963">
        <f t="shared" ca="1" si="1"/>
        <v>0</v>
      </c>
      <c r="W4" s="2190"/>
      <c r="X4" s="2190"/>
      <c r="Y4" s="2190"/>
      <c r="Z4" s="2190"/>
      <c r="AA4" s="2190"/>
      <c r="AB4" s="2190"/>
      <c r="AC4" s="2191"/>
    </row>
    <row r="5" spans="1:39" s="1422" customFormat="1" ht="15.75" thickBot="1">
      <c r="A5" s="1638" t="s">
        <v>1825</v>
      </c>
      <c r="B5" s="1416" t="s">
        <v>932</v>
      </c>
      <c r="C5" s="1041">
        <f>ROUND(IF(E2="商业",IF(F16="增加",C6*C7+C16,C6*C7-C16),IF(E2="住宅",IF(F16="增加",C6*C12+C16,C6*C12-C16),IF(F16="增加",C6+C16,C6-C16))),0)</f>
        <v>1450</v>
      </c>
      <c r="D5" s="3150">
        <f>ROUND(IF(E2="商业",IF(F16="增加",C6+C16,C6-C16)),0)</f>
        <v>0</v>
      </c>
      <c r="E5" s="1417"/>
      <c r="F5" s="1417"/>
      <c r="G5" s="1418"/>
      <c r="H5" s="1418"/>
      <c r="I5" s="1418"/>
      <c r="J5" s="1419"/>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1.1697</v>
      </c>
      <c r="T5" s="2963">
        <f t="shared" ca="1" si="0"/>
        <v>2076</v>
      </c>
      <c r="U5" s="2952"/>
      <c r="V5" s="2963">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39" t="s">
        <v>1872</v>
      </c>
      <c r="B6" s="1423" t="s">
        <v>932</v>
      </c>
      <c r="C6" s="1042">
        <f>SUMIF(L1:L12,基准地价!G2,M1:M12)</f>
        <v>1450</v>
      </c>
      <c r="D6" s="1424" t="s">
        <v>1697</v>
      </c>
      <c r="E6" s="1425"/>
      <c r="F6" s="1425"/>
      <c r="G6" s="1426"/>
      <c r="H6" s="1426"/>
      <c r="I6" s="1426"/>
      <c r="J6" s="1427"/>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0.99609999999999999</v>
      </c>
      <c r="T6" s="2963">
        <f t="shared" ca="1" si="0"/>
        <v>1768</v>
      </c>
      <c r="U6" s="2952"/>
      <c r="V6" s="2963">
        <f t="shared" ca="1" si="1"/>
        <v>0</v>
      </c>
      <c r="W6" s="2190"/>
      <c r="X6" s="2190"/>
      <c r="Y6" s="2190"/>
      <c r="Z6" s="2190"/>
      <c r="AA6" s="2190"/>
      <c r="AB6" s="2190"/>
      <c r="AC6" s="2192"/>
      <c r="AD6" s="1420"/>
      <c r="AE6" s="1420"/>
      <c r="AF6" s="1420"/>
      <c r="AG6" s="1420"/>
      <c r="AH6" s="1420"/>
      <c r="AI6" s="1420"/>
      <c r="AJ6" s="1421"/>
    </row>
    <row r="7" spans="1:39" ht="24">
      <c r="A7" s="3710" t="str">
        <f>IF(E2="商业",IF(C8="不临58条商业街","",2),"")</f>
        <v/>
      </c>
      <c r="B7" s="1428" t="s">
        <v>933</v>
      </c>
      <c r="C7" s="1043" t="e">
        <f>IF(C8="不临58条商业街",1,ROUND(1+(1.6*E8+1.2*E9+0.8*E10+0.4*E11)*C9,4))</f>
        <v>#DIV/0!</v>
      </c>
      <c r="D7" s="1429" t="s">
        <v>934</v>
      </c>
      <c r="E7" s="1044"/>
      <c r="F7" s="1430"/>
      <c r="G7" s="1431"/>
      <c r="H7" s="1431"/>
      <c r="I7" s="1431"/>
      <c r="J7" s="1432"/>
      <c r="K7" s="1595"/>
      <c r="L7" s="1886" t="s">
        <v>2248</v>
      </c>
      <c r="M7" s="1887">
        <f>SUMPRODUCT((区片价!B158:B205=I2)*(区片价!C3:F3=E2)*(区片价!C158:F205))</f>
        <v>1450</v>
      </c>
      <c r="N7" s="1888">
        <f>SUMPRODUCT((因素修正幅度!B158:B205=I2)*(因素修正幅度!C3:F3=E2)*(因素修正幅度!C158:F205))</f>
        <v>0.13</v>
      </c>
      <c r="O7" s="2190"/>
      <c r="P7" s="2190"/>
      <c r="Q7" s="2190"/>
      <c r="R7" s="2963">
        <v>6</v>
      </c>
      <c r="S7" s="2963">
        <f>ROUND(IF(G3&gt;1,IF(R7&lt;7,SUMPRODUCT((B93:B98=R7)*(C92:N92=G2)*(C93:N98)),SUMIF(C92:N92,G2,C100:N100)),IF(R7&lt;7,SUMPRODUCT((B102:B107=R7)*(C92:N92=G2)*(C102:N107)),SUMIF(C92:N92,G2,C109:N109))),4)</f>
        <v>0.87590000000000001</v>
      </c>
      <c r="T7" s="2963">
        <f t="shared" ca="1" si="0"/>
        <v>1555</v>
      </c>
      <c r="U7" s="2952"/>
      <c r="V7" s="2963">
        <f t="shared" ca="1" si="1"/>
        <v>0</v>
      </c>
      <c r="W7" s="2961" t="s">
        <v>2771</v>
      </c>
      <c r="X7" s="2953" t="str">
        <f>G2</f>
        <v>七级</v>
      </c>
      <c r="Y7" s="2953" t="s">
        <v>2772</v>
      </c>
      <c r="Z7" s="2954">
        <f>G3</f>
        <v>0.74</v>
      </c>
      <c r="AA7" s="2193"/>
      <c r="AB7" s="2193"/>
      <c r="AC7" s="2194"/>
      <c r="AD7" s="2955"/>
      <c r="AE7" s="2955"/>
      <c r="AF7" s="2955"/>
      <c r="AG7" s="2955"/>
      <c r="AH7" s="2955"/>
      <c r="AI7" s="2955"/>
      <c r="AJ7" s="2956"/>
    </row>
    <row r="8" spans="1:39" ht="15">
      <c r="A8" s="3711"/>
      <c r="B8" s="1415" t="s">
        <v>935</v>
      </c>
      <c r="C8" s="1529"/>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f t="shared" ca="1" si="0"/>
        <v>0</v>
      </c>
      <c r="U8" s="2952"/>
      <c r="V8" s="2963">
        <f t="shared" ca="1" si="1"/>
        <v>0</v>
      </c>
      <c r="W8" s="3720" t="s">
        <v>2789</v>
      </c>
      <c r="X8" s="3721"/>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11"/>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719"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11"/>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71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11"/>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719" t="s">
        <v>2787</v>
      </c>
      <c r="X11" s="1048" t="s">
        <v>2772</v>
      </c>
      <c r="Y11" s="1653">
        <f>$G$3</f>
        <v>0.74</v>
      </c>
      <c r="Z11" s="1653">
        <f t="shared" ref="Z11:AJ11" si="3">$G$3</f>
        <v>0.74</v>
      </c>
      <c r="AA11" s="1653">
        <f t="shared" si="3"/>
        <v>0.74</v>
      </c>
      <c r="AB11" s="1653">
        <f t="shared" si="3"/>
        <v>0.74</v>
      </c>
      <c r="AC11" s="1653">
        <f t="shared" si="3"/>
        <v>0.74</v>
      </c>
      <c r="AD11" s="1653">
        <f t="shared" si="3"/>
        <v>0.74</v>
      </c>
      <c r="AE11" s="1653">
        <f t="shared" si="3"/>
        <v>0.74</v>
      </c>
      <c r="AF11" s="1653">
        <f t="shared" si="3"/>
        <v>0.74</v>
      </c>
      <c r="AG11" s="1653">
        <f t="shared" si="3"/>
        <v>0.74</v>
      </c>
      <c r="AH11" s="1653">
        <f t="shared" si="3"/>
        <v>0.74</v>
      </c>
      <c r="AI11" s="1653">
        <f t="shared" si="3"/>
        <v>0.74</v>
      </c>
      <c r="AJ11" s="1653">
        <f t="shared" si="3"/>
        <v>0.74</v>
      </c>
    </row>
    <row r="12" spans="1:39" ht="25.5" thickBot="1">
      <c r="A12" s="3710"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719"/>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12"/>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f t="shared" ca="1" si="0"/>
        <v>0</v>
      </c>
      <c r="U13" s="2952"/>
      <c r="V13" s="2963">
        <f t="shared" ca="1" si="1"/>
        <v>0</v>
      </c>
      <c r="W13" s="3719"/>
      <c r="X13" s="2960"/>
      <c r="Y13" s="2959">
        <f>(-0.163*(Y12^2)-0.59*Y12+7617)*(10^(-4))/Y11</f>
        <v>1.0293243243243244</v>
      </c>
      <c r="Z13" s="2959">
        <f t="shared" ref="Z13:AJ13" si="5">(-0.163*(Z12^2)-0.59*Z12+7617)*(10^(-4))/Z11</f>
        <v>1.0293243243243244</v>
      </c>
      <c r="AA13" s="2959">
        <f t="shared" si="5"/>
        <v>1.0293243243243244</v>
      </c>
      <c r="AB13" s="2959">
        <f t="shared" si="5"/>
        <v>1.0293243243243244</v>
      </c>
      <c r="AC13" s="2959">
        <f t="shared" si="5"/>
        <v>1.0293243243243244</v>
      </c>
      <c r="AD13" s="2959">
        <f t="shared" si="5"/>
        <v>1.0293243243243244</v>
      </c>
      <c r="AE13" s="2959">
        <f t="shared" si="5"/>
        <v>1.0293243243243244</v>
      </c>
      <c r="AF13" s="2959">
        <f t="shared" si="5"/>
        <v>1.0293243243243244</v>
      </c>
      <c r="AG13" s="2959">
        <f t="shared" si="5"/>
        <v>1.0293243243243244</v>
      </c>
      <c r="AH13" s="2959">
        <f t="shared" si="5"/>
        <v>1.0293243243243244</v>
      </c>
      <c r="AI13" s="2959">
        <f t="shared" si="5"/>
        <v>1.0293243243243244</v>
      </c>
      <c r="AJ13" s="2959">
        <f t="shared" si="5"/>
        <v>1.0293243243243244</v>
      </c>
    </row>
    <row r="14" spans="1:39" ht="12.75" customHeight="1" thickBot="1">
      <c r="A14" s="3712"/>
      <c r="B14" s="1452"/>
      <c r="C14" s="1453"/>
      <c r="D14" s="1454"/>
      <c r="E14" s="1454"/>
      <c r="F14" s="1455"/>
      <c r="G14" s="1456" t="s">
        <v>950</v>
      </c>
      <c r="H14" s="1457"/>
      <c r="I14" s="1458"/>
      <c r="J14" s="1459"/>
      <c r="K14" s="1402"/>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71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8" t="s">
        <v>899</v>
      </c>
      <c r="M15" s="1429" t="s">
        <v>985</v>
      </c>
      <c r="N15" s="1429" t="s">
        <v>986</v>
      </c>
      <c r="O15" s="1429" t="s">
        <v>903</v>
      </c>
      <c r="P15" s="1477" t="s">
        <v>987</v>
      </c>
      <c r="Q15" s="2190"/>
      <c r="R15" s="2963">
        <v>14</v>
      </c>
      <c r="S15" s="2952"/>
      <c r="T15" s="2963">
        <f t="shared" ca="1" si="0"/>
        <v>0</v>
      </c>
      <c r="U15" s="2952"/>
      <c r="V15" s="2963">
        <f t="shared" ca="1" si="1"/>
        <v>0</v>
      </c>
      <c r="W15" s="2190"/>
      <c r="X15" s="2190"/>
      <c r="Y15" s="2190"/>
      <c r="Z15" s="2190"/>
      <c r="AA15" s="2190"/>
      <c r="AB15" s="2190"/>
      <c r="AC15" s="2191"/>
    </row>
    <row r="16" spans="1:39" ht="24">
      <c r="A16" s="3710" t="s">
        <v>1840</v>
      </c>
      <c r="B16" s="1428" t="s">
        <v>951</v>
      </c>
      <c r="C16" s="1054">
        <f>ROUND(SUM(G17:J17)/C17,0)</f>
        <v>0</v>
      </c>
      <c r="D16" s="1461" t="s">
        <v>952</v>
      </c>
      <c r="E16" s="1462" t="s">
        <v>3209</v>
      </c>
      <c r="F16" s="1463" t="s">
        <v>3210</v>
      </c>
      <c r="G16" s="1464" t="s">
        <v>953</v>
      </c>
      <c r="H16" s="1464"/>
      <c r="I16" s="1464"/>
      <c r="J16" s="1464"/>
      <c r="K16" s="1402"/>
      <c r="L16" s="1465"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711"/>
      <c r="B17" s="1466" t="s">
        <v>954</v>
      </c>
      <c r="C17" s="1055">
        <f>SUMPRODUCT((修正!A2:A5=E2)*(修正!B1:M1=G2)*(修正!B2:M5))</f>
        <v>1.2</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1" t="s">
        <v>1831</v>
      </c>
      <c r="B18" s="2798" t="s">
        <v>957</v>
      </c>
      <c r="C18" s="2799">
        <f>SUMIF(修正!C18:C39,E3,修正!E18:E39)</f>
        <v>1</v>
      </c>
      <c r="D18" s="2800"/>
      <c r="E18" s="2801"/>
      <c r="F18" s="2802"/>
      <c r="G18" s="2796"/>
      <c r="H18" s="2796"/>
      <c r="I18" s="2796"/>
      <c r="J18" s="2803"/>
      <c r="K18" s="1482"/>
      <c r="L18" s="1482"/>
      <c r="M18" s="1482"/>
      <c r="N18" s="1482"/>
      <c r="O18" s="1597"/>
      <c r="P18" s="1597"/>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0" t="s">
        <v>1837</v>
      </c>
      <c r="B19" s="1471" t="s">
        <v>958</v>
      </c>
      <c r="C19" s="1057">
        <f>ROUND(IF(H19="按公示增长率计算",SUMPRODUCT((地价!A3:A21=YEAR(G19)&amp;"-"&amp;ROUNDUP(MONTH(G19)/3,0))*(地价!X2:AB2=E2)*(地价!X3:AB21)),IF(H19="地价指数",M20/M19,(1+I19)^O19)),4)</f>
        <v>1.2476</v>
      </c>
      <c r="D19" s="1475" t="s">
        <v>959</v>
      </c>
      <c r="E19" s="1058">
        <v>41640</v>
      </c>
      <c r="F19" s="1475" t="s">
        <v>960</v>
      </c>
      <c r="G19" s="1059">
        <f>'数据-取费表'!B2</f>
        <v>43115</v>
      </c>
      <c r="H19" s="1476" t="s">
        <v>3206</v>
      </c>
      <c r="I19" s="2810" t="str">
        <f>IF(H19="季度增幅（自定义）",SUMIF(N21:N24,E2,O21:O24),"")</f>
        <v/>
      </c>
      <c r="J19" s="1472"/>
      <c r="K19" s="1482"/>
      <c r="L19" s="3066" t="s">
        <v>2847</v>
      </c>
      <c r="M19" s="3067">
        <f>ROUND(SUMIF(地价!B2:F2,E2,地价!B21:F21),0)</f>
        <v>230</v>
      </c>
      <c r="N19" s="2812" t="s">
        <v>1678</v>
      </c>
      <c r="O19" s="2811">
        <f>ROUNDDOWN(DATEDIF(E19,G19,"M")/3,0)</f>
        <v>16</v>
      </c>
      <c r="P19" s="1596"/>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f ca="1">ROUND(POWER(1+G20,J20-I20)*(POWER(1+G20,I20)-1)/(POWER(1+G20,J20)-1),4)</f>
        <v>1</v>
      </c>
      <c r="D20" s="2807" t="s">
        <v>974</v>
      </c>
      <c r="E20" s="3121">
        <f ca="1">存贷款利率!I4/100</f>
        <v>4.3499999999999997E-2</v>
      </c>
      <c r="F20" s="2807" t="s">
        <v>975</v>
      </c>
      <c r="G20" s="2808">
        <f ca="1">SUMIF(M15:P15,E2,M17:P17)</f>
        <v>4.8000000000000001E-2</v>
      </c>
      <c r="H20" s="2807" t="s">
        <v>976</v>
      </c>
      <c r="I20" s="2797">
        <f>SUMIF('数据-取费表'!C6:C15,E2,'数据-取费表'!F6:F15)/COUNTIF('数据-取费表'!C6:C15,E2)</f>
        <v>50</v>
      </c>
      <c r="J20" s="2809">
        <f>IF(E2="住宅",70,IF(E2="商业",40,50))</f>
        <v>50</v>
      </c>
      <c r="K20" s="1482"/>
      <c r="L20" s="3068" t="s">
        <v>2848</v>
      </c>
      <c r="M20" s="3069">
        <f>ROUND(SUMPRODUCT((地价!A4:A21=YEAR(G19)&amp;"-"&amp;ROUNDUP(MONTH(G19)/3,0))*(地价!B2:F2=E2)*(地价!B4:F21)),0)</f>
        <v>283</v>
      </c>
      <c r="N20" s="2815" t="s">
        <v>2652</v>
      </c>
      <c r="O20" s="2813" t="s">
        <v>2651</v>
      </c>
      <c r="P20" s="2814" t="s">
        <v>2657</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2" t="s">
        <v>1839</v>
      </c>
      <c r="B21" s="1481" t="s">
        <v>3207</v>
      </c>
      <c r="C21" s="1158">
        <f>IF(B21="容积率修正",IF(G3&lt;=10,D22,J22),C23)</f>
        <v>1.5088999999999999</v>
      </c>
      <c r="D21" s="1482"/>
      <c r="E21" s="1482"/>
      <c r="F21" s="1482"/>
      <c r="G21" s="1482"/>
      <c r="H21" s="1482"/>
      <c r="I21" s="1482"/>
      <c r="J21" s="1483"/>
      <c r="K21" s="1482"/>
      <c r="L21" s="1482"/>
      <c r="M21" s="1482"/>
      <c r="N21" s="1479"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3" t="s">
        <v>1872</v>
      </c>
      <c r="B22" s="1484" t="s">
        <v>978</v>
      </c>
      <c r="C22" s="1060" t="s">
        <v>1704</v>
      </c>
      <c r="D22" s="1060">
        <f>IF(E22=G22,F22,IF(G3&lt;=10,ROUND(F22+(H22-F22)*(G3-E22)/(G22-E22),4),"——"))</f>
        <v>1.5088999999999999</v>
      </c>
      <c r="E22" s="1039">
        <f>ROUNDDOWN(G3,1)</f>
        <v>0.7</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60" t="s">
        <v>979</v>
      </c>
      <c r="J22" s="1060" t="str">
        <f>IF(G3&gt;10,D113,"——")</f>
        <v>——</v>
      </c>
      <c r="K22" s="1482"/>
      <c r="L22" s="1482"/>
      <c r="M22" s="1482"/>
      <c r="N22" s="1479"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3" t="s">
        <v>1873</v>
      </c>
      <c r="B23" s="1484" t="s">
        <v>981</v>
      </c>
      <c r="C23" s="1061">
        <f>ROUND(IF(G3&gt;1,IF(I3&lt;7,SUMPRODUCT((B93:B98=I3)*(C92:N92=G2)*(C93:N98)),SUMIF(C92:N92,G2,C100:N100)),IF(I3&lt;7,SUMPRODUCT((B102:B107=I3)*(C92:N92=G2)*(C102:N107)),SUMIF(C92:N92,G2,C109:N109))),4)</f>
        <v>0.87329999999999997</v>
      </c>
      <c r="D23" s="1530"/>
      <c r="E23" s="1530"/>
      <c r="F23" s="1531"/>
      <c r="G23" s="1532"/>
      <c r="H23" s="1533"/>
      <c r="I23" s="1534"/>
      <c r="J23" s="1534"/>
      <c r="K23" s="1402"/>
      <c r="L23" s="1402"/>
      <c r="M23" s="1402"/>
      <c r="N23" s="1479"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1" t="s">
        <v>1874</v>
      </c>
      <c r="B24" s="1416" t="s">
        <v>982</v>
      </c>
      <c r="C24" s="1062">
        <f>SUMIF(A44:A87,E2,B44:B87)</f>
        <v>0.98109999999999997</v>
      </c>
      <c r="D24" s="1535"/>
      <c r="E24" s="1536"/>
      <c r="F24" s="1536"/>
      <c r="G24" s="1536"/>
      <c r="H24" s="1536"/>
      <c r="I24" s="1536"/>
      <c r="J24" s="1536"/>
      <c r="K24" s="1482"/>
      <c r="L24" s="1482"/>
      <c r="M24" s="1482"/>
      <c r="N24" s="1485"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1" t="s">
        <v>1875</v>
      </c>
      <c r="B25" s="1487" t="s">
        <v>984</v>
      </c>
      <c r="C25" s="1488"/>
      <c r="D25" s="1431"/>
      <c r="E25" s="1431"/>
      <c r="F25" s="1489"/>
      <c r="G25" s="1431"/>
      <c r="H25" s="1431"/>
      <c r="I25" s="1431"/>
      <c r="J25" s="1432"/>
      <c r="K25" s="1402"/>
      <c r="L25" s="2196"/>
      <c r="M25" s="2196"/>
      <c r="N25" s="2823" t="s">
        <v>2655</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f ca="1">E29+SUM(E33:E39)</f>
        <v>2678</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 ca="1">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f ca="1">ROUND(C5*C18*C19*C20*C21*C24,0)</f>
        <v>2678</v>
      </c>
      <c r="D29" s="1505">
        <f>'数据-汇总表'!F19</f>
        <v>10000</v>
      </c>
      <c r="E29" s="1850">
        <f ca="1">ROUND(C29*D29/10000,0)</f>
        <v>2678</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f ca="1">ROUND(IF(E2="工业",C29*M39,C29*M38),0)</f>
        <v>402</v>
      </c>
      <c r="D30" s="1505">
        <f>'数据-汇总表'!F20</f>
        <v>0</v>
      </c>
      <c r="E30" s="1850">
        <f ca="1">ROUND(C30*D30/10000,0)</f>
        <v>0</v>
      </c>
      <c r="F30" s="1511" t="s">
        <v>997</v>
      </c>
      <c r="G30" s="1512"/>
      <c r="H30" s="1512"/>
      <c r="I30" s="1512"/>
      <c r="J30" s="1513"/>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4"/>
      <c r="B31" s="1515" t="s">
        <v>998</v>
      </c>
      <c r="C31" s="1516" t="s">
        <v>999</v>
      </c>
      <c r="D31" s="1443"/>
      <c r="E31" s="1516"/>
      <c r="F31" s="1516"/>
      <c r="G31" s="1441" t="s">
        <v>997</v>
      </c>
      <c r="H31" s="1443"/>
      <c r="I31" s="1517"/>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8"/>
      <c r="C32" s="1519" t="s">
        <v>992</v>
      </c>
      <c r="D32" s="1520" t="s">
        <v>993</v>
      </c>
      <c r="E32" s="1520" t="s">
        <v>994</v>
      </c>
      <c r="F32" s="1521" t="s">
        <v>1000</v>
      </c>
      <c r="G32" s="1480" t="s">
        <v>992</v>
      </c>
      <c r="H32" s="1480" t="s">
        <v>993</v>
      </c>
      <c r="I32" s="1480" t="s">
        <v>994</v>
      </c>
      <c r="J32" s="1522"/>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16" t="s">
        <v>2969</v>
      </c>
      <c r="B33" s="1524" t="s">
        <v>1001</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17"/>
      <c r="B34" s="1446" t="s">
        <v>1002</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17"/>
      <c r="B35" s="1446" t="s">
        <v>1003</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18"/>
      <c r="B36" s="1446" t="s">
        <v>1004</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6" t="s">
        <v>1005</v>
      </c>
      <c r="C37" s="1048">
        <f ca="1">ROUND(C5*C19*C20*C24*F37,0)</f>
        <v>444</v>
      </c>
      <c r="D37" s="1537"/>
      <c r="E37" s="1048">
        <f t="shared" ca="1" si="7"/>
        <v>0</v>
      </c>
      <c r="F37" s="1063">
        <f>SUMIF(修正!A45:A56,G2,修正!F45:F56)</f>
        <v>0.25</v>
      </c>
      <c r="G37" s="1048">
        <f t="shared" ca="1" si="6"/>
        <v>111</v>
      </c>
      <c r="H37" s="1048">
        <f t="shared" si="8"/>
        <v>0</v>
      </c>
      <c r="I37" s="1048">
        <f t="shared" ca="1" si="9"/>
        <v>0</v>
      </c>
      <c r="J37" s="1525"/>
      <c r="K37" s="1402"/>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6" t="s">
        <v>1006</v>
      </c>
      <c r="C38" s="1048">
        <f ca="1">ROUND(C5*C19*C20*C24*F38,0)</f>
        <v>444</v>
      </c>
      <c r="D38" s="1537"/>
      <c r="E38" s="1048">
        <f t="shared" ca="1" si="7"/>
        <v>0</v>
      </c>
      <c r="F38" s="1063">
        <f>SUMIF(修正!A45:A56,G2,修正!G45:G56)</f>
        <v>0.25</v>
      </c>
      <c r="G38" s="1048">
        <f t="shared" ca="1" si="6"/>
        <v>111</v>
      </c>
      <c r="H38" s="1048">
        <f t="shared" si="8"/>
        <v>0</v>
      </c>
      <c r="I38" s="1048">
        <f t="shared" ca="1" si="9"/>
        <v>0</v>
      </c>
      <c r="J38" s="1525"/>
      <c r="K38" s="1402"/>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6" t="s">
        <v>1007</v>
      </c>
      <c r="C39" s="1051">
        <f ca="1">ROUND(C5*C19*C20*C24*F39,0)</f>
        <v>355</v>
      </c>
      <c r="D39" s="1538"/>
      <c r="E39" s="1051">
        <f t="shared" ca="1" si="7"/>
        <v>0</v>
      </c>
      <c r="F39" s="1065">
        <f>SUMIF(修正!A45:A56,G2,修正!H45:H56)</f>
        <v>0.2</v>
      </c>
      <c r="G39" s="1051" t="e">
        <f t="shared" si="6"/>
        <v>#DIV/0!</v>
      </c>
      <c r="H39" s="1051">
        <f t="shared" si="8"/>
        <v>0</v>
      </c>
      <c r="I39" s="1051" t="e">
        <f t="shared" si="9"/>
        <v>#DIV/0!</v>
      </c>
      <c r="J39" s="1527"/>
      <c r="K39" s="1402"/>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hidden="1">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hidden="1">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hidden="1">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hidden="1">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hidden="1">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hidden="1">
      <c r="A50" s="1067" t="s">
        <v>1025</v>
      </c>
      <c r="B50" s="3123" t="s">
        <v>2944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hidden="1">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hidden="1">
      <c r="A52" s="1067" t="s">
        <v>1027</v>
      </c>
      <c r="B52" s="3122" t="s">
        <v>2943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hidden="1">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hidden="1">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hidden="1"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hidden="1">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hidden="1">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hidden="1">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hidden="1">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hidden="1">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hidden="1">
      <c r="A61" s="1067" t="s">
        <v>1025</v>
      </c>
      <c r="B61" s="3123" t="s">
        <v>2945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hidden="1">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hidden="1">
      <c r="A63" s="1067" t="s">
        <v>1027</v>
      </c>
      <c r="B63" s="3122" t="s">
        <v>2943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hidden="1">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hidden="1">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hidden="1"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hidden="1">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hidden="1">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hidden="1">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hidden="1">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hidden="1">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hidden="1">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hidden="1">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hidden="1">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hidden="1">
      <c r="A75" s="1067" t="s">
        <v>1027</v>
      </c>
      <c r="B75" s="3122" t="s">
        <v>2943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hidden="1">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hidden="1"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0.98109999999999997</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t="s">
        <v>3212</v>
      </c>
      <c r="D80" s="2442">
        <f t="shared" ref="D80:D87" si="25">SUMIF($J$79:$N$79,C80,J80:N80)</f>
        <v>-1.6899999999999998E-2</v>
      </c>
      <c r="E80" s="2461">
        <f>ROUND(SUM(D80:D87),4)</f>
        <v>-1.89E-2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t="s">
        <v>3212</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6"/>
      <c r="AD81" s="1405"/>
      <c r="AJ81" s="1404"/>
      <c r="AN81" s="1405"/>
    </row>
    <row r="82" spans="1:40" ht="24">
      <c r="A82" s="1067" t="s">
        <v>1024</v>
      </c>
      <c r="B82" s="2433">
        <f>估价对象房地状况!G17</f>
        <v>0</v>
      </c>
      <c r="C82" s="1050" t="s">
        <v>3212</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6"/>
      <c r="AD82" s="1405"/>
      <c r="AJ82" s="1404"/>
      <c r="AN82" s="1405"/>
    </row>
    <row r="83" spans="1:40" ht="14.25">
      <c r="A83" s="1067" t="s">
        <v>1036</v>
      </c>
      <c r="B83" s="2433" t="str">
        <f>估价对象房地状况!G22</f>
        <v>城市支路</v>
      </c>
      <c r="C83" s="1050" t="s">
        <v>3213</v>
      </c>
      <c r="D83" s="2442">
        <f t="shared" si="25"/>
        <v>0</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6"/>
      <c r="AD83" s="1405"/>
      <c r="AJ83" s="1404"/>
      <c r="AN83" s="1405"/>
    </row>
    <row r="84" spans="1:40" ht="24">
      <c r="A84" s="1067" t="s">
        <v>1028</v>
      </c>
      <c r="B84" s="2434" t="str">
        <f>估价对象房地状况!G19</f>
        <v>估价对象所在区域公共配套设施齐备情况</v>
      </c>
      <c r="C84" s="1050" t="s">
        <v>3212</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6"/>
      <c r="AD84" s="1405"/>
      <c r="AJ84" s="1404"/>
      <c r="AN84" s="1405"/>
    </row>
    <row r="85" spans="1:40" ht="24">
      <c r="A85" s="1067" t="s">
        <v>1029</v>
      </c>
      <c r="B85" s="2434" t="str">
        <f>估价对象房地状况!G20</f>
        <v>估价对象所在区域基础设施水平</v>
      </c>
      <c r="C85" s="1050" t="s">
        <v>3214</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6"/>
      <c r="AD85" s="1405"/>
      <c r="AJ85" s="1404"/>
      <c r="AN85" s="1405"/>
    </row>
    <row r="86" spans="1:40" ht="24">
      <c r="A86" s="1067" t="s">
        <v>1027</v>
      </c>
      <c r="B86" s="3122" t="s">
        <v>2943</v>
      </c>
      <c r="C86" s="1050" t="s">
        <v>3215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6"/>
      <c r="AD86" s="1405"/>
      <c r="AJ86" s="1404"/>
      <c r="AN86" s="1405"/>
    </row>
    <row r="87" spans="1:40" ht="36.75" thickBot="1">
      <c r="A87" s="2466" t="s">
        <v>1040</v>
      </c>
      <c r="B87" s="2435" t="str">
        <f>估价对象房地状况!G18</f>
        <v>该园区内是否有污染型企业，绿化情况，卫生条件，整体环境状况判断</v>
      </c>
      <c r="C87" s="1050" t="s">
        <v>3215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6"/>
      <c r="AD87" s="1405"/>
      <c r="AJ87" s="1404"/>
      <c r="AN87" s="1405"/>
    </row>
    <row r="90" spans="1:40">
      <c r="A90" s="3714" t="s">
        <v>1635</v>
      </c>
      <c r="B90" s="3714"/>
      <c r="C90" s="3714"/>
      <c r="D90" s="3714"/>
      <c r="E90" s="3714"/>
      <c r="F90" s="3714"/>
      <c r="G90" s="3714"/>
      <c r="H90" s="3714"/>
      <c r="I90" s="3714"/>
      <c r="J90" s="3714"/>
      <c r="K90" s="2475"/>
      <c r="L90" s="2475"/>
      <c r="M90" s="2475"/>
      <c r="N90" s="2475"/>
    </row>
    <row r="91" spans="1:40">
      <c r="A91" s="3715" t="s">
        <v>1445</v>
      </c>
      <c r="B91" s="3715" t="s">
        <v>1636</v>
      </c>
      <c r="C91" s="1140" t="s">
        <v>1637</v>
      </c>
      <c r="D91" s="1141"/>
      <c r="E91" s="1141"/>
      <c r="F91" s="1141"/>
      <c r="G91" s="1141"/>
      <c r="H91" s="1141"/>
      <c r="I91" s="1141"/>
      <c r="J91" s="1142"/>
      <c r="K91" s="1134"/>
      <c r="L91" s="1134"/>
      <c r="M91" s="1134"/>
      <c r="N91" s="1134"/>
    </row>
    <row r="92" spans="1:40">
      <c r="A92" s="3715"/>
      <c r="B92" s="371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22"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2" t="s">
        <v>1639</v>
      </c>
      <c r="B101" s="1147" t="s">
        <v>907</v>
      </c>
      <c r="C101" s="1148">
        <f>$G$3</f>
        <v>0.74</v>
      </c>
      <c r="D101" s="1148">
        <f t="shared" ref="D101:N101" si="31">$G$3</f>
        <v>0.74</v>
      </c>
      <c r="E101" s="1148">
        <f t="shared" si="31"/>
        <v>0.74</v>
      </c>
      <c r="F101" s="1148">
        <f t="shared" si="31"/>
        <v>0.74</v>
      </c>
      <c r="G101" s="1148">
        <f t="shared" si="31"/>
        <v>0.74</v>
      </c>
      <c r="H101" s="1148">
        <f t="shared" si="31"/>
        <v>0.74</v>
      </c>
      <c r="I101" s="1148">
        <f t="shared" si="31"/>
        <v>0.74</v>
      </c>
      <c r="J101" s="1148">
        <f t="shared" si="31"/>
        <v>0.74</v>
      </c>
      <c r="K101" s="1148">
        <f t="shared" si="31"/>
        <v>0.74</v>
      </c>
      <c r="L101" s="1148">
        <f t="shared" si="31"/>
        <v>0.74</v>
      </c>
      <c r="M101" s="1148">
        <f t="shared" si="31"/>
        <v>0.74</v>
      </c>
      <c r="N101" s="1148">
        <f t="shared" si="31"/>
        <v>0.74</v>
      </c>
    </row>
    <row r="102" spans="1:14">
      <c r="A102" s="3723"/>
      <c r="B102" s="1143">
        <v>1</v>
      </c>
      <c r="C102" s="1144">
        <f>1.9362/C101</f>
        <v>2.6164864864864863</v>
      </c>
      <c r="D102" s="1144">
        <f>1.9362/D101</f>
        <v>2.6164864864864863</v>
      </c>
      <c r="E102" s="1144">
        <f>1.8629/E101</f>
        <v>2.5174324324324324</v>
      </c>
      <c r="F102" s="1144">
        <f>1.8629/F101</f>
        <v>2.5174324324324324</v>
      </c>
      <c r="G102" s="1144">
        <f>1.8629/G101</f>
        <v>2.5174324324324324</v>
      </c>
      <c r="H102" s="1144">
        <f>1.8629/H101</f>
        <v>2.5174324324324324</v>
      </c>
      <c r="I102" s="1144">
        <f>1.8629/I101</f>
        <v>2.5174324324324324</v>
      </c>
      <c r="J102" s="1144">
        <f>1.942/J101</f>
        <v>2.6243243243243244</v>
      </c>
      <c r="K102" s="1144">
        <f>1.942/K101</f>
        <v>2.6243243243243244</v>
      </c>
      <c r="L102" s="1144">
        <f>1.942/L101</f>
        <v>2.6243243243243244</v>
      </c>
      <c r="M102" s="1144">
        <f>1.942/M101</f>
        <v>2.6243243243243244</v>
      </c>
      <c r="N102" s="1144">
        <f>1.942/N101</f>
        <v>2.6243243243243244</v>
      </c>
    </row>
    <row r="103" spans="1:14">
      <c r="A103" s="3723"/>
      <c r="B103" s="1143">
        <v>2</v>
      </c>
      <c r="C103" s="1144">
        <f>1.4198/C101</f>
        <v>1.9186486486486487</v>
      </c>
      <c r="D103" s="1144">
        <f>1.4198/D101</f>
        <v>1.9186486486486487</v>
      </c>
      <c r="E103" s="1144">
        <f>1.3372/E101</f>
        <v>1.807027027027027</v>
      </c>
      <c r="F103" s="1144">
        <f>1.3372/F101</f>
        <v>1.807027027027027</v>
      </c>
      <c r="G103" s="1144">
        <f>1.3372/G101</f>
        <v>1.807027027027027</v>
      </c>
      <c r="H103" s="1144">
        <f>1.3372/H101</f>
        <v>1.807027027027027</v>
      </c>
      <c r="I103" s="1144">
        <f>1.3372/I101</f>
        <v>1.807027027027027</v>
      </c>
      <c r="J103" s="1144">
        <f>1.2799/J101</f>
        <v>1.7295945945945947</v>
      </c>
      <c r="K103" s="1144">
        <f>1.2799/K101</f>
        <v>1.7295945945945947</v>
      </c>
      <c r="L103" s="1144">
        <f>1.2799/L101</f>
        <v>1.7295945945945947</v>
      </c>
      <c r="M103" s="1144">
        <f>1.2799/M101</f>
        <v>1.7295945945945947</v>
      </c>
      <c r="N103" s="1144">
        <f>1.2799/N101</f>
        <v>1.7295945945945947</v>
      </c>
    </row>
    <row r="104" spans="1:14">
      <c r="A104" s="3723"/>
      <c r="B104" s="1143">
        <v>3</v>
      </c>
      <c r="C104" s="1144">
        <f>1.1594/C101</f>
        <v>1.5667567567567569</v>
      </c>
      <c r="D104" s="1144">
        <f>1.1594/D101</f>
        <v>1.5667567567567569</v>
      </c>
      <c r="E104" s="1144">
        <f>1.0788/E101</f>
        <v>1.4578378378378378</v>
      </c>
      <c r="F104" s="1144">
        <f>1.0788/F101</f>
        <v>1.4578378378378378</v>
      </c>
      <c r="G104" s="1144">
        <f>1.0788/G101</f>
        <v>1.4578378378378378</v>
      </c>
      <c r="H104" s="1144">
        <f>1.0788/H101</f>
        <v>1.4578378378378378</v>
      </c>
      <c r="I104" s="1144">
        <f>1.0788/I101</f>
        <v>1.4578378378378378</v>
      </c>
      <c r="J104" s="1144">
        <f>1.0072/J101</f>
        <v>1.3610810810810812</v>
      </c>
      <c r="K104" s="1144">
        <f>1.0072/K101</f>
        <v>1.3610810810810812</v>
      </c>
      <c r="L104" s="1144">
        <f>1.0072/L101</f>
        <v>1.3610810810810812</v>
      </c>
      <c r="M104" s="1144">
        <f>1.0072/M101</f>
        <v>1.3610810810810812</v>
      </c>
      <c r="N104" s="1144">
        <f>1.0072/N101</f>
        <v>1.3610810810810812</v>
      </c>
    </row>
    <row r="105" spans="1:14">
      <c r="A105" s="3723"/>
      <c r="B105" s="1143">
        <v>4</v>
      </c>
      <c r="C105" s="1144">
        <f>0.9622/C101</f>
        <v>1.3002702702702704</v>
      </c>
      <c r="D105" s="1144">
        <f>0.9622/D101</f>
        <v>1.3002702702702704</v>
      </c>
      <c r="E105" s="1144">
        <f>0.8656/E101</f>
        <v>1.1697297297297298</v>
      </c>
      <c r="F105" s="1144">
        <f>0.8656/F101</f>
        <v>1.1697297297297298</v>
      </c>
      <c r="G105" s="1144">
        <f>0.8656/G101</f>
        <v>1.1697297297297298</v>
      </c>
      <c r="H105" s="1144">
        <f>0.8656/H101</f>
        <v>1.1697297297297298</v>
      </c>
      <c r="I105" s="1144">
        <f>0.8656/I101</f>
        <v>1.1697297297297298</v>
      </c>
      <c r="J105" s="1144">
        <f>0.7525/J101</f>
        <v>1.0168918918918919</v>
      </c>
      <c r="K105" s="1144">
        <f>0.7525/K101</f>
        <v>1.0168918918918919</v>
      </c>
      <c r="L105" s="1144">
        <f>0.7525/L101</f>
        <v>1.0168918918918919</v>
      </c>
      <c r="M105" s="1144">
        <f>0.7525/M101</f>
        <v>1.0168918918918919</v>
      </c>
      <c r="N105" s="1144">
        <f>0.7525/N101</f>
        <v>1.0168918918918919</v>
      </c>
    </row>
    <row r="106" spans="1:14">
      <c r="A106" s="3723"/>
      <c r="B106" s="1143">
        <v>5</v>
      </c>
      <c r="C106" s="1144">
        <f>0.8417/C101</f>
        <v>1.1374324324324325</v>
      </c>
      <c r="D106" s="1144">
        <f>0.8417/D101</f>
        <v>1.1374324324324325</v>
      </c>
      <c r="E106" s="1144">
        <f>0.7371/E101</f>
        <v>0.99608108108108107</v>
      </c>
      <c r="F106" s="1144">
        <f>0.7371/F101</f>
        <v>0.99608108108108107</v>
      </c>
      <c r="G106" s="1144">
        <f>0.7371/G101</f>
        <v>0.99608108108108107</v>
      </c>
      <c r="H106" s="1144">
        <f>0.7371/H101</f>
        <v>0.99608108108108107</v>
      </c>
      <c r="I106" s="1144">
        <f>0.7371/I101</f>
        <v>0.99608108108108107</v>
      </c>
      <c r="J106" s="1144">
        <f>0.5659/J101</f>
        <v>0.76472972972972963</v>
      </c>
      <c r="K106" s="1144">
        <f>0.5659/K101</f>
        <v>0.76472972972972963</v>
      </c>
      <c r="L106" s="1144">
        <f>0.5659/L101</f>
        <v>0.76472972972972963</v>
      </c>
      <c r="M106" s="1144">
        <f>0.5659/M101</f>
        <v>0.76472972972972963</v>
      </c>
      <c r="N106" s="1144">
        <f>0.5659/N101</f>
        <v>0.76472972972972963</v>
      </c>
    </row>
    <row r="107" spans="1:14">
      <c r="A107" s="3723"/>
      <c r="B107" s="1143">
        <v>6</v>
      </c>
      <c r="C107" s="1144">
        <f>0.7608/C101</f>
        <v>1.0281081081081083</v>
      </c>
      <c r="D107" s="1144">
        <f>0.7608/D101</f>
        <v>1.0281081081081083</v>
      </c>
      <c r="E107" s="1144">
        <f>0.6482/E101</f>
        <v>0.87594594594594599</v>
      </c>
      <c r="F107" s="1144">
        <f>0.6482/F101</f>
        <v>0.87594594594594599</v>
      </c>
      <c r="G107" s="1144">
        <f>0.6482/G101</f>
        <v>0.87594594594594599</v>
      </c>
      <c r="H107" s="1144">
        <f>0.6482/H101</f>
        <v>0.87594594594594599</v>
      </c>
      <c r="I107" s="1144">
        <f>0.6482/I101</f>
        <v>0.87594594594594599</v>
      </c>
      <c r="J107" s="1144">
        <f>0.4525/J101</f>
        <v>0.61148648648648651</v>
      </c>
      <c r="K107" s="1144">
        <f>0.4525/K101</f>
        <v>0.61148648648648651</v>
      </c>
      <c r="L107" s="1144">
        <f>0.4525/L101</f>
        <v>0.61148648648648651</v>
      </c>
      <c r="M107" s="1144">
        <f>0.4525/M101</f>
        <v>0.61148648648648651</v>
      </c>
      <c r="N107" s="1144">
        <f>0.4525/N101</f>
        <v>0.61148648648648651</v>
      </c>
    </row>
    <row r="108" spans="1:14">
      <c r="A108" s="3723"/>
      <c r="B108" s="372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4"/>
      <c r="B109" s="3726"/>
      <c r="C109" s="1146">
        <f>(-0.163*(C108^2)-0.59*C108+7617)*(10^(-4))/C101</f>
        <v>1.0272767567567567</v>
      </c>
      <c r="D109" s="1146">
        <f>(-0.163*(D108^2)-0.59*D108+7617)*(10^(-4))/D101</f>
        <v>1.0272767567567567</v>
      </c>
      <c r="E109" s="1146">
        <f>(-0.161*(E108^2)-7.509*E108+6533)*(10^(-4))/E101</f>
        <v>0.87332756756756758</v>
      </c>
      <c r="F109" s="1146">
        <f>(-0.161*(F108^2)-7.509*F108+6533)*(10^(-4))/F101</f>
        <v>0.87332756756756758</v>
      </c>
      <c r="G109" s="1146">
        <f>(-0.161*(G108^2)-7.509*G108+6533)*(10^(-4))/G101</f>
        <v>0.87332756756756758</v>
      </c>
      <c r="H109" s="1146">
        <f>(-0.161*(H108^2)-7.509*H108+6533)*(10^(-4))/H101</f>
        <v>0.87332756756756758</v>
      </c>
      <c r="I109" s="1146">
        <f>(-0.161*(I108^2)-7.509*I108+6533)*(10^(-4))/I101</f>
        <v>0.87332756756756758</v>
      </c>
      <c r="J109" s="1146">
        <f>(-0.214*(J108^2)-21.991*J108+4665)*(10^(-4))/J101</f>
        <v>0.60478054054054065</v>
      </c>
      <c r="K109" s="1146">
        <f>(-0.214*(K108^2)-21.991*K108+4665)*(10^(-4))/K101</f>
        <v>0.60478054054054065</v>
      </c>
      <c r="L109" s="1146">
        <f>(-0.214*(L108^2)-21.991*L108+4665)*(10^(-4))/L101</f>
        <v>0.60478054054054065</v>
      </c>
      <c r="M109" s="1146">
        <f>(-0.214*(M108^2)-21.991*M108+4665)*(10^(-4))/M101</f>
        <v>0.60478054054054065</v>
      </c>
      <c r="N109" s="1146">
        <f>(-0.214*(N108^2)-21.991*N108+4665)*(10^(-4))/N101</f>
        <v>0.60478054054054065</v>
      </c>
    </row>
    <row r="110" spans="1:14">
      <c r="A110" s="3709" t="s">
        <v>1641</v>
      </c>
      <c r="B110" s="3709"/>
      <c r="C110" s="3709"/>
      <c r="D110" s="3709"/>
      <c r="E110" s="3709"/>
      <c r="F110" s="3709"/>
      <c r="G110" s="3709"/>
      <c r="H110" s="3709"/>
      <c r="I110" s="3709"/>
      <c r="J110" s="3709"/>
      <c r="K110" s="2473"/>
      <c r="L110" s="2473"/>
      <c r="M110" s="2473"/>
      <c r="N110" s="2473"/>
    </row>
    <row r="112" spans="1:14" ht="12.75" thickBot="1"/>
    <row r="113" spans="1:13" ht="25.5" thickBot="1">
      <c r="A113" s="1016" t="s">
        <v>897</v>
      </c>
      <c r="B113" s="2476">
        <f>G3</f>
        <v>0.74</v>
      </c>
      <c r="C113" s="1017" t="s">
        <v>898</v>
      </c>
      <c r="D113" s="1018">
        <f>SUMPRODUCT((A115:A118=F113)*(B114:M114=H113)*B115:M118)</f>
        <v>0.62090000000000001</v>
      </c>
      <c r="E113" s="1019" t="s">
        <v>899</v>
      </c>
      <c r="F113" s="1020" t="str">
        <f>E2</f>
        <v>工业</v>
      </c>
      <c r="G113" s="1019" t="s">
        <v>900</v>
      </c>
      <c r="H113" s="1020" t="str">
        <f>G2</f>
        <v>七级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0.82499999999999996</v>
      </c>
      <c r="E115" s="1030">
        <f>D115</f>
        <v>0.82499999999999996</v>
      </c>
      <c r="F115" s="1030">
        <f>E115</f>
        <v>0.82499999999999996</v>
      </c>
      <c r="G115" s="1030">
        <f>F115</f>
        <v>0.82499999999999996</v>
      </c>
      <c r="H115" s="1030">
        <f>G115</f>
        <v>0.82499999999999996</v>
      </c>
      <c r="I115" s="1030">
        <f>ROUND(0.689-0.0155*B113,4)</f>
        <v>0.67749999999999999</v>
      </c>
      <c r="J115" s="1030">
        <f t="shared" ref="J115:M118" si="33">I115</f>
        <v>0.67749999999999999</v>
      </c>
      <c r="K115" s="1030">
        <f t="shared" si="33"/>
        <v>0.67749999999999999</v>
      </c>
      <c r="L115" s="1030">
        <f t="shared" si="33"/>
        <v>0.67749999999999999</v>
      </c>
      <c r="M115" s="1031">
        <f t="shared" si="33"/>
        <v>0.67749999999999999</v>
      </c>
    </row>
    <row r="116" spans="1:13" ht="12.75">
      <c r="A116" s="1029" t="s">
        <v>902</v>
      </c>
      <c r="B116" s="1030">
        <f>ROUND(0.949-0.012*B113,4)</f>
        <v>0.94010000000000005</v>
      </c>
      <c r="C116" s="1030">
        <f>B116</f>
        <v>0.94010000000000005</v>
      </c>
      <c r="D116" s="1030">
        <f>ROUND(0.8567-0.013*B113,4)</f>
        <v>0.84709999999999996</v>
      </c>
      <c r="E116" s="1030">
        <f t="shared" ref="E116:H117" si="34">D116</f>
        <v>0.84709999999999996</v>
      </c>
      <c r="F116" s="1030">
        <f t="shared" si="34"/>
        <v>0.84709999999999996</v>
      </c>
      <c r="G116" s="1030">
        <f t="shared" si="34"/>
        <v>0.84709999999999996</v>
      </c>
      <c r="H116" s="1030">
        <f t="shared" si="34"/>
        <v>0.84709999999999996</v>
      </c>
      <c r="I116" s="1030">
        <f>ROUND(0.7694-0.014*B113,4)</f>
        <v>0.75900000000000001</v>
      </c>
      <c r="J116" s="1030">
        <f t="shared" si="33"/>
        <v>0.75900000000000001</v>
      </c>
      <c r="K116" s="1030">
        <f t="shared" si="33"/>
        <v>0.75900000000000001</v>
      </c>
      <c r="L116" s="1030">
        <f t="shared" si="33"/>
        <v>0.75900000000000001</v>
      </c>
      <c r="M116" s="1031">
        <f t="shared" si="33"/>
        <v>0.75900000000000001</v>
      </c>
    </row>
    <row r="117" spans="1:13" ht="12.75">
      <c r="A117" s="1032" t="s">
        <v>903</v>
      </c>
      <c r="B117" s="1030">
        <f>ROUND(0.8808-0.006*B113,4)</f>
        <v>0.87639999999999996</v>
      </c>
      <c r="C117" s="1030">
        <f>B117</f>
        <v>0.87639999999999996</v>
      </c>
      <c r="D117" s="1030">
        <f>ROUND(0.8748-0.008*B113,4)</f>
        <v>0.86890000000000001</v>
      </c>
      <c r="E117" s="1030">
        <f t="shared" si="34"/>
        <v>0.86890000000000001</v>
      </c>
      <c r="F117" s="1030">
        <f t="shared" si="34"/>
        <v>0.86890000000000001</v>
      </c>
      <c r="G117" s="1030">
        <f t="shared" si="34"/>
        <v>0.86890000000000001</v>
      </c>
      <c r="H117" s="1030">
        <f t="shared" si="34"/>
        <v>0.86890000000000001</v>
      </c>
      <c r="I117" s="1030">
        <f>ROUND(0.7412-0.0095*B113,4)</f>
        <v>0.73419999999999996</v>
      </c>
      <c r="J117" s="1030">
        <f t="shared" si="33"/>
        <v>0.73419999999999996</v>
      </c>
      <c r="K117" s="1030">
        <f t="shared" si="33"/>
        <v>0.73419999999999996</v>
      </c>
      <c r="L117" s="1030">
        <f t="shared" si="33"/>
        <v>0.73419999999999996</v>
      </c>
      <c r="M117" s="1031">
        <f t="shared" si="33"/>
        <v>0.73419999999999996</v>
      </c>
    </row>
    <row r="118" spans="1:13" ht="13.5" thickBot="1">
      <c r="A118" s="1033" t="s">
        <v>904</v>
      </c>
      <c r="B118" s="1034">
        <f>ROUND(0.7275-0.01*B113,4)</f>
        <v>0.72009999999999996</v>
      </c>
      <c r="C118" s="1034">
        <f>B118</f>
        <v>0.72009999999999996</v>
      </c>
      <c r="D118" s="1034">
        <f>ROUND(0.7043-0.012*B113,4)</f>
        <v>0.69540000000000002</v>
      </c>
      <c r="E118" s="1034">
        <f>D118</f>
        <v>0.69540000000000002</v>
      </c>
      <c r="F118" s="1034">
        <f>E118</f>
        <v>0.69540000000000002</v>
      </c>
      <c r="G118" s="1034">
        <f>ROUND(0.6299-0.0122*B113,4)</f>
        <v>0.62090000000000001</v>
      </c>
      <c r="H118" s="1034">
        <f>G118</f>
        <v>0.62090000000000001</v>
      </c>
      <c r="I118" s="1034">
        <f>ROUND(0.5667-0.0136*B113,4)</f>
        <v>0.55659999999999998</v>
      </c>
      <c r="J118" s="1034">
        <f t="shared" si="33"/>
        <v>0.55659999999999998</v>
      </c>
      <c r="K118" s="1034">
        <f t="shared" si="33"/>
        <v>0.55659999999999998</v>
      </c>
      <c r="L118" s="1034">
        <f t="shared" si="33"/>
        <v>0.55659999999999998</v>
      </c>
      <c r="M118" s="1035">
        <f t="shared" si="33"/>
        <v>0.55659999999999998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715" t="s">
        <v>1009</v>
      </c>
      <c r="B18" s="1154" t="s">
        <v>1448</v>
      </c>
      <c r="C18" s="1131" t="s">
        <v>1449</v>
      </c>
      <c r="D18" s="1132"/>
      <c r="E18" s="1154">
        <v>1</v>
      </c>
      <c r="F18" s="1133" t="s">
        <v>1450</v>
      </c>
      <c r="G18" s="1134"/>
      <c r="H18" s="1105"/>
      <c r="I18" s="1105"/>
    </row>
    <row r="19" spans="1:9" s="1599" customFormat="1" ht="19.5" customHeight="1">
      <c r="A19" s="3715"/>
      <c r="B19" s="3715" t="s">
        <v>1451</v>
      </c>
      <c r="C19" s="1131" t="s">
        <v>1452</v>
      </c>
      <c r="D19" s="1132"/>
      <c r="E19" s="1154">
        <v>0.9</v>
      </c>
      <c r="F19" s="1133" t="s">
        <v>1453</v>
      </c>
      <c r="G19" s="1134"/>
      <c r="H19" s="1105"/>
      <c r="I19" s="1105"/>
    </row>
    <row r="20" spans="1:9" s="1599" customFormat="1" ht="19.5" customHeight="1">
      <c r="A20" s="3715"/>
      <c r="B20" s="3715"/>
      <c r="C20" s="1131" t="s">
        <v>1454</v>
      </c>
      <c r="D20" s="1132"/>
      <c r="E20" s="1154">
        <v>1.1000000000000001</v>
      </c>
      <c r="F20" s="1133" t="s">
        <v>1455</v>
      </c>
      <c r="G20" s="1134"/>
      <c r="H20" s="1105"/>
      <c r="I20" s="1105"/>
    </row>
    <row r="21" spans="1:9" s="1599" customFormat="1" ht="19.5" customHeight="1">
      <c r="A21" s="3715"/>
      <c r="B21" s="3715"/>
      <c r="C21" s="1131" t="s">
        <v>1456</v>
      </c>
      <c r="D21" s="1132"/>
      <c r="E21" s="1154">
        <v>0.8</v>
      </c>
      <c r="F21" s="1133" t="s">
        <v>1457</v>
      </c>
      <c r="G21" s="1134"/>
      <c r="H21" s="1105"/>
      <c r="I21" s="1105"/>
    </row>
    <row r="22" spans="1:9" s="1599" customFormat="1" ht="19.5" customHeight="1">
      <c r="A22" s="3715"/>
      <c r="B22" s="3715"/>
      <c r="C22" s="1131" t="s">
        <v>1458</v>
      </c>
      <c r="D22" s="1132"/>
      <c r="E22" s="1154">
        <v>0.5</v>
      </c>
      <c r="F22" s="1133"/>
      <c r="G22" s="1134"/>
      <c r="H22" s="1105"/>
      <c r="I22" s="1105"/>
    </row>
    <row r="23" spans="1:9" s="1599" customFormat="1" ht="19.5" customHeight="1">
      <c r="A23" s="3715" t="s">
        <v>1031</v>
      </c>
      <c r="B23" s="1154" t="s">
        <v>1448</v>
      </c>
      <c r="C23" s="1131" t="s">
        <v>1459</v>
      </c>
      <c r="D23" s="1132"/>
      <c r="E23" s="1154">
        <v>1</v>
      </c>
      <c r="F23" s="1133" t="s">
        <v>1460</v>
      </c>
      <c r="G23" s="1134"/>
      <c r="H23" s="1105"/>
      <c r="I23" s="1105"/>
    </row>
    <row r="24" spans="1:9" s="1599" customFormat="1" ht="19.5" customHeight="1">
      <c r="A24" s="3715"/>
      <c r="B24" s="3715" t="s">
        <v>1451</v>
      </c>
      <c r="C24" s="1131" t="s">
        <v>1461</v>
      </c>
      <c r="D24" s="1132"/>
      <c r="E24" s="1154">
        <v>0.5</v>
      </c>
      <c r="F24" s="1133"/>
      <c r="G24" s="1134"/>
      <c r="H24" s="1105"/>
      <c r="I24" s="1105"/>
    </row>
    <row r="25" spans="1:9" s="1599" customFormat="1" ht="19.5" customHeight="1">
      <c r="A25" s="3715"/>
      <c r="B25" s="3715"/>
      <c r="C25" s="1131" t="s">
        <v>1462</v>
      </c>
      <c r="D25" s="1132"/>
      <c r="E25" s="1154">
        <v>1.1000000000000001</v>
      </c>
      <c r="F25" s="1133"/>
      <c r="G25" s="1134"/>
      <c r="H25" s="1105"/>
      <c r="I25" s="1105"/>
    </row>
    <row r="26" spans="1:9" s="1599" customFormat="1" ht="19.5" customHeight="1">
      <c r="A26" s="3715"/>
      <c r="B26" s="3715"/>
      <c r="C26" s="1131" t="s">
        <v>1463</v>
      </c>
      <c r="D26" s="1132"/>
      <c r="E26" s="1154">
        <v>1.1000000000000001</v>
      </c>
      <c r="F26" s="1133"/>
      <c r="G26" s="1134"/>
      <c r="H26" s="1105"/>
      <c r="I26" s="1105"/>
    </row>
    <row r="27" spans="1:9" s="1599" customFormat="1" ht="19.5" customHeight="1">
      <c r="A27" s="3715"/>
      <c r="B27" s="3715"/>
      <c r="C27" s="1131" t="s">
        <v>1464</v>
      </c>
      <c r="D27" s="1132"/>
      <c r="E27" s="1154">
        <v>0.9</v>
      </c>
      <c r="F27" s="1133" t="s">
        <v>1465</v>
      </c>
      <c r="G27" s="1134"/>
      <c r="H27" s="1105"/>
      <c r="I27" s="1105"/>
    </row>
    <row r="28" spans="1:9" s="1599" customFormat="1" ht="19.5" customHeight="1">
      <c r="A28" s="3715"/>
      <c r="B28" s="3715"/>
      <c r="C28" s="1131" t="s">
        <v>1466</v>
      </c>
      <c r="D28" s="1132"/>
      <c r="E28" s="1154">
        <v>0.9</v>
      </c>
      <c r="F28" s="1133" t="s">
        <v>1467</v>
      </c>
      <c r="G28" s="1134"/>
      <c r="H28" s="1105"/>
      <c r="I28" s="1105"/>
    </row>
    <row r="29" spans="1:9" s="1599" customFormat="1" ht="19.5" customHeight="1">
      <c r="A29" s="3715"/>
      <c r="B29" s="3715"/>
      <c r="C29" s="1131" t="s">
        <v>1468</v>
      </c>
      <c r="D29" s="1132"/>
      <c r="E29" s="1154">
        <v>0.9</v>
      </c>
      <c r="F29" s="1133" t="s">
        <v>1469</v>
      </c>
      <c r="G29" s="1134"/>
      <c r="H29" s="1105"/>
      <c r="I29" s="1105"/>
    </row>
    <row r="30" spans="1:9" s="1599" customFormat="1" ht="19.5" customHeight="1">
      <c r="A30" s="3715"/>
      <c r="B30" s="3715"/>
      <c r="C30" s="1131" t="s">
        <v>1470</v>
      </c>
      <c r="D30" s="1132"/>
      <c r="E30" s="1154">
        <v>0.9</v>
      </c>
      <c r="F30" s="1133" t="s">
        <v>1471</v>
      </c>
      <c r="G30" s="1134"/>
      <c r="H30" s="1105"/>
      <c r="I30" s="1105"/>
    </row>
    <row r="31" spans="1:9" s="1599" customFormat="1" ht="19.5" customHeight="1">
      <c r="A31" s="3715"/>
      <c r="B31" s="3715"/>
      <c r="C31" s="1131" t="s">
        <v>1472</v>
      </c>
      <c r="D31" s="1132"/>
      <c r="E31" s="1154">
        <v>0.8</v>
      </c>
      <c r="F31" s="1133" t="s">
        <v>1473</v>
      </c>
      <c r="G31" s="1134"/>
      <c r="H31" s="1105"/>
      <c r="I31" s="1105"/>
    </row>
    <row r="32" spans="1:9" s="1599" customFormat="1" ht="19.5" customHeight="1">
      <c r="A32" s="3715"/>
      <c r="B32" s="3715"/>
      <c r="C32" s="1131" t="s">
        <v>1474</v>
      </c>
      <c r="D32" s="1132"/>
      <c r="E32" s="1154">
        <v>0.8</v>
      </c>
      <c r="F32" s="1133" t="s">
        <v>1475</v>
      </c>
      <c r="G32" s="1134"/>
      <c r="H32" s="1105"/>
      <c r="I32" s="1105"/>
    </row>
    <row r="33" spans="1:9" s="1599" customFormat="1" ht="19.5" customHeight="1">
      <c r="A33" s="3715" t="s">
        <v>1476</v>
      </c>
      <c r="B33" s="1154" t="s">
        <v>1448</v>
      </c>
      <c r="C33" s="1131" t="s">
        <v>1477</v>
      </c>
      <c r="D33" s="1132"/>
      <c r="E33" s="1154">
        <v>1</v>
      </c>
      <c r="F33" s="1133" t="s">
        <v>1478</v>
      </c>
      <c r="G33" s="1134"/>
      <c r="H33" s="1105"/>
      <c r="I33" s="1105"/>
    </row>
    <row r="34" spans="1:9" s="1599" customFormat="1" ht="19.5" customHeight="1">
      <c r="A34" s="3715"/>
      <c r="B34" s="1154" t="s">
        <v>1451</v>
      </c>
      <c r="C34" s="1131" t="s">
        <v>1479</v>
      </c>
      <c r="D34" s="1132"/>
      <c r="E34" s="1154">
        <v>1.5</v>
      </c>
      <c r="F34" s="1133" t="s">
        <v>1480</v>
      </c>
      <c r="G34" s="1134"/>
      <c r="H34" s="1105"/>
      <c r="I34" s="1105"/>
    </row>
    <row r="35" spans="1:9" s="1599" customFormat="1" ht="19.5" customHeight="1">
      <c r="A35" s="3715" t="s">
        <v>1434</v>
      </c>
      <c r="B35" s="1154" t="s">
        <v>1448</v>
      </c>
      <c r="C35" s="1131" t="s">
        <v>1481</v>
      </c>
      <c r="D35" s="1132"/>
      <c r="E35" s="1154">
        <v>1</v>
      </c>
      <c r="F35" s="1133" t="s">
        <v>1482</v>
      </c>
      <c r="G35" s="1134"/>
      <c r="H35" s="1105"/>
      <c r="I35" s="1105"/>
    </row>
    <row r="36" spans="1:9" s="1599" customFormat="1" ht="19.5" customHeight="1">
      <c r="A36" s="3715"/>
      <c r="B36" s="3715" t="s">
        <v>1451</v>
      </c>
      <c r="C36" s="1131" t="s">
        <v>1483</v>
      </c>
      <c r="D36" s="1132"/>
      <c r="E36" s="1154">
        <v>1</v>
      </c>
      <c r="F36" s="1133" t="s">
        <v>1484</v>
      </c>
      <c r="G36" s="1134"/>
      <c r="H36" s="1105"/>
      <c r="I36" s="1105"/>
    </row>
    <row r="37" spans="1:9" s="1599" customFormat="1" ht="19.5" customHeight="1">
      <c r="A37" s="3715"/>
      <c r="B37" s="3715"/>
      <c r="C37" s="1131" t="s">
        <v>1485</v>
      </c>
      <c r="D37" s="1132"/>
      <c r="E37" s="1154">
        <v>1.5</v>
      </c>
      <c r="F37" s="1133" t="s">
        <v>1486</v>
      </c>
      <c r="G37" s="1134"/>
      <c r="H37" s="1105"/>
      <c r="I37" s="1105"/>
    </row>
    <row r="38" spans="1:9" s="1599" customFormat="1" ht="19.5" customHeight="1">
      <c r="A38" s="3715"/>
      <c r="B38" s="3715"/>
      <c r="C38" s="1131" t="s">
        <v>1487</v>
      </c>
      <c r="D38" s="1132"/>
      <c r="E38" s="1154">
        <v>1</v>
      </c>
      <c r="F38" s="1133" t="s">
        <v>1488</v>
      </c>
      <c r="G38" s="1134"/>
      <c r="H38" s="1105"/>
      <c r="I38" s="1105"/>
    </row>
    <row r="39" spans="1:9" s="1599" customFormat="1" ht="19.5" customHeight="1">
      <c r="A39" s="3715"/>
      <c r="B39" s="3715"/>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5" t="s">
        <v>1503</v>
      </c>
      <c r="C61" s="1068" t="s">
        <v>1504</v>
      </c>
      <c r="D61" s="1068" t="s">
        <v>1505</v>
      </c>
      <c r="E61" s="1139">
        <v>0.5</v>
      </c>
      <c r="F61" s="1154">
        <v>80</v>
      </c>
      <c r="H61" s="1105">
        <f>SUMIF(C59:C119,基准地价!C8,E59:E119)</f>
        <v>0</v>
      </c>
    </row>
    <row r="62" spans="1:8" s="1105" customFormat="1" ht="24">
      <c r="A62" s="1154">
        <v>2</v>
      </c>
      <c r="B62" s="3715"/>
      <c r="C62" s="1068" t="s">
        <v>1506</v>
      </c>
      <c r="D62" s="1068" t="s">
        <v>1507</v>
      </c>
      <c r="E62" s="1139">
        <v>0.5</v>
      </c>
      <c r="F62" s="1154">
        <v>80</v>
      </c>
    </row>
    <row r="63" spans="1:8" s="1105" customFormat="1" ht="36">
      <c r="A63" s="1154">
        <v>3</v>
      </c>
      <c r="B63" s="3715"/>
      <c r="C63" s="1068" t="s">
        <v>1508</v>
      </c>
      <c r="D63" s="1068" t="s">
        <v>1509</v>
      </c>
      <c r="E63" s="1139">
        <v>0.5</v>
      </c>
      <c r="F63" s="1154">
        <v>80</v>
      </c>
    </row>
    <row r="64" spans="1:8" s="1105" customFormat="1" ht="36">
      <c r="A64" s="1154">
        <v>4</v>
      </c>
      <c r="B64" s="3715"/>
      <c r="C64" s="1068" t="s">
        <v>1510</v>
      </c>
      <c r="D64" s="1068" t="s">
        <v>1511</v>
      </c>
      <c r="E64" s="1139">
        <v>0.4</v>
      </c>
      <c r="F64" s="1154">
        <v>60</v>
      </c>
    </row>
    <row r="65" spans="1:6" s="1105" customFormat="1" ht="36">
      <c r="A65" s="1154">
        <v>5</v>
      </c>
      <c r="B65" s="3715"/>
      <c r="C65" s="1068" t="s">
        <v>1512</v>
      </c>
      <c r="D65" s="1068" t="s">
        <v>1513</v>
      </c>
      <c r="E65" s="1139">
        <v>0.2</v>
      </c>
      <c r="F65" s="1154">
        <v>30</v>
      </c>
    </row>
    <row r="66" spans="1:6" s="1105" customFormat="1" ht="36">
      <c r="A66" s="1154">
        <v>6</v>
      </c>
      <c r="B66" s="3715"/>
      <c r="C66" s="1068" t="s">
        <v>1514</v>
      </c>
      <c r="D66" s="1068" t="s">
        <v>1515</v>
      </c>
      <c r="E66" s="1139">
        <v>0.3</v>
      </c>
      <c r="F66" s="1154">
        <v>50</v>
      </c>
    </row>
    <row r="67" spans="1:6" s="1105" customFormat="1" ht="36">
      <c r="A67" s="1154">
        <v>7</v>
      </c>
      <c r="B67" s="3715"/>
      <c r="C67" s="1068" t="s">
        <v>1516</v>
      </c>
      <c r="D67" s="1068" t="s">
        <v>1517</v>
      </c>
      <c r="E67" s="1139">
        <v>0.2</v>
      </c>
      <c r="F67" s="1154">
        <v>30</v>
      </c>
    </row>
    <row r="68" spans="1:6" s="1105" customFormat="1" ht="36">
      <c r="A68" s="1154">
        <v>8</v>
      </c>
      <c r="B68" s="3715"/>
      <c r="C68" s="1068" t="s">
        <v>1518</v>
      </c>
      <c r="D68" s="1068" t="s">
        <v>1519</v>
      </c>
      <c r="E68" s="1139">
        <v>0.2</v>
      </c>
      <c r="F68" s="1154">
        <v>30</v>
      </c>
    </row>
    <row r="69" spans="1:6" s="1105" customFormat="1" ht="36">
      <c r="A69" s="1154">
        <v>9</v>
      </c>
      <c r="B69" s="3715"/>
      <c r="C69" s="1068" t="s">
        <v>1520</v>
      </c>
      <c r="D69" s="1068" t="s">
        <v>1521</v>
      </c>
      <c r="E69" s="1139">
        <v>0.2</v>
      </c>
      <c r="F69" s="1154">
        <v>30</v>
      </c>
    </row>
    <row r="70" spans="1:6" s="1105" customFormat="1" ht="48">
      <c r="A70" s="1154">
        <v>10</v>
      </c>
      <c r="B70" s="3715"/>
      <c r="C70" s="1068" t="s">
        <v>1522</v>
      </c>
      <c r="D70" s="1068" t="s">
        <v>1523</v>
      </c>
      <c r="E70" s="1139">
        <v>0.2</v>
      </c>
      <c r="F70" s="1154">
        <v>30</v>
      </c>
    </row>
    <row r="71" spans="1:6" s="1105" customFormat="1" ht="48">
      <c r="A71" s="1154">
        <v>11</v>
      </c>
      <c r="B71" s="3715"/>
      <c r="C71" s="1068" t="s">
        <v>1524</v>
      </c>
      <c r="D71" s="1068" t="s">
        <v>1525</v>
      </c>
      <c r="E71" s="1139">
        <v>0.2</v>
      </c>
      <c r="F71" s="1154">
        <v>30</v>
      </c>
    </row>
    <row r="72" spans="1:6" s="1105" customFormat="1" ht="36">
      <c r="A72" s="1154">
        <v>12</v>
      </c>
      <c r="B72" s="3715"/>
      <c r="C72" s="1068" t="s">
        <v>1526</v>
      </c>
      <c r="D72" s="1068" t="s">
        <v>1527</v>
      </c>
      <c r="E72" s="1139">
        <v>0.5</v>
      </c>
      <c r="F72" s="1154">
        <v>80</v>
      </c>
    </row>
    <row r="73" spans="1:6" s="1105" customFormat="1" ht="24">
      <c r="A73" s="1154">
        <v>13</v>
      </c>
      <c r="B73" s="3715"/>
      <c r="C73" s="1068" t="s">
        <v>1528</v>
      </c>
      <c r="D73" s="1068" t="s">
        <v>1529</v>
      </c>
      <c r="E73" s="1139">
        <v>0.4</v>
      </c>
      <c r="F73" s="1154">
        <v>60</v>
      </c>
    </row>
    <row r="74" spans="1:6" s="1105" customFormat="1" ht="24">
      <c r="A74" s="1154">
        <v>14</v>
      </c>
      <c r="B74" s="3715"/>
      <c r="C74" s="1068" t="s">
        <v>1530</v>
      </c>
      <c r="D74" s="1068" t="s">
        <v>1531</v>
      </c>
      <c r="E74" s="1139">
        <v>0.2</v>
      </c>
      <c r="F74" s="1154">
        <v>30</v>
      </c>
    </row>
    <row r="75" spans="1:6" s="1105" customFormat="1" ht="24">
      <c r="A75" s="1154">
        <v>15</v>
      </c>
      <c r="B75" s="3715"/>
      <c r="C75" s="1068" t="s">
        <v>1532</v>
      </c>
      <c r="D75" s="1068" t="s">
        <v>1533</v>
      </c>
      <c r="E75" s="1139">
        <v>0.2</v>
      </c>
      <c r="F75" s="1154">
        <v>30</v>
      </c>
    </row>
    <row r="76" spans="1:6" s="1105" customFormat="1" ht="24">
      <c r="A76" s="1154">
        <v>16</v>
      </c>
      <c r="B76" s="3715" t="s">
        <v>1534</v>
      </c>
      <c r="C76" s="1068" t="s">
        <v>1535</v>
      </c>
      <c r="D76" s="1068" t="s">
        <v>1536</v>
      </c>
      <c r="E76" s="1139">
        <v>0.5</v>
      </c>
      <c r="F76" s="1154">
        <v>80</v>
      </c>
    </row>
    <row r="77" spans="1:6" s="1105" customFormat="1" ht="24">
      <c r="A77" s="1154">
        <v>17</v>
      </c>
      <c r="B77" s="3715"/>
      <c r="C77" s="1068" t="s">
        <v>1537</v>
      </c>
      <c r="D77" s="1068" t="s">
        <v>1538</v>
      </c>
      <c r="E77" s="1139">
        <v>0.5</v>
      </c>
      <c r="F77" s="1154">
        <v>80</v>
      </c>
    </row>
    <row r="78" spans="1:6" s="1105" customFormat="1" ht="24">
      <c r="A78" s="1154">
        <v>18</v>
      </c>
      <c r="B78" s="3715"/>
      <c r="C78" s="1068" t="s">
        <v>1539</v>
      </c>
      <c r="D78" s="1068" t="s">
        <v>1540</v>
      </c>
      <c r="E78" s="1139">
        <v>0.2</v>
      </c>
      <c r="F78" s="1154">
        <v>30</v>
      </c>
    </row>
    <row r="79" spans="1:6" s="1105" customFormat="1" ht="24">
      <c r="A79" s="1154">
        <v>19</v>
      </c>
      <c r="B79" s="3715"/>
      <c r="C79" s="1068" t="s">
        <v>1541</v>
      </c>
      <c r="D79" s="1068" t="s">
        <v>1542</v>
      </c>
      <c r="E79" s="1139">
        <v>0.5</v>
      </c>
      <c r="F79" s="1154">
        <v>80</v>
      </c>
    </row>
    <row r="80" spans="1:6" s="1105" customFormat="1" ht="36">
      <c r="A80" s="1154">
        <v>20</v>
      </c>
      <c r="B80" s="3715"/>
      <c r="C80" s="1068" t="s">
        <v>1543</v>
      </c>
      <c r="D80" s="1068" t="s">
        <v>1544</v>
      </c>
      <c r="E80" s="1139">
        <v>0.2</v>
      </c>
      <c r="F80" s="1154">
        <v>30</v>
      </c>
    </row>
    <row r="81" spans="1:6" s="1105" customFormat="1" ht="36">
      <c r="A81" s="1154">
        <v>21</v>
      </c>
      <c r="B81" s="3715"/>
      <c r="C81" s="1068" t="s">
        <v>1545</v>
      </c>
      <c r="D81" s="1068" t="s">
        <v>1546</v>
      </c>
      <c r="E81" s="1139">
        <v>0.2</v>
      </c>
      <c r="F81" s="1154">
        <v>30</v>
      </c>
    </row>
    <row r="82" spans="1:6" s="1105" customFormat="1" ht="48">
      <c r="A82" s="1154">
        <v>22</v>
      </c>
      <c r="B82" s="3715"/>
      <c r="C82" s="1068" t="s">
        <v>1547</v>
      </c>
      <c r="D82" s="1068" t="s">
        <v>1548</v>
      </c>
      <c r="E82" s="1139">
        <v>0.2</v>
      </c>
      <c r="F82" s="1154">
        <v>30</v>
      </c>
    </row>
    <row r="83" spans="1:6" s="1105" customFormat="1" ht="48">
      <c r="A83" s="1154">
        <v>23</v>
      </c>
      <c r="B83" s="3715"/>
      <c r="C83" s="1068" t="s">
        <v>1549</v>
      </c>
      <c r="D83" s="1068" t="s">
        <v>1550</v>
      </c>
      <c r="E83" s="1139">
        <v>0.2</v>
      </c>
      <c r="F83" s="1154">
        <v>30</v>
      </c>
    </row>
    <row r="84" spans="1:6" s="1105" customFormat="1" ht="36">
      <c r="A84" s="1154">
        <v>24</v>
      </c>
      <c r="B84" s="3715"/>
      <c r="C84" s="1068" t="s">
        <v>1551</v>
      </c>
      <c r="D84" s="1068" t="s">
        <v>1552</v>
      </c>
      <c r="E84" s="1139">
        <v>0.2</v>
      </c>
      <c r="F84" s="1154">
        <v>30</v>
      </c>
    </row>
    <row r="85" spans="1:6" s="1105" customFormat="1" ht="36">
      <c r="A85" s="1154">
        <v>25</v>
      </c>
      <c r="B85" s="3715"/>
      <c r="C85" s="1068" t="s">
        <v>1553</v>
      </c>
      <c r="D85" s="1068" t="s">
        <v>1554</v>
      </c>
      <c r="E85" s="1139">
        <v>0.5</v>
      </c>
      <c r="F85" s="1154">
        <v>80</v>
      </c>
    </row>
    <row r="86" spans="1:6" s="1105" customFormat="1" ht="36">
      <c r="A86" s="1154">
        <v>26</v>
      </c>
      <c r="B86" s="3715"/>
      <c r="C86" s="1068" t="s">
        <v>1555</v>
      </c>
      <c r="D86" s="1068" t="s">
        <v>1556</v>
      </c>
      <c r="E86" s="1139">
        <v>0.2</v>
      </c>
      <c r="F86" s="1154">
        <v>30</v>
      </c>
    </row>
    <row r="87" spans="1:6" s="1105" customFormat="1" ht="36">
      <c r="A87" s="1154">
        <v>27</v>
      </c>
      <c r="B87" s="3715"/>
      <c r="C87" s="1068" t="s">
        <v>1557</v>
      </c>
      <c r="D87" s="1068" t="s">
        <v>1558</v>
      </c>
      <c r="E87" s="1139">
        <v>0.2</v>
      </c>
      <c r="F87" s="1154">
        <v>30</v>
      </c>
    </row>
    <row r="88" spans="1:6" s="1105" customFormat="1" ht="36">
      <c r="A88" s="1154">
        <v>28</v>
      </c>
      <c r="B88" s="3715"/>
      <c r="C88" s="1068" t="s">
        <v>1559</v>
      </c>
      <c r="D88" s="1068" t="s">
        <v>1560</v>
      </c>
      <c r="E88" s="1139">
        <v>0.2</v>
      </c>
      <c r="F88" s="1154">
        <v>30</v>
      </c>
    </row>
    <row r="89" spans="1:6" s="1105" customFormat="1" ht="24">
      <c r="A89" s="1154">
        <v>29</v>
      </c>
      <c r="B89" s="3715"/>
      <c r="C89" s="1068" t="s">
        <v>1561</v>
      </c>
      <c r="D89" s="1068" t="s">
        <v>1562</v>
      </c>
      <c r="E89" s="1139">
        <v>0.2</v>
      </c>
      <c r="F89" s="1154">
        <v>30</v>
      </c>
    </row>
    <row r="90" spans="1:6" s="1105" customFormat="1" ht="24">
      <c r="A90" s="1154">
        <v>30</v>
      </c>
      <c r="B90" s="3715"/>
      <c r="C90" s="1068" t="s">
        <v>1563</v>
      </c>
      <c r="D90" s="1068" t="s">
        <v>1564</v>
      </c>
      <c r="E90" s="1139">
        <v>0.2</v>
      </c>
      <c r="F90" s="1154">
        <v>30</v>
      </c>
    </row>
    <row r="91" spans="1:6" s="1105" customFormat="1" ht="36">
      <c r="A91" s="1154">
        <v>31</v>
      </c>
      <c r="B91" s="3715"/>
      <c r="C91" s="1068" t="s">
        <v>1565</v>
      </c>
      <c r="D91" s="1068" t="s">
        <v>1566</v>
      </c>
      <c r="E91" s="1139">
        <v>0.2</v>
      </c>
      <c r="F91" s="1154">
        <v>30</v>
      </c>
    </row>
    <row r="92" spans="1:6" s="1105" customFormat="1" ht="24">
      <c r="A92" s="1154">
        <v>32</v>
      </c>
      <c r="B92" s="3715" t="s">
        <v>1567</v>
      </c>
      <c r="C92" s="1154" t="s">
        <v>1568</v>
      </c>
      <c r="D92" s="1068" t="s">
        <v>1569</v>
      </c>
      <c r="E92" s="1139">
        <v>0.2</v>
      </c>
      <c r="F92" s="1154">
        <v>30</v>
      </c>
    </row>
    <row r="93" spans="1:6" s="1105" customFormat="1" ht="36">
      <c r="A93" s="1154">
        <v>33</v>
      </c>
      <c r="B93" s="3715"/>
      <c r="C93" s="1154" t="s">
        <v>1570</v>
      </c>
      <c r="D93" s="1068" t="s">
        <v>1571</v>
      </c>
      <c r="E93" s="1139">
        <v>0.2</v>
      </c>
      <c r="F93" s="1154">
        <v>30</v>
      </c>
    </row>
    <row r="94" spans="1:6" s="1105" customFormat="1" ht="48">
      <c r="A94" s="1154">
        <v>34</v>
      </c>
      <c r="B94" s="3715"/>
      <c r="C94" s="1154" t="s">
        <v>1572</v>
      </c>
      <c r="D94" s="1068" t="s">
        <v>1573</v>
      </c>
      <c r="E94" s="1139">
        <v>0.2</v>
      </c>
      <c r="F94" s="1154">
        <v>30</v>
      </c>
    </row>
    <row r="95" spans="1:6" s="1105" customFormat="1" ht="36">
      <c r="A95" s="1154">
        <v>35</v>
      </c>
      <c r="B95" s="3715"/>
      <c r="C95" s="1154" t="s">
        <v>1574</v>
      </c>
      <c r="D95" s="1068" t="s">
        <v>1575</v>
      </c>
      <c r="E95" s="1139">
        <v>0.2</v>
      </c>
      <c r="F95" s="1154">
        <v>30</v>
      </c>
    </row>
    <row r="96" spans="1:6" s="1105" customFormat="1" ht="48">
      <c r="A96" s="1154">
        <v>36</v>
      </c>
      <c r="B96" s="3715"/>
      <c r="C96" s="1068" t="s">
        <v>1576</v>
      </c>
      <c r="D96" s="1068" t="s">
        <v>1577</v>
      </c>
      <c r="E96" s="1139">
        <v>0.2</v>
      </c>
      <c r="F96" s="1154">
        <v>30</v>
      </c>
    </row>
    <row r="97" spans="1:6" s="1105" customFormat="1" ht="36">
      <c r="A97" s="1154">
        <v>37</v>
      </c>
      <c r="B97" s="3715"/>
      <c r="C97" s="1154" t="s">
        <v>1578</v>
      </c>
      <c r="D97" s="1068" t="s">
        <v>1579</v>
      </c>
      <c r="E97" s="1139">
        <v>0.2</v>
      </c>
      <c r="F97" s="1154">
        <v>30</v>
      </c>
    </row>
    <row r="98" spans="1:6" s="1105" customFormat="1" ht="36">
      <c r="A98" s="1154">
        <v>38</v>
      </c>
      <c r="B98" s="3715"/>
      <c r="C98" s="1154" t="s">
        <v>1580</v>
      </c>
      <c r="D98" s="1068" t="s">
        <v>1581</v>
      </c>
      <c r="E98" s="1139">
        <v>0.2</v>
      </c>
      <c r="F98" s="1154">
        <v>30</v>
      </c>
    </row>
    <row r="99" spans="1:6" s="1105" customFormat="1" ht="36">
      <c r="A99" s="1154">
        <v>39</v>
      </c>
      <c r="B99" s="3715" t="s">
        <v>1582</v>
      </c>
      <c r="C99" s="1154" t="s">
        <v>1583</v>
      </c>
      <c r="D99" s="1068" t="s">
        <v>1584</v>
      </c>
      <c r="E99" s="1139">
        <v>0.3</v>
      </c>
      <c r="F99" s="1154">
        <v>50</v>
      </c>
    </row>
    <row r="100" spans="1:6" s="1105" customFormat="1" ht="24">
      <c r="A100" s="1154">
        <v>40</v>
      </c>
      <c r="B100" s="3715"/>
      <c r="C100" s="1154" t="s">
        <v>1585</v>
      </c>
      <c r="D100" s="1068" t="s">
        <v>1586</v>
      </c>
      <c r="E100" s="1139">
        <v>0.2</v>
      </c>
      <c r="F100" s="1154">
        <v>30</v>
      </c>
    </row>
    <row r="101" spans="1:6" s="1105" customFormat="1" ht="36">
      <c r="A101" s="1154">
        <v>41</v>
      </c>
      <c r="B101" s="371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5" t="s">
        <v>1597</v>
      </c>
      <c r="C105" s="1154" t="s">
        <v>1598</v>
      </c>
      <c r="D105" s="1068" t="s">
        <v>1599</v>
      </c>
      <c r="E105" s="1139">
        <v>0.2</v>
      </c>
      <c r="F105" s="1154">
        <v>30</v>
      </c>
    </row>
    <row r="106" spans="1:6" s="1105" customFormat="1" ht="36">
      <c r="A106" s="1154">
        <v>46</v>
      </c>
      <c r="B106" s="3715"/>
      <c r="C106" s="1154" t="s">
        <v>1600</v>
      </c>
      <c r="D106" s="1068" t="s">
        <v>1601</v>
      </c>
      <c r="E106" s="1139">
        <v>0.2</v>
      </c>
      <c r="F106" s="1154">
        <v>30</v>
      </c>
    </row>
    <row r="107" spans="1:6" s="1105" customFormat="1" ht="36">
      <c r="A107" s="1154">
        <v>47</v>
      </c>
      <c r="B107" s="3715" t="s">
        <v>1602</v>
      </c>
      <c r="C107" s="1154" t="s">
        <v>1603</v>
      </c>
      <c r="D107" s="1068" t="s">
        <v>1604</v>
      </c>
      <c r="E107" s="1139">
        <v>0.3</v>
      </c>
      <c r="F107" s="1154">
        <v>50</v>
      </c>
    </row>
    <row r="108" spans="1:6" s="1105" customFormat="1" ht="36">
      <c r="A108" s="1154">
        <v>48</v>
      </c>
      <c r="B108" s="371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5" t="s">
        <v>1613</v>
      </c>
      <c r="C111" s="1154" t="s">
        <v>1614</v>
      </c>
      <c r="D111" s="1068" t="s">
        <v>1615</v>
      </c>
      <c r="E111" s="1139">
        <v>0.2</v>
      </c>
      <c r="F111" s="1154">
        <v>30</v>
      </c>
    </row>
    <row r="112" spans="1:6" s="1105" customFormat="1" ht="24">
      <c r="A112" s="1154">
        <v>52</v>
      </c>
      <c r="B112" s="3715"/>
      <c r="C112" s="1154" t="s">
        <v>1616</v>
      </c>
      <c r="D112" s="1068" t="s">
        <v>1617</v>
      </c>
      <c r="E112" s="1139">
        <v>0.2</v>
      </c>
      <c r="F112" s="1154">
        <v>30</v>
      </c>
    </row>
    <row r="113" spans="1:14" s="1105" customFormat="1" ht="24">
      <c r="A113" s="1154">
        <v>53</v>
      </c>
      <c r="B113" s="371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5" t="s">
        <v>1626</v>
      </c>
      <c r="C116" s="1154" t="s">
        <v>1627</v>
      </c>
      <c r="D116" s="1068" t="s">
        <v>1628</v>
      </c>
      <c r="E116" s="1139">
        <v>0.2</v>
      </c>
      <c r="F116" s="1154">
        <v>30</v>
      </c>
    </row>
    <row r="117" spans="1:14" ht="36">
      <c r="A117" s="1154">
        <v>57</v>
      </c>
      <c r="B117" s="371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4" t="s">
        <v>1635</v>
      </c>
      <c r="B121" s="3714"/>
      <c r="C121" s="3714"/>
      <c r="D121" s="3714"/>
      <c r="E121" s="3714"/>
      <c r="F121" s="3714"/>
      <c r="G121" s="3714"/>
      <c r="H121" s="3714"/>
      <c r="I121" s="3714"/>
      <c r="J121" s="37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7" t="s">
        <v>1041</v>
      </c>
      <c r="B1" s="3727"/>
      <c r="C1" s="3727"/>
      <c r="D1" s="3727"/>
      <c r="E1" s="3727"/>
      <c r="F1" s="372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8" t="s">
        <v>1054</v>
      </c>
      <c r="B2" s="3728"/>
      <c r="C2" s="3728"/>
      <c r="D2" s="3728"/>
      <c r="E2" s="3728"/>
      <c r="F2" s="372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1450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1.8267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1" t="s">
        <v>2083</v>
      </c>
      <c r="B1" s="373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2957</v>
      </c>
      <c r="B1" s="3135"/>
      <c r="C1" s="3135"/>
      <c r="D1" s="3135"/>
      <c r="E1" s="3135"/>
      <c r="F1" s="3135"/>
    </row>
    <row r="2" spans="1:6" ht="14.25">
      <c r="A2" s="3136" t="s">
        <v>2951</v>
      </c>
      <c r="B2" s="3137">
        <f ca="1">SUMIF(B7:B14,"&lt;&gt;#ref!",B7:B14)</f>
        <v>2678</v>
      </c>
      <c r="C2" s="3136" t="s">
        <v>2952</v>
      </c>
      <c r="D2" s="3135"/>
      <c r="E2" s="3135"/>
      <c r="F2" s="3135"/>
    </row>
    <row r="3" spans="1:6" ht="14.25">
      <c r="A3" s="3136" t="s">
        <v>2954</v>
      </c>
      <c r="B3" s="3137" t="e">
        <f ca="1">ROUND(B2*10000/E3,0)</f>
        <v>#REF!</v>
      </c>
      <c r="C3" s="3136" t="s">
        <v>2082</v>
      </c>
      <c r="D3" s="3136" t="s">
        <v>2953</v>
      </c>
      <c r="E3" s="3137" t="e">
        <f ca="1">SUM(E7:E14)</f>
        <v>#REF!</v>
      </c>
      <c r="F3" s="3135"/>
    </row>
    <row r="4" spans="1:6" ht="14.25">
      <c r="A4" s="3136" t="s">
        <v>2961</v>
      </c>
      <c r="B4" s="3137" t="e">
        <f ca="1">ROUND(B2*10000/E4,0)</f>
        <v>#REF!</v>
      </c>
      <c r="C4" s="3136" t="s">
        <v>2082</v>
      </c>
      <c r="D4" s="3136" t="s">
        <v>2962</v>
      </c>
      <c r="E4" s="3137" t="e">
        <f ca="1">SUM(F7:F14)</f>
        <v>#REF!</v>
      </c>
      <c r="F4" s="3135"/>
    </row>
    <row r="5" spans="1:6" ht="14.25">
      <c r="A5" s="3138"/>
      <c r="B5" s="1882"/>
      <c r="C5" s="1882"/>
      <c r="D5" s="1882"/>
      <c r="E5" s="1882"/>
      <c r="F5" s="3135"/>
    </row>
    <row r="6" spans="1:6" ht="28.5">
      <c r="A6" s="3139" t="s">
        <v>2958</v>
      </c>
      <c r="B6" s="3136" t="s">
        <v>2955</v>
      </c>
      <c r="C6" s="3137"/>
      <c r="D6" s="1882"/>
      <c r="E6" s="3136" t="s">
        <v>2956</v>
      </c>
      <c r="F6" s="3136" t="s">
        <v>2960</v>
      </c>
    </row>
    <row r="7" spans="1:6" ht="14.25">
      <c r="A7" s="260" t="s">
        <v>2959</v>
      </c>
      <c r="B7" s="3140">
        <f ca="1">SUMIF(INDIRECT("'"&amp;A7&amp;"'"&amp;"!A:A"),"总价",INDIRECT("'"&amp;A7&amp;"'"&amp;"!B:B"))</f>
        <v>2678</v>
      </c>
      <c r="C7" s="3136" t="s">
        <v>2952</v>
      </c>
      <c r="D7" s="1882"/>
      <c r="E7" s="3141">
        <f ca="1">SUMIF(INDIRECT("'"&amp;A7&amp;"'"&amp;"!C:C"),"建筑面积",INDIRECT("'"&amp;A7&amp;"'"&amp;"!D:D"))</f>
        <v>10000</v>
      </c>
      <c r="F7" s="3141">
        <f ca="1">SUMIF(INDIRECT("'"&amp;A7&amp;"'"&amp;"!E:E"),"土地面积",INDIRECT("'"&amp;A7&amp;"'"&amp;"!F:F"))</f>
        <v>0</v>
      </c>
    </row>
    <row r="8" spans="1:6" ht="14.25">
      <c r="A8" s="260"/>
      <c r="B8" s="3140" t="e">
        <f t="shared" ref="B8:B14" ca="1" si="0">SUMIF(INDIRECT("'"&amp;A8&amp;"'"&amp;"!A:A"),"总价",INDIRECT("'"&amp;A8&amp;"'"&amp;"!B:B"))</f>
        <v>#REF!</v>
      </c>
      <c r="C8" s="3136" t="s">
        <v>2952</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2952</v>
      </c>
      <c r="D9" s="1882"/>
      <c r="E9" s="3141" t="e">
        <f t="shared" ca="1" si="1"/>
        <v>#REF!</v>
      </c>
      <c r="F9" s="3141" t="e">
        <f t="shared" ca="1" si="2"/>
        <v>#REF!</v>
      </c>
    </row>
    <row r="10" spans="1:6" ht="14.25">
      <c r="A10" s="260"/>
      <c r="B10" s="3140" t="e">
        <f t="shared" ca="1" si="0"/>
        <v>#REF!</v>
      </c>
      <c r="C10" s="3136" t="s">
        <v>2952</v>
      </c>
      <c r="D10" s="1882"/>
      <c r="E10" s="3141" t="e">
        <f t="shared" ca="1" si="1"/>
        <v>#REF!</v>
      </c>
      <c r="F10" s="3141" t="e">
        <f t="shared" ca="1" si="2"/>
        <v>#REF!</v>
      </c>
    </row>
    <row r="11" spans="1:6" ht="14.25">
      <c r="A11" s="260"/>
      <c r="B11" s="3140" t="e">
        <f t="shared" ca="1" si="0"/>
        <v>#REF!</v>
      </c>
      <c r="C11" s="3136" t="s">
        <v>2952</v>
      </c>
      <c r="D11" s="1882"/>
      <c r="E11" s="3141" t="e">
        <f t="shared" ca="1" si="1"/>
        <v>#REF!</v>
      </c>
      <c r="F11" s="3141" t="e">
        <f t="shared" ca="1" si="2"/>
        <v>#REF!</v>
      </c>
    </row>
    <row r="12" spans="1:6" ht="14.25">
      <c r="A12" s="260"/>
      <c r="B12" s="3140" t="e">
        <f t="shared" ca="1" si="0"/>
        <v>#REF!</v>
      </c>
      <c r="C12" s="3136" t="s">
        <v>2952</v>
      </c>
      <c r="D12" s="1882"/>
      <c r="E12" s="3141" t="e">
        <f t="shared" ca="1" si="1"/>
        <v>#REF!</v>
      </c>
      <c r="F12" s="3141" t="e">
        <f t="shared" ca="1" si="2"/>
        <v>#REF!</v>
      </c>
    </row>
    <row r="13" spans="1:6" ht="14.25">
      <c r="A13" s="260"/>
      <c r="B13" s="3140" t="e">
        <f t="shared" ca="1" si="0"/>
        <v>#REF!</v>
      </c>
      <c r="C13" s="3136" t="s">
        <v>2952</v>
      </c>
      <c r="D13" s="1882"/>
      <c r="E13" s="3141" t="e">
        <f t="shared" ca="1" si="1"/>
        <v>#REF!</v>
      </c>
      <c r="F13" s="3141" t="e">
        <f t="shared" ca="1" si="2"/>
        <v>#REF!</v>
      </c>
    </row>
    <row r="14" spans="1:6" ht="14.25">
      <c r="A14" s="3134"/>
      <c r="B14" s="3140" t="e">
        <f t="shared" ca="1" si="0"/>
        <v>#REF!</v>
      </c>
      <c r="C14" s="3136" t="s">
        <v>2952</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3" zoomScaleNormal="100" workbookViewId="0">
      <selection sqref="A1:F4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t="s">
        <v>3256</v>
      </c>
      <c r="D1" s="2051"/>
      <c r="E1" s="2412" t="s">
        <v>2379</v>
      </c>
      <c r="F1" s="2413">
        <f ca="1">J54</f>
        <v>50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2731</v>
      </c>
      <c r="C2" s="1351"/>
      <c r="D2" s="2056"/>
      <c r="E2" s="2057"/>
      <c r="F2" s="2057"/>
      <c r="G2" s="1590"/>
      <c r="H2" s="1363"/>
      <c r="I2" s="2058"/>
      <c r="J2" s="2058"/>
      <c r="K2" s="2059"/>
      <c r="L2" s="2058"/>
      <c r="M2" s="2058"/>
    </row>
    <row r="3" spans="1:25" ht="18" customHeight="1">
      <c r="A3" s="1645" t="s">
        <v>1688</v>
      </c>
      <c r="B3" s="1392">
        <f ca="1">ROUND(B2*10000/'数据-汇总表'!E3,0)</f>
        <v>2731</v>
      </c>
      <c r="C3" s="1351"/>
      <c r="D3" s="2056"/>
      <c r="E3" s="2057"/>
      <c r="F3" s="2057"/>
      <c r="G3" s="1590"/>
      <c r="H3" s="776" t="s">
        <v>696</v>
      </c>
      <c r="I3" s="2058"/>
      <c r="J3" s="2058"/>
      <c r="K3" s="2059"/>
      <c r="L3" s="2058"/>
      <c r="M3" s="2058"/>
    </row>
    <row r="4" spans="1:25" ht="18" customHeight="1">
      <c r="A4" s="1646" t="s">
        <v>697</v>
      </c>
      <c r="B4" s="1352">
        <f ca="1">ROUND(B2*10000/'数据-汇总表'!D3,0)</f>
        <v>2021</v>
      </c>
      <c r="C4" s="428"/>
      <c r="D4" s="2056"/>
      <c r="E4" s="2057"/>
      <c r="F4" s="2057"/>
      <c r="G4" s="1590"/>
      <c r="H4" s="776"/>
      <c r="I4" s="2058"/>
      <c r="J4" s="2058"/>
      <c r="K4" s="2059"/>
      <c r="L4" s="2058"/>
      <c r="M4" s="2058"/>
    </row>
    <row r="5" spans="1:25" ht="18" customHeight="1" thickBot="1">
      <c r="A5" s="1647"/>
      <c r="B5" s="430">
        <f ca="1">ROUND(B2/('数据-汇总表'!D3/666.67),0)</f>
        <v>135</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2464</v>
      </c>
      <c r="C7" s="53">
        <f ca="1">C8+C12+C14</f>
        <v>495</v>
      </c>
      <c r="D7" s="2521" t="s">
        <v>2467</v>
      </c>
      <c r="E7" s="2515"/>
      <c r="F7" s="2516"/>
      <c r="G7" s="1592"/>
      <c r="H7" s="781">
        <v>1</v>
      </c>
      <c r="I7" s="782" t="s">
        <v>2464</v>
      </c>
      <c r="J7" s="53">
        <f ca="1">J8+J12+J14</f>
        <v>0</v>
      </c>
      <c r="K7" s="2521" t="s">
        <v>2467</v>
      </c>
      <c r="L7" s="2515"/>
      <c r="M7" s="2516"/>
    </row>
    <row r="8" spans="1:25" ht="18" customHeight="1">
      <c r="A8" s="1831" t="s">
        <v>1826</v>
      </c>
      <c r="B8" s="3733" t="s">
        <v>2469</v>
      </c>
      <c r="C8" s="1826">
        <f ca="1">ROUND(F8*F10*F9*(1-F11)/10000,0)</f>
        <v>493</v>
      </c>
      <c r="D8" s="1823" t="s">
        <v>2541</v>
      </c>
      <c r="E8" s="61" t="s">
        <v>638</v>
      </c>
      <c r="F8" s="785">
        <f ca="1">INDIRECT("'数据-取费表'!u"&amp;$G$1)</f>
        <v>1.5</v>
      </c>
      <c r="G8" s="1592"/>
      <c r="H8" s="2529" t="s">
        <v>1826</v>
      </c>
      <c r="I8" s="3733" t="s">
        <v>2469</v>
      </c>
      <c r="J8" s="783">
        <f ca="1">ROUND(M8*M10*M9*(1-M11)/10000,0)</f>
        <v>0</v>
      </c>
      <c r="K8" s="341" t="s">
        <v>2541</v>
      </c>
      <c r="L8" s="784" t="s">
        <v>1740</v>
      </c>
      <c r="M8" s="785">
        <f ca="1">INDIRECT("'数据-取费表'!z"&amp;$G$1)</f>
        <v>0</v>
      </c>
    </row>
    <row r="9" spans="1:25" ht="18" customHeight="1">
      <c r="A9" s="2525"/>
      <c r="B9" s="3734"/>
      <c r="C9" s="1827"/>
      <c r="D9" s="1824"/>
      <c r="E9" s="61" t="s">
        <v>639</v>
      </c>
      <c r="F9" s="785">
        <f ca="1">IF(INDIRECT("'数据-取费表'!ah"&amp;$G$1)="",INDIRECT("'数据-取费表'!k"&amp;$G$1),INDIRECT("'数据-取费表'!ah"&amp;$G$1))</f>
        <v>10000</v>
      </c>
      <c r="G9" s="1592"/>
      <c r="H9" s="2514"/>
      <c r="I9" s="3734"/>
      <c r="J9" s="788"/>
      <c r="K9" s="789"/>
      <c r="L9" s="784" t="s">
        <v>1741</v>
      </c>
      <c r="M9" s="785">
        <f ca="1">F9</f>
        <v>10000</v>
      </c>
    </row>
    <row r="10" spans="1:25" ht="18" customHeight="1">
      <c r="A10" s="2518"/>
      <c r="B10" s="3735"/>
      <c r="C10" s="1827"/>
      <c r="D10" s="1824"/>
      <c r="E10" s="61" t="s">
        <v>640</v>
      </c>
      <c r="F10" s="785">
        <f ca="1">INDIRECT("'数据-取费表'!ai"&amp;$G$1)</f>
        <v>365</v>
      </c>
      <c r="G10" s="1592"/>
      <c r="H10" s="2514"/>
      <c r="I10" s="3735"/>
      <c r="J10" s="788"/>
      <c r="K10" s="789"/>
      <c r="L10" s="784" t="s">
        <v>1742</v>
      </c>
      <c r="M10" s="785">
        <f ca="1">INDIRECT("'数据-取费表'!ai"&amp;$G$1)</f>
        <v>365</v>
      </c>
    </row>
    <row r="11" spans="1:25" ht="18" customHeight="1">
      <c r="A11" s="786"/>
      <c r="B11" s="3736"/>
      <c r="C11" s="1827"/>
      <c r="D11" s="1824"/>
      <c r="E11" s="61" t="s">
        <v>641</v>
      </c>
      <c r="F11" s="794">
        <f ca="1">INDIRECT("'数据-取费表'!w"&amp;$G$1)</f>
        <v>0.1</v>
      </c>
      <c r="G11" s="1592"/>
      <c r="H11" s="2530"/>
      <c r="I11" s="3735"/>
      <c r="J11" s="788"/>
      <c r="K11" s="789"/>
      <c r="L11" s="795" t="s">
        <v>1743</v>
      </c>
      <c r="M11" s="796">
        <f ca="1">INDIRECT("'数据-取费表'!ab"&amp;$G$1)</f>
        <v>0</v>
      </c>
    </row>
    <row r="12" spans="1:25" ht="18" customHeight="1">
      <c r="A12" s="1831" t="s">
        <v>1827</v>
      </c>
      <c r="B12" s="2519" t="s">
        <v>2465</v>
      </c>
      <c r="C12" s="799">
        <f ca="1">ROUND(IF(F12="押一",F8*F10*F9/12*F13,IF(F12="押二",F8*F10*F9/12*2*F13,IF(F12="押三",F8*F10*F9/12*3*F13,C13*F13)))/10000,0)</f>
        <v>2</v>
      </c>
      <c r="D12" s="2526" t="s">
        <v>2472</v>
      </c>
      <c r="E12" s="2523" t="s">
        <v>2470</v>
      </c>
      <c r="F12" s="2646" t="s">
        <v>3262</v>
      </c>
      <c r="G12" s="1592"/>
      <c r="H12" s="2586" t="s">
        <v>1827</v>
      </c>
      <c r="I12" s="2591" t="s">
        <v>2465</v>
      </c>
      <c r="J12" s="783">
        <f ca="1">ROUND(IF(M12="押一",M8*M10*M9/12*M13,IF(M12="押二",M8*M10*M9/12*2*M13,IF(M12="押三",M8*M10*M9/12*3*M13,J13*M13)))/10000,0)</f>
        <v>0</v>
      </c>
      <c r="K12" s="2526" t="s">
        <v>2472</v>
      </c>
      <c r="L12" s="2523" t="s">
        <v>2470</v>
      </c>
      <c r="M12" s="2646"/>
    </row>
    <row r="13" spans="1:25" ht="18" customHeight="1">
      <c r="A13" s="790"/>
      <c r="B13" s="2520" t="s">
        <v>2580</v>
      </c>
      <c r="C13" s="2524"/>
      <c r="D13" s="789"/>
      <c r="E13" s="2523" t="s">
        <v>2462</v>
      </c>
      <c r="F13" s="796">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2">
        <f ca="1">ROUND(C31*F15,0)</f>
        <v>3153</v>
      </c>
      <c r="D15" s="1835" t="s">
        <v>643</v>
      </c>
      <c r="E15" s="795" t="s">
        <v>644</v>
      </c>
      <c r="F15" s="800">
        <f ca="1">INDIRECT("'数据-取费表'!y"&amp;$G$1)</f>
        <v>0.96</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2500</v>
      </c>
      <c r="D16" s="1980" t="s">
        <v>647</v>
      </c>
      <c r="E16" s="1981"/>
      <c r="F16" s="805"/>
      <c r="G16" s="1592"/>
      <c r="H16" s="803" t="s">
        <v>2073</v>
      </c>
      <c r="I16" s="2232" t="s">
        <v>2831</v>
      </c>
      <c r="J16" s="53">
        <f ca="1">C31</f>
        <v>3284</v>
      </c>
      <c r="K16" s="26"/>
      <c r="L16" s="801"/>
      <c r="M16" s="802"/>
    </row>
    <row r="17" spans="1:25" s="2065" customFormat="1" ht="18" customHeight="1">
      <c r="A17" s="803" t="s">
        <v>1851</v>
      </c>
      <c r="B17" s="784" t="s">
        <v>648</v>
      </c>
      <c r="C17" s="53">
        <f ca="1">ROUND(C16*F17,0)</f>
        <v>75</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362</v>
      </c>
      <c r="K18" s="26" t="s">
        <v>653</v>
      </c>
      <c r="L18" s="1983"/>
      <c r="M18" s="56"/>
    </row>
    <row r="19" spans="1:25" s="2065" customFormat="1" ht="18" customHeight="1">
      <c r="A19" s="803" t="s">
        <v>1853</v>
      </c>
      <c r="B19" s="784" t="s">
        <v>654</v>
      </c>
      <c r="C19" s="53">
        <f ca="1">ROUND(F19*(INDIRECT("'数据-取费表'!k"&amp;$G$1)+INDIRECT("'数据-取费表'!S"&amp;$G$1))/10000,0)</f>
        <v>200</v>
      </c>
      <c r="D19" s="784" t="s">
        <v>655</v>
      </c>
      <c r="E19" s="784" t="s">
        <v>656</v>
      </c>
      <c r="F19" s="56">
        <f>'数据-取费表'!B35</f>
        <v>200</v>
      </c>
      <c r="G19" s="1593"/>
      <c r="H19" s="803" t="s">
        <v>2073</v>
      </c>
      <c r="I19" s="784" t="s">
        <v>657</v>
      </c>
      <c r="J19" s="53">
        <f ca="1">ROUND(IF(项目基本情况!B11="自然人",J7*M19,J20+J21+J22),0)</f>
        <v>280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38</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2813</v>
      </c>
      <c r="D21" s="261" t="s">
        <v>664</v>
      </c>
      <c r="E21" s="1983"/>
      <c r="F21" s="56"/>
      <c r="G21" s="1592"/>
      <c r="H21" s="1831" t="s">
        <v>1851</v>
      </c>
      <c r="I21" s="784" t="s">
        <v>665</v>
      </c>
      <c r="J21" s="53">
        <f ca="1">IF(K21="按租金收入计税",ROUND(J7*M21,1),ROUND(C31*F35*0.7,1))</f>
        <v>275.89999999999998</v>
      </c>
      <c r="K21" s="811" t="s">
        <v>666</v>
      </c>
      <c r="L21" s="784" t="s">
        <v>650</v>
      </c>
      <c r="M21" s="809">
        <f>IF(K21="按租金收入计税",'数据-取费表'!B51,'数据-取费表'!B50)</f>
        <v>1.2E-2</v>
      </c>
    </row>
    <row r="22" spans="1:25" s="2065" customFormat="1" ht="18" customHeight="1">
      <c r="A22" s="803" t="s">
        <v>1879</v>
      </c>
      <c r="B22" s="784" t="s">
        <v>667</v>
      </c>
      <c r="C22" s="53">
        <f ca="1">ROUND(C21*F22,0)</f>
        <v>56</v>
      </c>
      <c r="D22" s="812" t="s">
        <v>668</v>
      </c>
      <c r="E22" s="784" t="s">
        <v>650</v>
      </c>
      <c r="F22" s="809">
        <f>'数据-取费表'!B37</f>
        <v>0.02</v>
      </c>
      <c r="G22" s="1593"/>
      <c r="H22" s="1833" t="s">
        <v>1852</v>
      </c>
      <c r="I22" s="1823" t="s">
        <v>669</v>
      </c>
      <c r="J22" s="54">
        <f ca="1">ROUND(M22*M23/10000,0)</f>
        <v>4</v>
      </c>
      <c r="K22" s="814" t="s">
        <v>670</v>
      </c>
      <c r="L22" s="784" t="s">
        <v>671</v>
      </c>
      <c r="M22" s="640">
        <f>'数据-取费表'!B52</f>
        <v>3</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0.01</v>
      </c>
      <c r="G23" s="1593"/>
      <c r="H23" s="1834"/>
      <c r="I23" s="1825"/>
      <c r="J23" s="69"/>
      <c r="K23" s="816"/>
      <c r="L23" s="784" t="s">
        <v>675</v>
      </c>
      <c r="M23" s="785">
        <f ca="1">INDIRECT("'数据-取费表'!r"&amp;$G$1)</f>
        <v>13513.51</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单利计息。建造成本、管理费用、销售费用产生的利息。</v>
      </c>
      <c r="E24" s="1983"/>
      <c r="F24" s="56"/>
      <c r="G24" s="1592"/>
      <c r="H24" s="1832" t="s">
        <v>2074</v>
      </c>
      <c r="I24" s="784" t="s">
        <v>677</v>
      </c>
      <c r="J24" s="53">
        <f ca="1">ROUND(J16*M24,0)</f>
        <v>82</v>
      </c>
      <c r="K24" s="1978" t="s">
        <v>678</v>
      </c>
      <c r="L24" s="784" t="s">
        <v>650</v>
      </c>
      <c r="M24" s="817">
        <f ca="1">INDIRECT("'数据-取费表'!Ak"&amp;$G$1)</f>
        <v>2.5000000000000001E-2</v>
      </c>
    </row>
    <row r="25" spans="1:25" s="2065" customFormat="1" ht="18" customHeight="1">
      <c r="A25" s="803" t="s">
        <v>1877</v>
      </c>
      <c r="B25" s="784" t="s">
        <v>2442</v>
      </c>
      <c r="C25" s="53">
        <f ca="1">ROUND(IF('数据-取费表'!B22&lt;=1,(C21+C22)*F26*F25/2,(C21+C22)*(POWER((1+F26),F25/2)-1)),0)</f>
        <v>62</v>
      </c>
      <c r="D25" s="2596" t="str">
        <f>IF(F25&lt;=1,"(建造成本+管理费用)×利率×(建设周期÷2)","(建造成本+管理费用)×((1+利率)^(建设周期÷2)-1)")</f>
        <v>(建造成本+管理费用)×利率×(建设周期÷2)</v>
      </c>
      <c r="E25" s="784" t="s">
        <v>679</v>
      </c>
      <c r="F25" s="640">
        <f>'数据-取费表'!B20</f>
        <v>1</v>
      </c>
      <c r="G25" s="1593"/>
      <c r="H25" s="803" t="s">
        <v>1880</v>
      </c>
      <c r="I25" s="784" t="s">
        <v>680</v>
      </c>
      <c r="J25" s="53">
        <f ca="1">ROUND(J15*M25,0)</f>
        <v>0</v>
      </c>
      <c r="K25" s="1978" t="s">
        <v>681</v>
      </c>
      <c r="L25" s="784" t="s">
        <v>650</v>
      </c>
      <c r="M25" s="818">
        <f ca="1">INDIRECT("'数据-取费表'!Al"&amp;$G$1)</f>
        <v>2E-3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2.0000000000000001E-4</v>
      </c>
      <c r="D26" s="2596" t="str">
        <f>IF(F25&lt;=1,"销售费用×利率×(建设周期÷2)","销售费用×((1+利率)^(建设周期÷2)-1)")</f>
        <v>销售费用×利率×(建设周期÷2)</v>
      </c>
      <c r="E26" s="784" t="s">
        <v>683</v>
      </c>
      <c r="F26" s="819">
        <f ca="1">'数据-取费表'!B40</f>
        <v>4.3499999999999997E-2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-362</v>
      </c>
      <c r="K27" s="1980" t="s">
        <v>701</v>
      </c>
      <c r="L27" s="1982"/>
      <c r="M27" s="820"/>
    </row>
    <row r="28" spans="1:25" ht="18" customHeight="1">
      <c r="A28" s="803" t="s">
        <v>1877</v>
      </c>
      <c r="B28" s="784" t="s">
        <v>2443</v>
      </c>
      <c r="C28" s="53">
        <f ca="1">ROUND((C21+C22)*F28,0)</f>
        <v>143</v>
      </c>
      <c r="D28" s="812" t="s">
        <v>702</v>
      </c>
      <c r="E28" s="795" t="s">
        <v>703</v>
      </c>
      <c r="F28" s="794">
        <f ca="1">INDIRECT("'数据-取费表'!q"&amp;$G$1)</f>
        <v>0.05</v>
      </c>
      <c r="G28" s="1592"/>
      <c r="H28" s="781" t="s">
        <v>1839</v>
      </c>
      <c r="I28" s="782" t="s">
        <v>704</v>
      </c>
      <c r="J28" s="783">
        <f ca="1">IF(J7&lt;&gt;0,ROUND(J27*(1-((1+M30)/(1+M28))^M29)/(M28-M30),0),0)</f>
        <v>0</v>
      </c>
      <c r="K28" s="814" t="s">
        <v>705</v>
      </c>
      <c r="L28" s="784" t="s">
        <v>706</v>
      </c>
      <c r="M28" s="794">
        <f ca="1">INDIRECT("'数据-取费表'!I"&amp;$G$1)</f>
        <v>0.05</v>
      </c>
    </row>
    <row r="29" spans="1:25" ht="18" customHeight="1">
      <c r="A29" s="803" t="s">
        <v>1851</v>
      </c>
      <c r="B29" s="784" t="s">
        <v>687</v>
      </c>
      <c r="C29" s="53">
        <f ca="1">ROUND(F23*F28,4)</f>
        <v>5.0000000000000001E-4</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3284</v>
      </c>
      <c r="D31" s="2570"/>
      <c r="E31" s="2571"/>
      <c r="F31" s="2572"/>
      <c r="G31" s="1593"/>
      <c r="H31" s="823" t="s">
        <v>1874</v>
      </c>
      <c r="I31" s="3038" t="s">
        <v>2830</v>
      </c>
      <c r="J31" s="825">
        <f ca="1">ROUND(J28/(1+F45)^F46,0)</f>
        <v>0</v>
      </c>
      <c r="K31" s="826" t="s">
        <v>689</v>
      </c>
      <c r="L31" s="827"/>
      <c r="M31" s="828">
        <f ca="1">INDIRECT("'数据-取费表'!k"&amp;$G$1)</f>
        <v>10000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186</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89.9</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26.4</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59.4</v>
      </c>
      <c r="D35" s="811" t="s">
        <v>3258</v>
      </c>
      <c r="E35" s="784" t="s">
        <v>650</v>
      </c>
      <c r="F35" s="809">
        <f>IF(D35="按租金收入计税",'数据-取费表'!B51,'数据-取费表'!B50)</f>
        <v>0.12</v>
      </c>
      <c r="G35" s="2063"/>
      <c r="H35" s="2078"/>
      <c r="I35" s="2078"/>
      <c r="J35" s="2078"/>
      <c r="K35" s="2079"/>
      <c r="L35" s="2078"/>
      <c r="M35" s="2078"/>
    </row>
    <row r="36" spans="1:18" ht="18" customHeight="1">
      <c r="A36" s="813" t="s">
        <v>1882</v>
      </c>
      <c r="B36" s="341" t="s">
        <v>669</v>
      </c>
      <c r="C36" s="54">
        <f ca="1">ROUND(F36*F37/10000,1)</f>
        <v>4.0999999999999996</v>
      </c>
      <c r="D36" s="814" t="s">
        <v>670</v>
      </c>
      <c r="E36" s="784" t="s">
        <v>671</v>
      </c>
      <c r="F36" s="640">
        <f>'数据-取费表'!B52</f>
        <v>3</v>
      </c>
      <c r="G36" s="2063"/>
      <c r="H36" s="2066"/>
      <c r="I36" s="3732"/>
      <c r="J36" s="2080"/>
      <c r="K36" s="2081"/>
      <c r="L36" s="2080"/>
      <c r="M36" s="2080"/>
    </row>
    <row r="37" spans="1:18" ht="18" customHeight="1">
      <c r="A37" s="815"/>
      <c r="B37" s="793"/>
      <c r="C37" s="69"/>
      <c r="D37" s="816"/>
      <c r="E37" s="784" t="s">
        <v>675</v>
      </c>
      <c r="F37" s="785">
        <f ca="1">INDIRECT("'数据-取费表'!r"&amp;$G$1)</f>
        <v>13513.51</v>
      </c>
      <c r="G37" s="2063"/>
      <c r="H37" s="2066"/>
      <c r="I37" s="3732"/>
      <c r="J37" s="2078"/>
      <c r="K37" s="2079"/>
      <c r="L37" s="2078"/>
      <c r="M37" s="2078"/>
    </row>
    <row r="38" spans="1:18" ht="18" customHeight="1">
      <c r="A38" s="803" t="s">
        <v>1879</v>
      </c>
      <c r="B38" s="784" t="s">
        <v>677</v>
      </c>
      <c r="C38" s="53">
        <f ca="1">ROUND(C31*F38,1)</f>
        <v>82.1</v>
      </c>
      <c r="D38" s="1978" t="s">
        <v>692</v>
      </c>
      <c r="E38" s="784" t="s">
        <v>650</v>
      </c>
      <c r="F38" s="817">
        <f ca="1">INDIRECT("'数据-取费表'!Ak"&amp;$G$1)</f>
        <v>2.5000000000000001E-2</v>
      </c>
      <c r="G38" s="2063"/>
      <c r="H38" s="2078"/>
      <c r="I38" s="2082"/>
      <c r="J38" s="1989"/>
      <c r="K38" s="2083"/>
      <c r="L38" s="2078"/>
      <c r="M38" s="2078"/>
    </row>
    <row r="39" spans="1:18" ht="18" customHeight="1">
      <c r="A39" s="803" t="s">
        <v>1880</v>
      </c>
      <c r="B39" s="784" t="s">
        <v>680</v>
      </c>
      <c r="C39" s="53">
        <f ca="1">ROUND(C15*F39,1)</f>
        <v>6.3</v>
      </c>
      <c r="D39" s="1978" t="s">
        <v>681</v>
      </c>
      <c r="E39" s="784" t="s">
        <v>650</v>
      </c>
      <c r="F39" s="818">
        <f ca="1">INDIRECT("'数据-取费表'!Al"&amp;$G$1)</f>
        <v>2E-3</v>
      </c>
      <c r="G39" s="2063"/>
      <c r="H39" s="2078"/>
      <c r="I39" s="2082"/>
      <c r="J39" s="1989"/>
      <c r="K39" s="2083"/>
      <c r="L39" s="2078"/>
      <c r="M39" s="2078"/>
    </row>
    <row r="40" spans="1:18" ht="18" customHeight="1" thickBot="1">
      <c r="A40" s="2585" t="s">
        <v>1881</v>
      </c>
      <c r="B40" s="2571" t="s">
        <v>667</v>
      </c>
      <c r="C40" s="2569">
        <f ca="1">ROUND(C7*F40,1)</f>
        <v>7.4</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309</v>
      </c>
      <c r="D42" s="1980" t="s">
        <v>695</v>
      </c>
      <c r="E42" s="1982"/>
      <c r="F42" s="820"/>
      <c r="G42" s="2063"/>
      <c r="H42" s="2063"/>
      <c r="I42" s="2063"/>
      <c r="J42" s="2063"/>
      <c r="K42" s="2084"/>
      <c r="L42" s="2063"/>
      <c r="M42" s="2063"/>
    </row>
    <row r="43" spans="1:18" ht="18" customHeight="1">
      <c r="A43" s="803" t="s">
        <v>1879</v>
      </c>
      <c r="B43" s="835" t="s">
        <v>712</v>
      </c>
      <c r="C43" s="836">
        <f ca="1">ROUND(C15*F43,0)</f>
        <v>164</v>
      </c>
      <c r="D43" s="1356" t="s">
        <v>713</v>
      </c>
      <c r="E43" s="3154" t="s">
        <v>2970</v>
      </c>
      <c r="F43" s="3155">
        <f ca="1">INDIRECT("'数据-取费表'!j"&amp;$G$1)</f>
        <v>5.1999999999999998E-2</v>
      </c>
      <c r="G43" s="2063"/>
      <c r="H43" s="2063"/>
      <c r="I43" s="2063"/>
      <c r="J43" s="2063"/>
      <c r="K43" s="2084"/>
      <c r="L43" s="2063"/>
      <c r="M43" s="2063"/>
    </row>
    <row r="44" spans="1:18" ht="18" customHeight="1">
      <c r="A44" s="803" t="s">
        <v>1880</v>
      </c>
      <c r="B44" s="835" t="s">
        <v>714</v>
      </c>
      <c r="C44" s="1357">
        <f ca="1">C42-C43</f>
        <v>145</v>
      </c>
      <c r="D44" s="463" t="s">
        <v>715</v>
      </c>
      <c r="E44" s="464"/>
      <c r="F44" s="465"/>
      <c r="G44" s="2063"/>
      <c r="H44" s="2063"/>
      <c r="I44" s="2063"/>
      <c r="J44" s="2063"/>
      <c r="K44" s="2084"/>
      <c r="L44" s="2063"/>
      <c r="M44" s="2063"/>
    </row>
    <row r="45" spans="1:18" ht="18" customHeight="1">
      <c r="A45" s="803" t="s">
        <v>1881</v>
      </c>
      <c r="B45" s="1356" t="s">
        <v>716</v>
      </c>
      <c r="C45" s="3064">
        <f ca="1">ROUND(-PV(F45,F46,C44,0),0)</f>
        <v>2731</v>
      </c>
      <c r="D45" s="1358" t="s">
        <v>717</v>
      </c>
      <c r="E45" s="806" t="s">
        <v>718</v>
      </c>
      <c r="F45" s="830">
        <f ca="1">INDIRECT("'数据-取费表'!h"&amp;$G$1)</f>
        <v>4.8000000000000001E-2</v>
      </c>
      <c r="G45" s="2063"/>
      <c r="H45" s="2063"/>
      <c r="I45" s="2063"/>
      <c r="J45" s="2063"/>
      <c r="K45" s="2084"/>
      <c r="L45" s="2063"/>
      <c r="M45" s="2063"/>
    </row>
    <row r="46" spans="1:18" ht="18" customHeight="1" thickBot="1">
      <c r="A46" s="831"/>
      <c r="B46" s="1359"/>
      <c r="C46" s="1360"/>
      <c r="D46" s="1361"/>
      <c r="E46" s="3156" t="s">
        <v>2973</v>
      </c>
      <c r="F46" s="828">
        <f ca="1">IF(INDIRECT("'数据-取费表'!af"&amp;$G$1)=0,INDIRECT("'数据-取费表'!ae"&amp;$G$1),INDIRECT("'数据-取费表'!af"&amp;$G$1))</f>
        <v>50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50</v>
      </c>
      <c r="M48" s="3151"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50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v>2016</v>
      </c>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3284</v>
      </c>
      <c r="R51" s="2424" t="s">
        <v>2385</v>
      </c>
    </row>
    <row r="52" spans="1:18" s="2060" customFormat="1" ht="18" customHeight="1" thickBot="1">
      <c r="A52" s="2097"/>
      <c r="F52" s="2086"/>
      <c r="I52" s="2385" t="s">
        <v>2352</v>
      </c>
      <c r="J52" s="2398">
        <f>IF(J50="",J51,J50+J51-YEAR('数据-取费表'!B3))</f>
        <v>116</v>
      </c>
      <c r="K52" s="2384" t="s">
        <v>2359</v>
      </c>
      <c r="L52" s="2399">
        <f ca="1">ROUND(-PV(INDIRECT("'数据-取费表'!h"&amp;$G$1),L49,(C40-C14*J36),0),0)</f>
        <v>139</v>
      </c>
      <c r="O52" s="2426" t="s">
        <v>2389</v>
      </c>
      <c r="P52" s="2424" t="s">
        <v>2390</v>
      </c>
      <c r="Q52" s="2427" t="e">
        <f ca="1">J59</f>
        <v>#VALUE!</v>
      </c>
      <c r="R52" s="2428"/>
    </row>
    <row r="53" spans="1:18" s="2060" customFormat="1" ht="18" customHeight="1" thickBot="1">
      <c r="A53" s="2097"/>
      <c r="F53" s="2086"/>
      <c r="I53" s="2386" t="s">
        <v>2426</v>
      </c>
      <c r="J53" s="2400">
        <v>0.04</v>
      </c>
      <c r="K53" s="2386" t="s">
        <v>2425</v>
      </c>
      <c r="L53" s="2400"/>
      <c r="O53" s="2426" t="s">
        <v>2391</v>
      </c>
      <c r="P53" s="2424" t="s">
        <v>2392</v>
      </c>
      <c r="Q53" s="2427">
        <f>J53</f>
        <v>0.04</v>
      </c>
      <c r="R53" s="2428"/>
    </row>
    <row r="54" spans="1:18" s="2060" customFormat="1" ht="43.5" thickBot="1">
      <c r="A54" s="2097"/>
      <c r="I54" s="2387" t="s">
        <v>2353</v>
      </c>
      <c r="J54" s="2401">
        <f ca="1">IF(M48="住宅",J52,IF(J52&gt;L49,L49-'数据-取费表'!B25,J52))</f>
        <v>50</v>
      </c>
      <c r="K54" s="3737"/>
      <c r="L54" s="3738"/>
      <c r="O54" s="2426" t="s">
        <v>2393</v>
      </c>
      <c r="P54" s="2424" t="s">
        <v>2394</v>
      </c>
      <c r="Q54" s="2425">
        <f ca="1">J54</f>
        <v>50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7"/>
      <c r="O55" s="2423" t="s">
        <v>2396</v>
      </c>
      <c r="P55" s="2424" t="s">
        <v>2413</v>
      </c>
      <c r="Q55" s="2425">
        <f ca="1">Q49+Q50</f>
        <v>0</v>
      </c>
      <c r="R55" s="2428" t="s">
        <v>2397</v>
      </c>
    </row>
    <row r="56" spans="1:18" s="2060" customFormat="1" ht="16.5" thickBot="1">
      <c r="A56" s="2097"/>
      <c r="B56" s="2098"/>
      <c r="C56" s="2098"/>
      <c r="I56" s="3128" t="s">
        <v>2360</v>
      </c>
      <c r="J56" s="3152"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1" t="s">
        <v>1680</v>
      </c>
      <c r="K57" s="2384" t="s">
        <v>2367</v>
      </c>
      <c r="L57" s="2393" t="str">
        <f ca="1">IF(L49&lt;J52,"——",L49-J52)</f>
        <v>——</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t="str">
        <f ca="1">IF(L49&lt;J52,"——",IF(L56="比较法",L50,IF(L56="基准地价",L51,L52)))</f>
        <v>——</v>
      </c>
      <c r="O58" s="2423" t="s">
        <v>2384</v>
      </c>
      <c r="P58" s="2424" t="s">
        <v>2410</v>
      </c>
      <c r="Q58" s="2425">
        <f ca="1">C41+J31</f>
        <v>0</v>
      </c>
      <c r="R58" s="2424" t="s">
        <v>2385</v>
      </c>
    </row>
    <row r="59" spans="1:18" s="2060" customFormat="1" ht="29.25" thickBot="1">
      <c r="A59" s="2097"/>
      <c r="B59" s="2098"/>
      <c r="C59" s="2098"/>
      <c r="I59" s="2405" t="s">
        <v>2364</v>
      </c>
      <c r="J59" s="3153" t="e">
        <f ca="1">IF(J56&lt;0.4,0.4,J56)</f>
        <v>#VALUE!</v>
      </c>
      <c r="K59" s="2384" t="s">
        <v>2369</v>
      </c>
      <c r="L59" s="2393">
        <f ca="1">IF(ISERROR(POWER(1+L53,L48-L49)*(POWER(1+L53,L49)-1)/(POWER(1+L53,L48)-1)),0,POWER(1+L53,L48-L49)*(POWER(1+L53,L49)-1)/(POWER(1+L53,L48)-1))</f>
        <v>0</v>
      </c>
      <c r="O59" s="2423" t="s">
        <v>2386</v>
      </c>
      <c r="P59" s="2424" t="s">
        <v>2417</v>
      </c>
      <c r="Q59" s="2425">
        <f ca="1">L61</f>
        <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f ca="1">IF(OR(M48="住宅",L49&lt;J52),0,ROUND(L58*(L59/L60-1),0))</f>
        <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0"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1">
        <v>0.02</v>
      </c>
      <c r="O64" s="2423" t="s">
        <v>2396</v>
      </c>
      <c r="P64" s="2424" t="s">
        <v>2413</v>
      </c>
      <c r="Q64" s="2425">
        <f ca="1">Q58+Q59</f>
        <v>0</v>
      </c>
      <c r="R64" s="2428" t="s">
        <v>2397</v>
      </c>
    </row>
    <row r="65" spans="1:18" s="2060" customFormat="1" ht="16.5" thickBot="1">
      <c r="A65" s="2097"/>
      <c r="B65" s="2098"/>
      <c r="C65" s="2098"/>
      <c r="I65" s="2410" t="s">
        <v>2376</v>
      </c>
      <c r="J65" s="2411">
        <v>50</v>
      </c>
      <c r="K65" s="2411">
        <v>35</v>
      </c>
      <c r="L65" s="2411">
        <v>60</v>
      </c>
      <c r="M65" s="3132">
        <v>0</v>
      </c>
      <c r="O65" s="2429" t="s">
        <v>2420</v>
      </c>
      <c r="P65" s="1592"/>
      <c r="Q65" s="1604"/>
      <c r="R65" s="1592"/>
    </row>
    <row r="66" spans="1:18" s="2060" customFormat="1" ht="15.75" thickBot="1">
      <c r="A66" s="2097"/>
      <c r="B66" s="2098"/>
      <c r="C66" s="2098"/>
      <c r="I66" s="2410" t="s">
        <v>2377</v>
      </c>
      <c r="J66" s="2411">
        <v>40</v>
      </c>
      <c r="K66" s="2411">
        <v>30</v>
      </c>
      <c r="L66" s="2411">
        <v>50</v>
      </c>
      <c r="M66" s="3131">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f ca="1">L61</f>
        <v>0</v>
      </c>
      <c r="R68" s="2428" t="s">
        <v>2419</v>
      </c>
    </row>
    <row r="69" spans="1:18" s="2060" customFormat="1" ht="21.75" thickBot="1">
      <c r="A69" s="2097"/>
      <c r="B69" s="2098"/>
      <c r="C69" s="2098"/>
      <c r="K69" s="2087"/>
      <c r="O69" s="2426" t="s">
        <v>2388</v>
      </c>
      <c r="P69" s="2424" t="s">
        <v>2418</v>
      </c>
      <c r="Q69" s="2430">
        <f ca="1">L52</f>
        <v>139</v>
      </c>
      <c r="R69" s="2431" t="s">
        <v>2421</v>
      </c>
    </row>
    <row r="70" spans="1:18" s="2060" customFormat="1" ht="20.25" thickBot="1">
      <c r="A70" s="2097"/>
      <c r="B70" s="2098"/>
      <c r="C70" s="2098"/>
      <c r="K70" s="2087"/>
      <c r="O70" s="2426" t="s">
        <v>2389</v>
      </c>
      <c r="P70" s="2432" t="s">
        <v>2403</v>
      </c>
      <c r="Q70" s="2425">
        <f ca="1">ROUND(Q71-Q72*Q73,0)</f>
        <v>145</v>
      </c>
      <c r="R70" s="2428"/>
    </row>
    <row r="71" spans="1:18" s="2060" customFormat="1" ht="15.75" thickBot="1">
      <c r="A71" s="2097"/>
      <c r="B71" s="2098"/>
      <c r="C71" s="2098"/>
      <c r="K71" s="2087"/>
      <c r="O71" s="2426" t="s">
        <v>2404</v>
      </c>
      <c r="P71" s="2432" t="s">
        <v>2405</v>
      </c>
      <c r="Q71" s="2425">
        <f ca="1">C42</f>
        <v>309</v>
      </c>
      <c r="R71" s="2424" t="s">
        <v>2385</v>
      </c>
    </row>
    <row r="72" spans="1:18" s="2060" customFormat="1" ht="15.75" thickBot="1">
      <c r="A72" s="2097"/>
      <c r="B72" s="2098"/>
      <c r="C72" s="2098"/>
      <c r="K72" s="2087"/>
      <c r="O72" s="2426" t="s">
        <v>2406</v>
      </c>
      <c r="P72" s="2432" t="s">
        <v>2407</v>
      </c>
      <c r="Q72" s="2425">
        <f ca="1">C15</f>
        <v>3153</v>
      </c>
      <c r="R72" s="2424" t="s">
        <v>2385</v>
      </c>
    </row>
    <row r="73" spans="1:18" s="2060" customFormat="1" ht="15.75" thickBot="1">
      <c r="A73" s="2097"/>
      <c r="B73" s="2098"/>
      <c r="C73" s="2098"/>
      <c r="K73" s="2087"/>
      <c r="O73" s="2426" t="s">
        <v>2408</v>
      </c>
      <c r="P73" s="2432" t="s">
        <v>2409</v>
      </c>
      <c r="Q73" s="2427">
        <f ca="1">F43</f>
        <v>5.1999999999999998E-2</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f ca="1">Q67+Q68</f>
        <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91" t="str">
        <f>项目基本情况!B1</f>
        <v>北京市国有建设用地使用权市场价格预评估</v>
      </c>
      <c r="C37" s="3491"/>
      <c r="D37" s="3491"/>
      <c r="E37" s="3491"/>
      <c r="F37" s="3491"/>
      <c r="G37" s="3491"/>
      <c r="H37" s="3491"/>
      <c r="I37" s="3491"/>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陈颖、叶凌</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G19" zoomScale="80" zoomScaleNormal="80" workbookViewId="0">
      <selection activeCell="L2" sqref="L1:L104857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1" t="s">
        <v>2583</v>
      </c>
      <c r="C1" s="3741"/>
      <c r="D1" s="3741"/>
      <c r="E1" s="3741"/>
      <c r="F1" s="3741"/>
      <c r="G1" s="3740" t="s">
        <v>2584</v>
      </c>
      <c r="H1" s="3740"/>
      <c r="I1" s="3740"/>
      <c r="J1" s="3740"/>
      <c r="K1" s="3740"/>
      <c r="L1" s="3740"/>
      <c r="N1" s="3740" t="s">
        <v>2585</v>
      </c>
      <c r="O1" s="3740"/>
      <c r="P1" s="3740"/>
      <c r="Q1" s="3740"/>
      <c r="R1" s="2680"/>
      <c r="S1" s="3740" t="s">
        <v>2586</v>
      </c>
      <c r="T1" s="3740"/>
      <c r="U1" s="3740"/>
      <c r="V1" s="3740"/>
      <c r="X1" s="3739" t="s">
        <v>2646</v>
      </c>
      <c r="Y1" s="3740"/>
      <c r="Z1" s="3740"/>
      <c r="AA1" s="3740"/>
      <c r="AB1" s="3740"/>
      <c r="AD1" s="3739" t="s">
        <v>2650</v>
      </c>
      <c r="AE1" s="3740"/>
      <c r="AF1" s="3740"/>
      <c r="AG1" s="3740"/>
      <c r="AH1" s="3740"/>
    </row>
    <row r="2" spans="1:34" s="2782" customFormat="1" ht="14.25" thickBot="1">
      <c r="B2" s="2790" t="s">
        <v>2587</v>
      </c>
      <c r="C2" s="2790" t="s">
        <v>2648</v>
      </c>
      <c r="D2" s="2783" t="s">
        <v>1646</v>
      </c>
      <c r="E2" s="2783" t="s">
        <v>1953</v>
      </c>
      <c r="F2" s="2790" t="s">
        <v>2649</v>
      </c>
      <c r="G2" s="2786"/>
      <c r="H2" s="2785"/>
      <c r="I2" s="2790" t="s">
        <v>2964</v>
      </c>
      <c r="J2" s="2783" t="s">
        <v>2966</v>
      </c>
      <c r="K2" s="2783" t="s">
        <v>2967</v>
      </c>
      <c r="L2" s="2790" t="s">
        <v>2968</v>
      </c>
      <c r="N2" s="2790" t="s">
        <v>2587</v>
      </c>
      <c r="O2" s="2783" t="s">
        <v>2965</v>
      </c>
      <c r="P2" s="2783" t="s">
        <v>1953</v>
      </c>
      <c r="Q2" s="2790" t="s">
        <v>2649</v>
      </c>
      <c r="R2" s="2784"/>
      <c r="S2" s="2790" t="s">
        <v>2587</v>
      </c>
      <c r="T2" s="2783" t="s">
        <v>2965</v>
      </c>
      <c r="U2" s="2783" t="s">
        <v>1953</v>
      </c>
      <c r="V2" s="2790" t="s">
        <v>2649</v>
      </c>
      <c r="X2" s="2790" t="s">
        <v>2587</v>
      </c>
      <c r="Y2" s="2790" t="s">
        <v>2648</v>
      </c>
      <c r="Z2" s="2783" t="s">
        <v>1646</v>
      </c>
      <c r="AA2" s="2783" t="s">
        <v>1953</v>
      </c>
      <c r="AB2" s="2790" t="s">
        <v>2649</v>
      </c>
      <c r="AD2" s="2790" t="s">
        <v>2587</v>
      </c>
      <c r="AE2" s="2790" t="s">
        <v>2648</v>
      </c>
      <c r="AF2" s="2783" t="s">
        <v>1646</v>
      </c>
      <c r="AG2" s="2783" t="s">
        <v>1953</v>
      </c>
      <c r="AH2" s="2790" t="s">
        <v>2649</v>
      </c>
    </row>
    <row r="3" spans="1:34" s="3166" customFormat="1" ht="14.25">
      <c r="A3" s="3178" t="s">
        <v>2978</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ROUND(SUMPRODUCT(PRODUCT(1+N3:N$21)),4)</f>
        <v>1.4698</v>
      </c>
      <c r="Y3" s="3172">
        <f>ROUND(SUMPRODUCT(PRODUCT(1+O3:O$21)),4)</f>
        <v>1.2982</v>
      </c>
      <c r="Z3" s="3172">
        <f t="shared" ref="Z3:Z18" si="0">Y3</f>
        <v>1.2982</v>
      </c>
      <c r="AA3" s="3172">
        <f>ROUND(SUMPRODUCT(PRODUCT(1+P3:P$21)),4)</f>
        <v>1.5311999999999999</v>
      </c>
      <c r="AB3" s="3172">
        <f>ROUND(SUMPRODUCT(PRODUCT(1+Q3:Q$21)),4)</f>
        <v>1.2476</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ht="13.5" thickBot="1">
      <c r="A5" s="3143" t="s">
        <v>2977</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4">
        <v>1</v>
      </c>
      <c r="I5" s="3160">
        <v>0</v>
      </c>
      <c r="J5" s="3160">
        <v>0</v>
      </c>
      <c r="K5" s="3160">
        <v>0</v>
      </c>
      <c r="L5" s="3160">
        <v>0</v>
      </c>
      <c r="N5" s="2788">
        <f t="shared" ref="N5:N10" si="6">I5/100</f>
        <v>0</v>
      </c>
      <c r="O5" s="2788">
        <f t="shared" ref="O5" si="7">J5/100</f>
        <v>0</v>
      </c>
      <c r="P5" s="2788">
        <f t="shared" ref="P5" si="8">K5/100</f>
        <v>0</v>
      </c>
      <c r="Q5" s="2788">
        <f t="shared" ref="Q5" si="9">L5/100</f>
        <v>0</v>
      </c>
      <c r="R5" s="3146"/>
      <c r="S5" s="3147"/>
      <c r="T5" s="3146"/>
      <c r="U5" s="3146"/>
      <c r="V5" s="3146"/>
      <c r="W5" s="3176" t="s">
        <v>2979</v>
      </c>
      <c r="X5" s="3148">
        <f>ROUND(SUMPRODUCT(PRODUCT(1+N5:N$21)),4)</f>
        <v>1.4698</v>
      </c>
      <c r="Y5" s="3148">
        <f>ROUND(SUMPRODUCT(PRODUCT(1+O5:O$21)),4)</f>
        <v>1.2982</v>
      </c>
      <c r="Z5" s="3148">
        <f t="shared" ref="Z5" si="10">Y5</f>
        <v>1.2982</v>
      </c>
      <c r="AA5" s="3148">
        <f>ROUND(SUMPRODUCT(PRODUCT(1+P5:P$21)),4)</f>
        <v>1.5311999999999999</v>
      </c>
      <c r="AB5" s="3148">
        <f>ROUND(SUMPRODUCT(PRODUCT(1+Q5:Q$21)),4)</f>
        <v>1.2476</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1" t="s">
        <v>2975</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3">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2980</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5"/>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2588</v>
      </c>
      <c r="B8" s="2695">
        <f t="shared" si="19"/>
        <v>419.31181600000002</v>
      </c>
      <c r="C8" s="2695">
        <f t="shared" si="19"/>
        <v>313.95436800000004</v>
      </c>
      <c r="D8" s="2695">
        <f t="shared" si="3"/>
        <v>313.95436800000004</v>
      </c>
      <c r="E8" s="2695">
        <f t="shared" si="20"/>
        <v>596.63028431999999</v>
      </c>
      <c r="F8" s="2695">
        <f t="shared" si="20"/>
        <v>274.74220703999998</v>
      </c>
      <c r="G8" s="3164"/>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2589</v>
      </c>
      <c r="B9" s="2695">
        <f t="shared" si="19"/>
        <v>405.524</v>
      </c>
      <c r="C9" s="2695">
        <f t="shared" si="19"/>
        <v>307.79840000000002</v>
      </c>
      <c r="D9" s="2695">
        <f t="shared" si="3"/>
        <v>307.79840000000002</v>
      </c>
      <c r="E9" s="2695">
        <f t="shared" si="20"/>
        <v>574.67759999999998</v>
      </c>
      <c r="F9" s="2695">
        <f t="shared" si="20"/>
        <v>270.20280000000002</v>
      </c>
      <c r="G9" s="3165"/>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8">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3"/>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3"/>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4"/>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42">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3"/>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3"/>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4"/>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42">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3"/>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3"/>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4"/>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2647</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2590</v>
      </c>
      <c r="B22" s="2687">
        <v>299</v>
      </c>
      <c r="C22" s="2687">
        <v>252</v>
      </c>
      <c r="D22" s="2687">
        <f t="shared" si="29"/>
        <v>252</v>
      </c>
      <c r="E22" s="2687">
        <v>409</v>
      </c>
      <c r="F22" s="2688">
        <v>227</v>
      </c>
      <c r="G22" s="3745">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2591</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6"/>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2592</v>
      </c>
      <c r="B24" s="2695">
        <f t="shared" si="38"/>
        <v>288.2649053828776</v>
      </c>
      <c r="C24" s="2695">
        <f t="shared" si="38"/>
        <v>243.64564425013293</v>
      </c>
      <c r="D24" s="2695">
        <f t="shared" si="29"/>
        <v>243.64564425013293</v>
      </c>
      <c r="E24" s="2695">
        <f t="shared" si="39"/>
        <v>393.31080825986544</v>
      </c>
      <c r="F24" s="2695">
        <f t="shared" si="39"/>
        <v>223.07903790551154</v>
      </c>
      <c r="G24" s="3746"/>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2593</v>
      </c>
      <c r="B25" s="2695">
        <f t="shared" si="38"/>
        <v>282.50186729015837</v>
      </c>
      <c r="C25" s="2695">
        <f t="shared" si="38"/>
        <v>238.09796174155468</v>
      </c>
      <c r="D25" s="2695">
        <f t="shared" si="29"/>
        <v>238.09796174155468</v>
      </c>
      <c r="E25" s="2695">
        <f t="shared" si="39"/>
        <v>385.33438646014054</v>
      </c>
      <c r="F25" s="2695">
        <f t="shared" si="39"/>
        <v>221.55034055567739</v>
      </c>
      <c r="G25" s="3747"/>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2594</v>
      </c>
      <c r="B26" s="2725">
        <v>278</v>
      </c>
      <c r="C26" s="2725">
        <v>234</v>
      </c>
      <c r="D26" s="2725">
        <f t="shared" si="29"/>
        <v>234</v>
      </c>
      <c r="E26" s="2725">
        <v>379</v>
      </c>
      <c r="F26" s="2726">
        <v>220</v>
      </c>
      <c r="G26" s="3742">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2595</v>
      </c>
      <c r="B27" s="2695">
        <f>B26/(1+N26)</f>
        <v>275.49301357645425</v>
      </c>
      <c r="C27" s="2695">
        <f>C26/(1+O26)</f>
        <v>232.41954707985698</v>
      </c>
      <c r="D27" s="2695">
        <f t="shared" si="29"/>
        <v>232.41954707985698</v>
      </c>
      <c r="E27" s="2695">
        <f t="shared" ref="E27:F29" si="40">E26/(1+P26)</f>
        <v>375.32184591008121</v>
      </c>
      <c r="F27" s="2695">
        <f t="shared" si="40"/>
        <v>218.03766105054513</v>
      </c>
      <c r="G27" s="3743"/>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2596</v>
      </c>
      <c r="B28" s="2695">
        <f>B27/(1+N27)</f>
        <v>275.24529281292263</v>
      </c>
      <c r="C28" s="2695">
        <f>C27/(1+O27)</f>
        <v>231.74747938962707</v>
      </c>
      <c r="D28" s="2695">
        <f t="shared" si="29"/>
        <v>231.74747938962707</v>
      </c>
      <c r="E28" s="2695">
        <f t="shared" si="40"/>
        <v>375.35938184826603</v>
      </c>
      <c r="F28" s="2695">
        <f t="shared" si="40"/>
        <v>216.78033510692495</v>
      </c>
      <c r="G28" s="3743"/>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2597</v>
      </c>
      <c r="B29" s="2695">
        <f>B28/(1+N28)</f>
        <v>275.19025476197027</v>
      </c>
      <c r="C29" s="2727">
        <v>232</v>
      </c>
      <c r="D29" s="2727">
        <f t="shared" si="29"/>
        <v>232</v>
      </c>
      <c r="E29" s="2695">
        <f t="shared" si="40"/>
        <v>375.65990977608692</v>
      </c>
      <c r="F29" s="2695">
        <f t="shared" si="40"/>
        <v>214.12518283971252</v>
      </c>
      <c r="G29" s="3744"/>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2598</v>
      </c>
      <c r="B30" s="2687">
        <v>275</v>
      </c>
      <c r="C30" s="2687">
        <v>232</v>
      </c>
      <c r="D30" s="2687">
        <f t="shared" si="29"/>
        <v>232</v>
      </c>
      <c r="E30" s="2687">
        <v>376</v>
      </c>
      <c r="F30" s="2688">
        <v>213</v>
      </c>
      <c r="G30" s="3742">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2599</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3">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2600</v>
      </c>
      <c r="B32" s="2695">
        <f t="shared" si="41"/>
        <v>275.19335084830601</v>
      </c>
      <c r="C32" s="2695">
        <f t="shared" si="41"/>
        <v>230.18088050139744</v>
      </c>
      <c r="D32" s="2695">
        <f t="shared" si="29"/>
        <v>230.18088050139744</v>
      </c>
      <c r="E32" s="2695">
        <f t="shared" si="42"/>
        <v>377.58482925212331</v>
      </c>
      <c r="F32" s="2695">
        <f t="shared" si="42"/>
        <v>210.90687997847917</v>
      </c>
      <c r="G32" s="3743">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2601</v>
      </c>
      <c r="B33" s="2695">
        <f t="shared" si="41"/>
        <v>276.29854502841971</v>
      </c>
      <c r="C33" s="2695">
        <f t="shared" si="41"/>
        <v>229.79023709833027</v>
      </c>
      <c r="D33" s="2695">
        <f t="shared" si="29"/>
        <v>229.79023709833027</v>
      </c>
      <c r="E33" s="2695">
        <f t="shared" si="42"/>
        <v>379.78759731655936</v>
      </c>
      <c r="F33" s="2695">
        <f t="shared" si="42"/>
        <v>211.32953905659235</v>
      </c>
      <c r="G33" s="3744">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2602</v>
      </c>
      <c r="B34" s="2687">
        <v>269</v>
      </c>
      <c r="C34" s="2687">
        <v>221</v>
      </c>
      <c r="D34" s="2687">
        <f t="shared" si="29"/>
        <v>221</v>
      </c>
      <c r="E34" s="2687">
        <v>373</v>
      </c>
      <c r="F34" s="2688">
        <v>196</v>
      </c>
      <c r="G34" s="3742">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2603</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3">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2604</v>
      </c>
      <c r="B36" s="2695">
        <f t="shared" si="43"/>
        <v>242.95398227588385</v>
      </c>
      <c r="C36" s="2695">
        <f t="shared" si="43"/>
        <v>199.59137053614126</v>
      </c>
      <c r="D36" s="2695">
        <f t="shared" si="29"/>
        <v>199.59137053614126</v>
      </c>
      <c r="E36" s="2695">
        <f t="shared" si="44"/>
        <v>335.92189522342125</v>
      </c>
      <c r="F36" s="2695">
        <f t="shared" si="44"/>
        <v>183.10139991109489</v>
      </c>
      <c r="G36" s="3743">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2605</v>
      </c>
      <c r="B37" s="2695">
        <f t="shared" si="43"/>
        <v>232.06990378821649</v>
      </c>
      <c r="C37" s="2695">
        <f t="shared" si="43"/>
        <v>192.74878854286936</v>
      </c>
      <c r="D37" s="2695">
        <f t="shared" si="29"/>
        <v>192.74878854286936</v>
      </c>
      <c r="E37" s="2695">
        <f t="shared" si="44"/>
        <v>319.71247284992984</v>
      </c>
      <c r="F37" s="2695">
        <f t="shared" si="44"/>
        <v>175.67053622862409</v>
      </c>
      <c r="G37" s="3744">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2606</v>
      </c>
      <c r="B38" s="2687">
        <v>220</v>
      </c>
      <c r="C38" s="2687">
        <v>187</v>
      </c>
      <c r="D38" s="2687">
        <f t="shared" si="29"/>
        <v>187</v>
      </c>
      <c r="E38" s="2687">
        <v>301</v>
      </c>
      <c r="F38" s="2688">
        <v>168</v>
      </c>
      <c r="G38" s="3742">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2607</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3">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2608</v>
      </c>
      <c r="B40" s="2695">
        <f t="shared" si="45"/>
        <v>210.630522469011</v>
      </c>
      <c r="C40" s="2695">
        <f t="shared" si="45"/>
        <v>181.69567812247232</v>
      </c>
      <c r="D40" s="2695">
        <f t="shared" si="29"/>
        <v>181.69567812247232</v>
      </c>
      <c r="E40" s="2695">
        <f t="shared" si="46"/>
        <v>286.13517466736738</v>
      </c>
      <c r="F40" s="2695">
        <f t="shared" si="46"/>
        <v>165.47535084591149</v>
      </c>
      <c r="G40" s="3743">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2609</v>
      </c>
      <c r="B41" s="2695">
        <f t="shared" si="45"/>
        <v>208.83454537875372</v>
      </c>
      <c r="C41" s="2695">
        <f t="shared" si="45"/>
        <v>183.77230517090351</v>
      </c>
      <c r="D41" s="2695">
        <f t="shared" si="29"/>
        <v>183.77230517090351</v>
      </c>
      <c r="E41" s="2695">
        <f t="shared" si="46"/>
        <v>281.10342338870947</v>
      </c>
      <c r="F41" s="2695">
        <f t="shared" si="46"/>
        <v>168.97309388942256</v>
      </c>
      <c r="G41" s="3744">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2610</v>
      </c>
      <c r="B42" s="2725">
        <v>214</v>
      </c>
      <c r="C42" s="2725">
        <v>188</v>
      </c>
      <c r="D42" s="2725">
        <f t="shared" si="29"/>
        <v>188</v>
      </c>
      <c r="E42" s="2725">
        <v>289</v>
      </c>
      <c r="F42" s="2726">
        <v>166</v>
      </c>
      <c r="G42" s="3742">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2611</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3">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2612</v>
      </c>
      <c r="B44" s="2695">
        <f t="shared" si="47"/>
        <v>206.31694671589116</v>
      </c>
      <c r="C44" s="2695">
        <f t="shared" si="47"/>
        <v>183.61041121036101</v>
      </c>
      <c r="D44" s="2695">
        <f t="shared" si="29"/>
        <v>183.61041121036101</v>
      </c>
      <c r="E44" s="2695">
        <f t="shared" si="48"/>
        <v>276.66850301795557</v>
      </c>
      <c r="F44" s="2695">
        <f t="shared" si="48"/>
        <v>165.1360938278614</v>
      </c>
      <c r="G44" s="3743">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2613</v>
      </c>
      <c r="B45" s="2728">
        <f t="shared" si="47"/>
        <v>196.62341248059772</v>
      </c>
      <c r="C45" s="2728">
        <f t="shared" si="47"/>
        <v>170.99125648199012</v>
      </c>
      <c r="D45" s="2728">
        <f t="shared" si="29"/>
        <v>170.99125648199012</v>
      </c>
      <c r="E45" s="2728">
        <f t="shared" si="48"/>
        <v>266.07857570490052</v>
      </c>
      <c r="F45" s="2728">
        <f t="shared" si="48"/>
        <v>154.53499328828505</v>
      </c>
      <c r="G45" s="3744">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2614</v>
      </c>
      <c r="B46" s="2687">
        <v>188</v>
      </c>
      <c r="C46" s="2687">
        <v>165</v>
      </c>
      <c r="D46" s="2687">
        <f t="shared" si="29"/>
        <v>165</v>
      </c>
      <c r="E46" s="2687">
        <v>254</v>
      </c>
      <c r="F46" s="2688">
        <v>148</v>
      </c>
      <c r="G46" s="3742">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2615</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3">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2616</v>
      </c>
      <c r="B48" s="2695">
        <f t="shared" si="51"/>
        <v>168.82017748715555</v>
      </c>
      <c r="C48" s="2695">
        <f t="shared" si="51"/>
        <v>148.06267029972753</v>
      </c>
      <c r="D48" s="2695">
        <f t="shared" si="29"/>
        <v>148.06267029972753</v>
      </c>
      <c r="E48" s="2695">
        <f t="shared" si="52"/>
        <v>216.46288379323747</v>
      </c>
      <c r="F48" s="2695">
        <f t="shared" si="52"/>
        <v>134.23529411764704</v>
      </c>
      <c r="G48" s="3743">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2617</v>
      </c>
      <c r="B49" s="2695">
        <f t="shared" si="51"/>
        <v>163.84913591779542</v>
      </c>
      <c r="C49" s="2695">
        <f t="shared" si="51"/>
        <v>145.0283378746594</v>
      </c>
      <c r="D49" s="2695">
        <f t="shared" si="29"/>
        <v>145.0283378746594</v>
      </c>
      <c r="E49" s="2695">
        <f t="shared" si="52"/>
        <v>204.95180722891567</v>
      </c>
      <c r="F49" s="2695">
        <f t="shared" si="52"/>
        <v>125.95920303605313</v>
      </c>
      <c r="G49" s="3744">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2618</v>
      </c>
      <c r="B50" s="2709">
        <v>159</v>
      </c>
      <c r="C50" s="2709">
        <v>141</v>
      </c>
      <c r="D50" s="2709">
        <f t="shared" si="29"/>
        <v>141</v>
      </c>
      <c r="E50" s="2709">
        <v>195</v>
      </c>
      <c r="F50" s="2710">
        <v>122</v>
      </c>
      <c r="G50" s="3742">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2619</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3">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2620</v>
      </c>
      <c r="B52" s="2695">
        <f t="shared" si="55"/>
        <v>146.57412060301507</v>
      </c>
      <c r="C52" s="2695">
        <f t="shared" si="55"/>
        <v>136.46831955922866</v>
      </c>
      <c r="D52" s="2695">
        <f t="shared" si="29"/>
        <v>136.46831955922866</v>
      </c>
      <c r="E52" s="2695">
        <f t="shared" si="56"/>
        <v>166.73864894795128</v>
      </c>
      <c r="F52" s="2695">
        <f t="shared" si="56"/>
        <v>115.05882352941177</v>
      </c>
      <c r="G52" s="3743">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2621</v>
      </c>
      <c r="B53" s="2695">
        <f t="shared" si="55"/>
        <v>144.04145728643215</v>
      </c>
      <c r="C53" s="2695">
        <f t="shared" si="55"/>
        <v>136.12396694214877</v>
      </c>
      <c r="D53" s="2695">
        <f t="shared" si="29"/>
        <v>136.12396694214877</v>
      </c>
      <c r="E53" s="2695">
        <f t="shared" si="56"/>
        <v>158.32225913621264</v>
      </c>
      <c r="F53" s="2695">
        <f t="shared" si="56"/>
        <v>114.04278074866311</v>
      </c>
      <c r="G53" s="3744">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2622</v>
      </c>
      <c r="B54" s="2709">
        <v>138</v>
      </c>
      <c r="C54" s="2709">
        <v>131</v>
      </c>
      <c r="D54" s="2709">
        <f t="shared" si="29"/>
        <v>131</v>
      </c>
      <c r="E54" s="2709">
        <v>155</v>
      </c>
      <c r="F54" s="2710">
        <v>114</v>
      </c>
      <c r="G54" s="3742">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2623</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3">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2624</v>
      </c>
      <c r="B56" s="2695">
        <f t="shared" si="59"/>
        <v>124.29032258064517</v>
      </c>
      <c r="C56" s="2695">
        <f t="shared" si="59"/>
        <v>123.8968609865471</v>
      </c>
      <c r="D56" s="2695">
        <f t="shared" si="29"/>
        <v>123.8968609865471</v>
      </c>
      <c r="E56" s="2695">
        <f t="shared" si="60"/>
        <v>138.00507614213197</v>
      </c>
      <c r="F56" s="2695">
        <f t="shared" si="60"/>
        <v>107.96106557377048</v>
      </c>
      <c r="G56" s="3743">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2625</v>
      </c>
      <c r="B57" s="2695">
        <f t="shared" si="59"/>
        <v>122.57204301075269</v>
      </c>
      <c r="C57" s="2695">
        <f t="shared" si="59"/>
        <v>123.4932735426009</v>
      </c>
      <c r="D57" s="2695">
        <f t="shared" si="29"/>
        <v>123.4932735426009</v>
      </c>
      <c r="E57" s="2695">
        <f t="shared" si="60"/>
        <v>129.82233502538071</v>
      </c>
      <c r="F57" s="2695">
        <f t="shared" si="60"/>
        <v>107.39446721311475</v>
      </c>
      <c r="G57" s="3744">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2626</v>
      </c>
      <c r="B58" s="2725">
        <v>121</v>
      </c>
      <c r="C58" s="2725">
        <v>122</v>
      </c>
      <c r="D58" s="2725">
        <f t="shared" si="29"/>
        <v>122</v>
      </c>
      <c r="E58" s="2725">
        <v>124</v>
      </c>
      <c r="F58" s="2726">
        <v>107</v>
      </c>
      <c r="G58" s="3742">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2627</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3">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2628</v>
      </c>
      <c r="B60" s="2695">
        <f t="shared" si="63"/>
        <v>116.99099099099099</v>
      </c>
      <c r="C60" s="2695">
        <f t="shared" si="63"/>
        <v>118.84848484848486</v>
      </c>
      <c r="D60" s="2695">
        <f t="shared" si="29"/>
        <v>118.84848484848486</v>
      </c>
      <c r="E60" s="2695">
        <f t="shared" si="64"/>
        <v>117.60960960960961</v>
      </c>
      <c r="F60" s="2695">
        <f t="shared" si="64"/>
        <v>104</v>
      </c>
      <c r="G60" s="3743">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2629</v>
      </c>
      <c r="B61" s="2728">
        <f t="shared" si="63"/>
        <v>112.48648648648648</v>
      </c>
      <c r="C61" s="2728">
        <f t="shared" si="63"/>
        <v>115.21212121212122</v>
      </c>
      <c r="D61" s="2728">
        <f t="shared" si="29"/>
        <v>115.21212121212122</v>
      </c>
      <c r="E61" s="2728">
        <f t="shared" si="64"/>
        <v>110.4024024024024</v>
      </c>
      <c r="F61" s="2728">
        <f t="shared" si="64"/>
        <v>104</v>
      </c>
      <c r="G61" s="3744">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2630</v>
      </c>
      <c r="B62" s="2746">
        <v>111</v>
      </c>
      <c r="C62" s="2746">
        <v>114</v>
      </c>
      <c r="D62" s="2746">
        <f t="shared" si="29"/>
        <v>114</v>
      </c>
      <c r="E62" s="2746">
        <v>108</v>
      </c>
      <c r="F62" s="2747">
        <v>104</v>
      </c>
      <c r="G62" s="3742">
        <v>2003</v>
      </c>
      <c r="H62" s="2736">
        <v>4</v>
      </c>
      <c r="I62" s="2748"/>
      <c r="J62" s="2748"/>
      <c r="K62" s="2748"/>
      <c r="L62" s="2748"/>
      <c r="N62" s="2749"/>
      <c r="O62" s="2748"/>
      <c r="P62" s="2748"/>
      <c r="Q62" s="2748"/>
      <c r="S62" s="2749"/>
      <c r="T62" s="2748"/>
      <c r="U62" s="2748"/>
      <c r="V62" s="2748"/>
      <c r="X62" s="2740"/>
      <c r="Y62" s="2740"/>
      <c r="Z62" s="2740"/>
    </row>
    <row r="63" spans="1:26">
      <c r="A63" s="2681" t="s">
        <v>2631</v>
      </c>
      <c r="B63" s="2750">
        <f t="shared" ref="B63:C65" si="65">B64+(B$62-B$66)/4</f>
        <v>109.75</v>
      </c>
      <c r="C63" s="2750">
        <f t="shared" si="65"/>
        <v>112.25</v>
      </c>
      <c r="D63" s="2750">
        <f t="shared" si="29"/>
        <v>112.25</v>
      </c>
      <c r="E63" s="2750">
        <f t="shared" ref="E63:F65" si="66">E64+(E$62-E$66)/4</f>
        <v>107.25</v>
      </c>
      <c r="F63" s="2750">
        <f t="shared" si="66"/>
        <v>103.5</v>
      </c>
      <c r="G63" s="3743">
        <v>2003</v>
      </c>
      <c r="H63" s="2706">
        <v>3</v>
      </c>
      <c r="I63" s="2748"/>
      <c r="J63" s="2748"/>
      <c r="K63" s="2748"/>
      <c r="L63" s="2748"/>
      <c r="X63" s="2740"/>
      <c r="Y63" s="2740"/>
      <c r="Z63" s="2740"/>
    </row>
    <row r="64" spans="1:26">
      <c r="A64" s="2681" t="s">
        <v>2632</v>
      </c>
      <c r="B64" s="2750">
        <f t="shared" si="65"/>
        <v>108.5</v>
      </c>
      <c r="C64" s="2750">
        <f t="shared" si="65"/>
        <v>110.5</v>
      </c>
      <c r="D64" s="2750">
        <f t="shared" si="29"/>
        <v>110.5</v>
      </c>
      <c r="E64" s="2750">
        <f t="shared" si="66"/>
        <v>106.5</v>
      </c>
      <c r="F64" s="2750">
        <f t="shared" si="66"/>
        <v>103</v>
      </c>
      <c r="G64" s="3743">
        <v>2003</v>
      </c>
      <c r="H64" s="2686">
        <v>2</v>
      </c>
      <c r="I64" s="2748"/>
      <c r="J64" s="2748"/>
      <c r="K64" s="2748"/>
      <c r="L64" s="2748"/>
      <c r="X64" s="2740"/>
      <c r="Y64" s="2740"/>
      <c r="Z64" s="2740"/>
    </row>
    <row r="65" spans="1:26" ht="13.5" thickBot="1">
      <c r="A65" s="2681" t="s">
        <v>2633</v>
      </c>
      <c r="B65" s="2750">
        <f t="shared" si="65"/>
        <v>107.25</v>
      </c>
      <c r="C65" s="2750">
        <f t="shared" si="65"/>
        <v>108.75</v>
      </c>
      <c r="D65" s="2750">
        <f t="shared" si="29"/>
        <v>108.75</v>
      </c>
      <c r="E65" s="2750">
        <f t="shared" si="66"/>
        <v>105.75</v>
      </c>
      <c r="F65" s="2750">
        <f t="shared" si="66"/>
        <v>102.5</v>
      </c>
      <c r="G65" s="3744">
        <v>2003</v>
      </c>
      <c r="H65" s="2751">
        <v>1</v>
      </c>
      <c r="I65" s="2748"/>
      <c r="J65" s="2748"/>
      <c r="K65" s="2748"/>
      <c r="L65" s="2748"/>
      <c r="S65" s="2690"/>
      <c r="T65" s="2691"/>
      <c r="U65" s="2691"/>
      <c r="X65" s="2740"/>
      <c r="Y65" s="2740"/>
      <c r="Z65" s="2740"/>
    </row>
    <row r="66" spans="1:26" ht="13.5" thickBot="1">
      <c r="A66" s="2681" t="s">
        <v>2634</v>
      </c>
      <c r="B66" s="2752">
        <v>106</v>
      </c>
      <c r="C66" s="2752">
        <v>107</v>
      </c>
      <c r="D66" s="2752">
        <f t="shared" si="29"/>
        <v>107</v>
      </c>
      <c r="E66" s="2752">
        <v>105</v>
      </c>
      <c r="F66" s="2753">
        <v>102</v>
      </c>
      <c r="G66" s="3742">
        <v>2002</v>
      </c>
      <c r="H66" s="2701">
        <v>4</v>
      </c>
      <c r="I66" s="2748"/>
      <c r="J66" s="2748"/>
      <c r="K66" s="2748"/>
      <c r="L66" s="2748"/>
      <c r="N66" s="2749"/>
      <c r="O66" s="2748"/>
      <c r="P66" s="2748"/>
      <c r="Q66" s="2748"/>
      <c r="S66" s="2749"/>
      <c r="T66" s="2748"/>
      <c r="U66" s="2748"/>
      <c r="V66" s="2748"/>
      <c r="X66" s="2740"/>
      <c r="Y66" s="2740"/>
      <c r="Z66" s="2740"/>
    </row>
    <row r="67" spans="1:26">
      <c r="A67" s="2681" t="s">
        <v>2635</v>
      </c>
      <c r="B67" s="2750">
        <f t="shared" ref="B67:C69" si="67">B68+(B$66-B$70)/4</f>
        <v>105</v>
      </c>
      <c r="C67" s="2750">
        <f t="shared" si="67"/>
        <v>106</v>
      </c>
      <c r="D67" s="2750">
        <f t="shared" si="29"/>
        <v>106</v>
      </c>
      <c r="E67" s="2750">
        <f t="shared" ref="E67:F69" si="68">E68+(E$66-E$70)/4</f>
        <v>104.5</v>
      </c>
      <c r="F67" s="2750">
        <f t="shared" si="68"/>
        <v>101.5</v>
      </c>
      <c r="G67" s="3743">
        <v>2002</v>
      </c>
      <c r="H67" s="2706">
        <v>3</v>
      </c>
      <c r="I67" s="2748"/>
      <c r="J67" s="2748"/>
      <c r="K67" s="2748"/>
      <c r="L67" s="2748"/>
      <c r="X67" s="2740"/>
      <c r="Y67" s="2740"/>
      <c r="Z67" s="2740"/>
    </row>
    <row r="68" spans="1:26">
      <c r="A68" s="2681" t="s">
        <v>2636</v>
      </c>
      <c r="B68" s="2750">
        <f t="shared" si="67"/>
        <v>104</v>
      </c>
      <c r="C68" s="2750">
        <f t="shared" si="67"/>
        <v>105</v>
      </c>
      <c r="D68" s="2750">
        <f t="shared" si="29"/>
        <v>105</v>
      </c>
      <c r="E68" s="2750">
        <f t="shared" si="68"/>
        <v>104</v>
      </c>
      <c r="F68" s="2750">
        <f t="shared" si="68"/>
        <v>101</v>
      </c>
      <c r="G68" s="3743">
        <v>2002</v>
      </c>
      <c r="H68" s="2686">
        <v>2</v>
      </c>
      <c r="I68" s="2748"/>
      <c r="J68" s="2748"/>
      <c r="K68" s="2748"/>
      <c r="L68" s="2748"/>
      <c r="X68" s="2740"/>
      <c r="Y68" s="2740"/>
      <c r="Z68" s="2740"/>
    </row>
    <row r="69" spans="1:26" s="2717" customFormat="1" ht="13.5" thickBot="1">
      <c r="A69" s="2713" t="s">
        <v>2637</v>
      </c>
      <c r="B69" s="2754">
        <f t="shared" si="67"/>
        <v>103</v>
      </c>
      <c r="C69" s="2754">
        <f t="shared" si="67"/>
        <v>104</v>
      </c>
      <c r="D69" s="2754">
        <f t="shared" si="29"/>
        <v>104</v>
      </c>
      <c r="E69" s="2754">
        <f t="shared" si="68"/>
        <v>103.5</v>
      </c>
      <c r="F69" s="2754">
        <f t="shared" si="68"/>
        <v>100.5</v>
      </c>
      <c r="G69" s="3744">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2638</v>
      </c>
      <c r="G72" s="2764"/>
      <c r="N72" s="2764"/>
      <c r="S72" s="2764"/>
    </row>
    <row r="73" spans="1:26" s="2763" customFormat="1">
      <c r="A73" s="2763" t="s">
        <v>2639</v>
      </c>
      <c r="G73" s="2764"/>
      <c r="N73" s="2764"/>
      <c r="S73" s="2764"/>
    </row>
    <row r="74" spans="1:26" s="2763" customFormat="1">
      <c r="A74" s="2763" t="s">
        <v>2640</v>
      </c>
      <c r="G74" s="2764"/>
      <c r="I74" s="2765"/>
      <c r="J74" s="2765"/>
      <c r="K74" s="2765"/>
      <c r="L74" s="2765"/>
      <c r="N74" s="2766"/>
      <c r="O74" s="2765"/>
      <c r="P74" s="2765"/>
      <c r="Q74" s="2765"/>
      <c r="S74" s="2766"/>
      <c r="T74" s="2765"/>
      <c r="U74" s="2765"/>
      <c r="V74" s="2765"/>
    </row>
    <row r="75" spans="1:26" s="2763" customFormat="1">
      <c r="A75" s="2763" t="s">
        <v>2641</v>
      </c>
      <c r="G75" s="2764"/>
      <c r="N75" s="2764"/>
      <c r="S75" s="2764"/>
    </row>
    <row r="82" spans="7:22" ht="13.5" thickBot="1"/>
    <row r="83" spans="7:22">
      <c r="G83" s="2689"/>
      <c r="S83" s="2767" t="s">
        <v>2642</v>
      </c>
      <c r="T83" s="2768" t="s">
        <v>2643</v>
      </c>
      <c r="U83" s="2768" t="s">
        <v>2644</v>
      </c>
      <c r="V83" s="2768" t="s">
        <v>2645</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7"/>
      <c r="E1" s="2412" t="s">
        <v>2379</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2464</v>
      </c>
      <c r="C5" s="55">
        <f ca="1">C6+C10+C12</f>
        <v>0</v>
      </c>
      <c r="D5" s="2521" t="s">
        <v>2467</v>
      </c>
      <c r="E5" s="2515"/>
      <c r="F5" s="2516"/>
      <c r="G5" s="1592"/>
      <c r="H5" s="781">
        <v>1</v>
      </c>
      <c r="I5" s="782" t="s">
        <v>2464</v>
      </c>
      <c r="J5" s="55">
        <f ca="1">J6+J10+J12</f>
        <v>0</v>
      </c>
      <c r="K5" s="2521" t="s">
        <v>2467</v>
      </c>
      <c r="L5" s="2515"/>
      <c r="M5" s="2516"/>
    </row>
    <row r="6" spans="1:33" ht="18" customHeight="1">
      <c r="A6" s="1831" t="s">
        <v>1826</v>
      </c>
      <c r="B6" s="3733" t="s">
        <v>2469</v>
      </c>
      <c r="C6" s="783">
        <f ca="1">ROUND(F6*F8*F7*(1-F9)/10000,0)</f>
        <v>0</v>
      </c>
      <c r="D6" s="2522" t="s">
        <v>2468</v>
      </c>
      <c r="E6" s="784" t="s">
        <v>1740</v>
      </c>
      <c r="F6" s="785">
        <f ca="1">INDIRECT("'数据-取费表'!u"&amp;$G$1)</f>
        <v>0</v>
      </c>
      <c r="G6" s="1592"/>
      <c r="H6" s="2529" t="s">
        <v>2475</v>
      </c>
      <c r="I6" s="3733" t="s">
        <v>2469</v>
      </c>
      <c r="J6" s="783">
        <f ca="1">ROUND(M6*M8*M7*(1-M9)/10000,0)</f>
        <v>0</v>
      </c>
      <c r="K6" s="341" t="s">
        <v>1739</v>
      </c>
      <c r="L6" s="784" t="s">
        <v>1740</v>
      </c>
      <c r="M6" s="785">
        <f ca="1">INDIRECT("'数据-取费表'!z"&amp;$G$1)</f>
        <v>0</v>
      </c>
    </row>
    <row r="7" spans="1:33" ht="18" customHeight="1">
      <c r="A7" s="2525"/>
      <c r="B7" s="3734"/>
      <c r="C7" s="788"/>
      <c r="D7" s="789"/>
      <c r="E7" s="784" t="s">
        <v>1741</v>
      </c>
      <c r="F7" s="785">
        <f ca="1">IF(INDIRECT("'数据-取费表'!ah"&amp;$G$1)="",INDIRECT("'数据-取费表'!k"&amp;$G$1),INDIRECT("'数据-取费表'!ah"&amp;$G$1))</f>
        <v>0</v>
      </c>
      <c r="G7" s="1592"/>
      <c r="H7" s="2514"/>
      <c r="I7" s="3734"/>
      <c r="J7" s="788"/>
      <c r="K7" s="789"/>
      <c r="L7" s="784" t="s">
        <v>1741</v>
      </c>
      <c r="M7" s="785">
        <f ca="1">F7</f>
        <v>0</v>
      </c>
    </row>
    <row r="8" spans="1:33" ht="18" customHeight="1">
      <c r="A8" s="2518"/>
      <c r="B8" s="3735"/>
      <c r="C8" s="788"/>
      <c r="D8" s="789"/>
      <c r="E8" s="784" t="s">
        <v>1742</v>
      </c>
      <c r="F8" s="785">
        <f ca="1">INDIRECT("'数据-取费表'!ai"&amp;$G$1)</f>
        <v>0</v>
      </c>
      <c r="G8" s="1592"/>
      <c r="H8" s="2514"/>
      <c r="I8" s="3735"/>
      <c r="J8" s="788"/>
      <c r="K8" s="789"/>
      <c r="L8" s="784" t="s">
        <v>1742</v>
      </c>
      <c r="M8" s="785">
        <f ca="1">INDIRECT("'数据-取费表'!ai"&amp;$G$1)</f>
        <v>0</v>
      </c>
    </row>
    <row r="9" spans="1:33" ht="18" customHeight="1">
      <c r="A9" s="786"/>
      <c r="B9" s="3736"/>
      <c r="C9" s="788"/>
      <c r="D9" s="789"/>
      <c r="E9" s="784" t="s">
        <v>1743</v>
      </c>
      <c r="F9" s="794">
        <f ca="1">INDIRECT("'数据-取费表'!w"&amp;$G$1)</f>
        <v>0</v>
      </c>
      <c r="G9" s="1592"/>
      <c r="H9" s="2530"/>
      <c r="I9" s="3735"/>
      <c r="J9" s="788"/>
      <c r="K9" s="789"/>
      <c r="L9" s="795" t="s">
        <v>1743</v>
      </c>
      <c r="M9" s="796">
        <f ca="1">INDIRECT("'数据-取费表'!ab"&amp;$G$1)</f>
        <v>0</v>
      </c>
    </row>
    <row r="10" spans="1:33" ht="18" customHeight="1">
      <c r="A10" s="1831" t="s">
        <v>2473</v>
      </c>
      <c r="B10" s="2519" t="s">
        <v>2465</v>
      </c>
      <c r="C10" s="799">
        <f ca="1">ROUND(IF(F10="押一",F6*F8*F7/12*F11,IF(F10="押二",F6*F8*F7/12*2*F11,IF(F10="押三",F6*F8*F7/12*3*F11,C11*F11)))/10000,0)</f>
        <v>0</v>
      </c>
      <c r="D10" s="2526" t="s">
        <v>2472</v>
      </c>
      <c r="E10" s="2523" t="s">
        <v>2470</v>
      </c>
      <c r="F10" s="2646"/>
      <c r="G10" s="1592"/>
      <c r="H10" s="2586" t="s">
        <v>2476</v>
      </c>
      <c r="I10" s="2591" t="s">
        <v>2465</v>
      </c>
      <c r="J10" s="783">
        <f ca="1">ROUND(IF(M10="押一",M6*M8*M7/12*M11,IF(M10="押二",M6*M8*M7/12*2*M11,IF(M10="押三",M6*M8*M7/12*3*M11,J11*M11)))/10000,0)</f>
        <v>0</v>
      </c>
      <c r="K10" s="2526" t="s">
        <v>2472</v>
      </c>
      <c r="L10" s="2523" t="s">
        <v>2470</v>
      </c>
      <c r="M10" s="2646"/>
    </row>
    <row r="11" spans="1:33" ht="18" customHeight="1">
      <c r="A11" s="790"/>
      <c r="B11" s="2520" t="s">
        <v>2580</v>
      </c>
      <c r="C11" s="2524"/>
      <c r="D11" s="789"/>
      <c r="E11" s="2523" t="s">
        <v>2471</v>
      </c>
      <c r="F11" s="796">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2">
        <f ca="1">ROUND(C29*F13,0)</f>
        <v>0</v>
      </c>
      <c r="D13" s="1835" t="s">
        <v>2301</v>
      </c>
      <c r="E13" s="1835" t="s">
        <v>1746</v>
      </c>
      <c r="F13" s="2561">
        <f ca="1">INDIRECT("'数据-取费表'!y"&amp;$G$1)</f>
        <v>0</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0</v>
      </c>
      <c r="D14" s="1980" t="s">
        <v>1747</v>
      </c>
      <c r="E14" s="1981"/>
      <c r="F14" s="805"/>
      <c r="G14" s="1592"/>
      <c r="H14" s="1649" t="s">
        <v>1832</v>
      </c>
      <c r="I14" s="2232" t="s">
        <v>2832</v>
      </c>
      <c r="J14" s="53">
        <f ca="1">C29</f>
        <v>0</v>
      </c>
      <c r="K14" s="26"/>
      <c r="L14" s="801"/>
      <c r="M14" s="802"/>
    </row>
    <row r="15" spans="1:33" s="2065" customFormat="1" ht="18" customHeight="1" thickBot="1">
      <c r="A15" s="1648" t="s">
        <v>1887</v>
      </c>
      <c r="B15" s="784" t="s">
        <v>648</v>
      </c>
      <c r="C15" s="53">
        <f ca="1">ROUND(C14*F15,0)</f>
        <v>0</v>
      </c>
      <c r="D15" s="806" t="s">
        <v>1748</v>
      </c>
      <c r="E15" s="806" t="s">
        <v>1749</v>
      </c>
      <c r="F15" s="807">
        <f>'数据-取费表'!B33</f>
        <v>0.03</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0</v>
      </c>
      <c r="K16" s="1822" t="s">
        <v>1752</v>
      </c>
      <c r="L16" s="2511"/>
      <c r="M16" s="2516"/>
    </row>
    <row r="17" spans="1:33" s="2065" customFormat="1" ht="18" customHeight="1">
      <c r="A17" s="1648" t="s">
        <v>1889</v>
      </c>
      <c r="B17" s="784" t="s">
        <v>654</v>
      </c>
      <c r="C17" s="53">
        <f ca="1">ROUND(F17*(F43+INDIRECT("'数据-取费表'!S"&amp;$G$1))/10000,0)</f>
        <v>0</v>
      </c>
      <c r="D17" s="784" t="s">
        <v>1753</v>
      </c>
      <c r="E17" s="784" t="s">
        <v>1754</v>
      </c>
      <c r="F17" s="56">
        <f>'数据-取费表'!B35</f>
        <v>200</v>
      </c>
      <c r="G17" s="1593"/>
      <c r="H17" s="1649" t="s">
        <v>1832</v>
      </c>
      <c r="I17" s="784" t="s">
        <v>657</v>
      </c>
      <c r="J17" s="53">
        <f ca="1">ROUND(IF(项目基本情况!B11="自然人",J5*M17,J18+J19+J20),0)</f>
        <v>0</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0</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0</v>
      </c>
      <c r="D19" s="261" t="s">
        <v>1759</v>
      </c>
      <c r="E19" s="1983"/>
      <c r="F19" s="56"/>
      <c r="G19" s="1592"/>
      <c r="H19" s="1648"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49" t="s">
        <v>1891</v>
      </c>
      <c r="B20" s="784" t="s">
        <v>667</v>
      </c>
      <c r="C20" s="53">
        <f ca="1">ROUND(C19*F20,0)</f>
        <v>0</v>
      </c>
      <c r="D20" s="812" t="s">
        <v>1761</v>
      </c>
      <c r="E20" s="784" t="s">
        <v>1749</v>
      </c>
      <c r="F20" s="809">
        <f>'数据-取费表'!B37</f>
        <v>0.02</v>
      </c>
      <c r="G20" s="1593"/>
      <c r="H20" s="1651" t="s">
        <v>1882</v>
      </c>
      <c r="I20" s="341" t="s">
        <v>1762</v>
      </c>
      <c r="J20" s="54">
        <f ca="1">ROUND(M20*M21/10000,0)</f>
        <v>0</v>
      </c>
      <c r="K20" s="814" t="s">
        <v>1763</v>
      </c>
      <c r="L20" s="784" t="s">
        <v>1764</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0.01</v>
      </c>
      <c r="G21" s="1593"/>
      <c r="H21" s="2531"/>
      <c r="I21" s="793"/>
      <c r="J21" s="69"/>
      <c r="K21" s="816"/>
      <c r="L21" s="784" t="s">
        <v>1768</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单利计息。建造成本、管理费用、销售费用产生的利息。</v>
      </c>
      <c r="E22" s="1983"/>
      <c r="F22" s="56"/>
      <c r="G22" s="1592"/>
      <c r="H22" s="1649" t="s">
        <v>1891</v>
      </c>
      <c r="I22" s="784" t="s">
        <v>1770</v>
      </c>
      <c r="J22" s="53">
        <f ca="1">ROUND(J14*M22,0)</f>
        <v>0</v>
      </c>
      <c r="K22" s="2509" t="s">
        <v>1771</v>
      </c>
      <c r="L22" s="784" t="s">
        <v>1749</v>
      </c>
      <c r="M22" s="817">
        <f ca="1">INDIRECT("'数据-取费表'!Ak"&amp;$G$1)</f>
        <v>0</v>
      </c>
    </row>
    <row r="23" spans="1:33" s="2065" customFormat="1" ht="18" customHeight="1">
      <c r="A23" s="1648" t="s">
        <v>1833</v>
      </c>
      <c r="B23" s="784" t="s">
        <v>2542</v>
      </c>
      <c r="C23" s="53">
        <f ca="1">ROUND(IF('数据-取费表'!B22&lt;=1,(C19+C20)*F24*F23/2,(C19+C20)*(POWER((1+F24),F23/2)-1)),0)</f>
        <v>0</v>
      </c>
      <c r="D23" s="2596" t="str">
        <f>IF(F23&lt;=1,"(建造成本+管理费用)×利率×(建设周期÷2)","(建造成本+管理费用)×((1+利率)^(建设周期÷2)-1)")</f>
        <v>(建造成本+管理费用)×利率×(建设周期÷2)</v>
      </c>
      <c r="E23" s="784" t="s">
        <v>1772</v>
      </c>
      <c r="F23" s="640">
        <f>'数据-取费表'!B20</f>
        <v>1</v>
      </c>
      <c r="G23" s="1593"/>
      <c r="H23" s="1649" t="s">
        <v>1892</v>
      </c>
      <c r="I23" s="784" t="s">
        <v>680</v>
      </c>
      <c r="J23" s="53">
        <f ca="1">ROUND(J13*M23,0)</f>
        <v>0</v>
      </c>
      <c r="K23" s="2509" t="s">
        <v>1773</v>
      </c>
      <c r="L23" s="784" t="s">
        <v>1749</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2.0000000000000001E-4</v>
      </c>
      <c r="D24" s="2596" t="str">
        <f>IF(F23&lt;=1,"销售费用×利率×(建设周期÷2)","销售费用×((1+利率)^(建设周期÷2)-1)")</f>
        <v>销售费用×利率×(建设周期÷2)</v>
      </c>
      <c r="E24" s="784" t="s">
        <v>1775</v>
      </c>
      <c r="F24" s="819">
        <f ca="1">'数据-取费表'!B40</f>
        <v>4.3499999999999997E-2</v>
      </c>
      <c r="G24" s="1593"/>
      <c r="H24" s="2576" t="s">
        <v>1893</v>
      </c>
      <c r="I24" s="2571" t="s">
        <v>667</v>
      </c>
      <c r="J24" s="2569">
        <f ca="1">ROUND(J5*M24,0)</f>
        <v>0</v>
      </c>
      <c r="K24" s="2570" t="s">
        <v>1776</v>
      </c>
      <c r="L24" s="2571" t="s">
        <v>1749</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f ca="1">J5-J16</f>
        <v>0</v>
      </c>
      <c r="K25" s="2573" t="s">
        <v>1779</v>
      </c>
      <c r="L25" s="2574"/>
      <c r="M25" s="2575"/>
    </row>
    <row r="26" spans="1:33" ht="18" customHeight="1">
      <c r="A26" s="1648" t="s">
        <v>1833</v>
      </c>
      <c r="B26" s="784" t="s">
        <v>2443</v>
      </c>
      <c r="C26" s="53">
        <f ca="1">ROUND((C19+C20)*F26,0)</f>
        <v>0</v>
      </c>
      <c r="D26" s="812" t="s">
        <v>1780</v>
      </c>
      <c r="E26" s="795" t="s">
        <v>1781</v>
      </c>
      <c r="F26" s="794">
        <f ca="1">INDIRECT("'数据-取费表'!q"&amp;$G$1)</f>
        <v>0</v>
      </c>
      <c r="G26" s="1592"/>
      <c r="H26" s="2527" t="s">
        <v>1782</v>
      </c>
      <c r="I26" s="2233" t="s">
        <v>2833</v>
      </c>
      <c r="J26" s="783">
        <f ca="1">IF(J5&lt;&gt;0,ROUND(J25*(1-((1+M28)/(1+M26))^M27)/(M26-M28),0),0)</f>
        <v>0</v>
      </c>
      <c r="K26" s="814" t="s">
        <v>1783</v>
      </c>
      <c r="L26" s="784" t="s">
        <v>2424</v>
      </c>
      <c r="M26" s="794">
        <f ca="1">INDIRECT("'数据-取费表'!I"&amp;$G$1)</f>
        <v>0</v>
      </c>
    </row>
    <row r="27" spans="1:33" ht="18" customHeight="1">
      <c r="A27" s="1648" t="s">
        <v>1834</v>
      </c>
      <c r="B27" s="784" t="s">
        <v>687</v>
      </c>
      <c r="C27" s="53">
        <f ca="1">ROUND(F21*F26,4)</f>
        <v>0</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2303</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0</v>
      </c>
      <c r="D29" s="2570"/>
      <c r="E29" s="2571"/>
      <c r="F29" s="2572"/>
      <c r="G29" s="1593"/>
      <c r="H29" s="823" t="s">
        <v>1789</v>
      </c>
      <c r="I29" s="824" t="s">
        <v>1790</v>
      </c>
      <c r="J29" s="825">
        <f ca="1">ROUND(J26/(1+F40)^F41,0)</f>
        <v>0</v>
      </c>
      <c r="K29" s="826" t="s">
        <v>1791</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0</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0</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f ca="1">ROUND(C5*F32/1.05,1)</f>
        <v>0</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v>
      </c>
      <c r="D34" s="814" t="s">
        <v>1801</v>
      </c>
      <c r="E34" s="784" t="s">
        <v>1802</v>
      </c>
      <c r="F34" s="640">
        <f>'数据-取费表'!B52</f>
        <v>3</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49"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49"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6" t="s">
        <v>1893</v>
      </c>
      <c r="B38" s="2571" t="s">
        <v>667</v>
      </c>
      <c r="C38" s="2569">
        <f ca="1">ROUND(C5*F38,1)</f>
        <v>0</v>
      </c>
      <c r="D38" s="2570" t="s">
        <v>1807</v>
      </c>
      <c r="E38" s="2571" t="s">
        <v>1798</v>
      </c>
      <c r="F38" s="2567">
        <f ca="1">INDIRECT("'数据-取费表'!Am"&amp;$G$1)</f>
        <v>0</v>
      </c>
      <c r="G38" s="2063"/>
      <c r="H38" s="2078"/>
      <c r="I38" s="843" t="s">
        <v>1819</v>
      </c>
      <c r="J38" s="844"/>
      <c r="K38" s="2084"/>
      <c r="L38" s="2078"/>
      <c r="M38" s="2078"/>
    </row>
    <row r="39" spans="1:18" ht="24.6" customHeight="1" thickTop="1">
      <c r="A39" s="1830" t="s">
        <v>1896</v>
      </c>
      <c r="B39" s="3036" t="s">
        <v>2828</v>
      </c>
      <c r="C39" s="792">
        <f ca="1">C5-C30</f>
        <v>0</v>
      </c>
      <c r="D39" s="2573" t="s">
        <v>1808</v>
      </c>
      <c r="E39" s="2574"/>
      <c r="F39" s="2575"/>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2972</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#DIV/0!</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c r="K47" s="2389" t="s">
        <v>2354</v>
      </c>
      <c r="L47" s="2390">
        <f ca="1">INDIRECT("'数据-取费表'!d"&amp;$G$1)</f>
        <v>0</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c r="K48" s="2392" t="s">
        <v>2356</v>
      </c>
      <c r="L48" s="2393">
        <f ca="1">INDIRECT("'数据-取费表'!f"&amp;$G$1)</f>
        <v>0</v>
      </c>
      <c r="O48" s="2423" t="s">
        <v>2384</v>
      </c>
      <c r="P48" s="2424" t="s">
        <v>2410</v>
      </c>
      <c r="Q48" s="2425" t="e">
        <f ca="1">C40+J29</f>
        <v>#DIV/0!</v>
      </c>
      <c r="R48" s="2424" t="s">
        <v>2385</v>
      </c>
    </row>
    <row r="49" spans="1:18" s="2060" customFormat="1" ht="18" customHeight="1" thickBot="1">
      <c r="A49" s="786"/>
      <c r="B49" s="787"/>
      <c r="C49" s="788"/>
      <c r="D49" s="789"/>
      <c r="E49" s="784" t="s">
        <v>1741</v>
      </c>
      <c r="F49" s="785">
        <f ca="1">F7</f>
        <v>0</v>
      </c>
      <c r="G49" s="2091"/>
      <c r="H49" s="2094"/>
      <c r="I49" s="2384" t="s">
        <v>2350</v>
      </c>
      <c r="J49" s="2394"/>
      <c r="K49" s="2395" t="s">
        <v>2357</v>
      </c>
      <c r="L49" s="2396"/>
      <c r="O49" s="2423" t="s">
        <v>2386</v>
      </c>
      <c r="P49" s="2424" t="s">
        <v>2411</v>
      </c>
      <c r="Q49" s="2425" t="str">
        <f ca="1">J60</f>
        <v>0</v>
      </c>
      <c r="R49" s="2424" t="s">
        <v>2387</v>
      </c>
    </row>
    <row r="50" spans="1:18" s="2060" customFormat="1" ht="18" customHeight="1" thickBot="1">
      <c r="A50" s="786"/>
      <c r="B50" s="787"/>
      <c r="C50" s="788"/>
      <c r="D50" s="789"/>
      <c r="E50" s="784" t="s">
        <v>1742</v>
      </c>
      <c r="F50" s="785">
        <f ca="1">F8</f>
        <v>0</v>
      </c>
      <c r="G50" s="2096"/>
      <c r="H50" s="2094"/>
      <c r="I50" s="2384" t="s">
        <v>2351</v>
      </c>
      <c r="J50" s="2397">
        <f>SUMPRODUCT((I63:I65=J47)*(J62:L62=J48)*(J63:L65))</f>
        <v>0</v>
      </c>
      <c r="K50" s="2395" t="s">
        <v>2358</v>
      </c>
      <c r="L50" s="2396"/>
      <c r="O50" s="2426" t="s">
        <v>2388</v>
      </c>
      <c r="P50" s="2424" t="s">
        <v>2412</v>
      </c>
      <c r="Q50" s="2425">
        <f ca="1">C29</f>
        <v>0</v>
      </c>
      <c r="R50" s="2424" t="s">
        <v>2385</v>
      </c>
    </row>
    <row r="51" spans="1:18" s="2060" customFormat="1" ht="18" customHeight="1" thickBot="1">
      <c r="A51" s="786"/>
      <c r="B51" s="787"/>
      <c r="C51" s="788"/>
      <c r="D51" s="789"/>
      <c r="E51" s="784" t="s">
        <v>641</v>
      </c>
      <c r="F51" s="2372"/>
      <c r="H51" s="2094"/>
      <c r="I51" s="2385" t="s">
        <v>2352</v>
      </c>
      <c r="J51" s="2398">
        <f>IF(J49="",J50,J49+J50-YEAR('数据-取费表'!B2))</f>
        <v>0</v>
      </c>
      <c r="K51" s="2384" t="s">
        <v>2359</v>
      </c>
      <c r="L51" s="2399">
        <f ca="1">ROUND(-PV(INDIRECT("'数据-取费表'!h"&amp;$G$1),L48,(C39-C13*J36),0),0)</f>
        <v>0</v>
      </c>
      <c r="O51" s="2426" t="s">
        <v>2389</v>
      </c>
      <c r="P51" s="2424" t="s">
        <v>2390</v>
      </c>
      <c r="Q51" s="2427" t="e">
        <f ca="1">J58</f>
        <v>#VALUE!</v>
      </c>
      <c r="R51" s="2428"/>
    </row>
    <row r="52" spans="1:18" s="2060" customFormat="1" ht="18" customHeight="1" thickBot="1">
      <c r="A52" s="781" t="s">
        <v>2543</v>
      </c>
      <c r="B52" s="2519" t="s">
        <v>2465</v>
      </c>
      <c r="C52" s="799">
        <f ca="1">ROUND(IF(F52="押一",F48*F50*F49/12*F11,IF(F52="押二",F48*F50*F49/12*2*F11,IF(F52="押三",F48*F50*F49/12*3*F11,C53*F11)))/10000,0)</f>
        <v>0</v>
      </c>
      <c r="D52" s="2526" t="s">
        <v>2472</v>
      </c>
      <c r="E52" s="2523" t="s">
        <v>2470</v>
      </c>
      <c r="F52" s="2646"/>
      <c r="I52" s="2386" t="s">
        <v>2426</v>
      </c>
      <c r="J52" s="2400"/>
      <c r="K52" s="2386" t="s">
        <v>2425</v>
      </c>
      <c r="L52" s="2400"/>
      <c r="O52" s="2426" t="s">
        <v>2391</v>
      </c>
      <c r="P52" s="2424" t="s">
        <v>2392</v>
      </c>
      <c r="Q52" s="2427">
        <f>J52</f>
        <v>0</v>
      </c>
      <c r="R52" s="2428"/>
    </row>
    <row r="53" spans="1:18" s="2060" customFormat="1" ht="39.75" customHeight="1" thickBot="1">
      <c r="A53" s="786"/>
      <c r="B53" s="2520" t="s">
        <v>2580</v>
      </c>
      <c r="C53" s="2524"/>
      <c r="D53" s="2526"/>
      <c r="E53" s="2523"/>
      <c r="F53" s="800"/>
      <c r="I53" s="2387" t="s">
        <v>2353</v>
      </c>
      <c r="J53" s="2401" t="b">
        <f>IF(M47="住宅",J51,IF(D1="——",MIN(J51,L48),IF(D1="土地（套用方法）",MIN(J51,L48-'数据-取费表'!B20))))</f>
        <v>0</v>
      </c>
      <c r="K53" s="3749" t="s">
        <v>2974</v>
      </c>
      <c r="L53" s="3750"/>
      <c r="O53" s="2426" t="s">
        <v>2393</v>
      </c>
      <c r="P53" s="2424" t="s">
        <v>2394</v>
      </c>
      <c r="Q53" s="2425" t="b">
        <f>J53</f>
        <v>0</v>
      </c>
      <c r="R53" s="2424" t="s">
        <v>2395</v>
      </c>
    </row>
    <row r="54" spans="1:18" s="2060" customFormat="1" ht="18" customHeight="1" thickBot="1">
      <c r="A54" s="2562" t="s">
        <v>2474</v>
      </c>
      <c r="B54" s="2563" t="s">
        <v>2466</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2396</v>
      </c>
      <c r="P54" s="2424" t="s">
        <v>2413</v>
      </c>
      <c r="Q54" s="2425" t="e">
        <f ca="1">Q48+Q49</f>
        <v>#DIV/0!</v>
      </c>
      <c r="R54" s="2428" t="s">
        <v>2397</v>
      </c>
    </row>
    <row r="55" spans="1:18" s="2060" customFormat="1" ht="18" customHeight="1" thickTop="1" thickBot="1">
      <c r="A55" s="797">
        <v>2</v>
      </c>
      <c r="B55" s="798" t="s">
        <v>645</v>
      </c>
      <c r="C55" s="799">
        <f ca="1">C13</f>
        <v>0</v>
      </c>
      <c r="D55" s="795"/>
      <c r="E55" s="795"/>
      <c r="F55" s="800"/>
      <c r="I55" s="3128" t="s">
        <v>2360</v>
      </c>
      <c r="J55" s="3127"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0</v>
      </c>
      <c r="D56" s="2665"/>
      <c r="E56" s="784"/>
      <c r="F56" s="809"/>
      <c r="I56" s="2404" t="s">
        <v>2362</v>
      </c>
      <c r="J56" s="3151" t="s">
        <v>1680</v>
      </c>
      <c r="K56" s="2384" t="s">
        <v>2367</v>
      </c>
      <c r="L56" s="2393">
        <f ca="1">IF(L48&lt;J51,"——",L48-J51)</f>
        <v>0</v>
      </c>
      <c r="O56" s="2420" t="s">
        <v>2380</v>
      </c>
      <c r="P56" s="2421" t="s">
        <v>2381</v>
      </c>
      <c r="Q56" s="2422" t="s">
        <v>2382</v>
      </c>
      <c r="R56" s="2421" t="s">
        <v>2383</v>
      </c>
    </row>
    <row r="57" spans="1:18" s="2060" customFormat="1" ht="28.5" customHeight="1" thickBot="1">
      <c r="A57" s="797" t="s">
        <v>1750</v>
      </c>
      <c r="B57" s="798" t="s">
        <v>652</v>
      </c>
      <c r="C57" s="799">
        <f ca="1">ROUND(C58+C63+C64+C65,0)</f>
        <v>0</v>
      </c>
      <c r="D57" s="26" t="s">
        <v>1752</v>
      </c>
      <c r="E57" s="2666"/>
      <c r="F57" s="56"/>
      <c r="I57" s="2405" t="s">
        <v>2363</v>
      </c>
      <c r="J57" s="2407" t="str">
        <f ca="1">IF(OR(M47="住宅",J51&lt;L48,J56="是"),"——",J51-L48)</f>
        <v>——</v>
      </c>
      <c r="K57" s="2384" t="s">
        <v>2368</v>
      </c>
      <c r="L57" s="2393">
        <f ca="1">IF(L48&lt;J51,"——",IF(L55="比较法",L49,IF(L55="基准地价",L50,L51)))</f>
        <v>0</v>
      </c>
      <c r="O57" s="2423" t="s">
        <v>2384</v>
      </c>
      <c r="P57" s="2424" t="s">
        <v>2414</v>
      </c>
      <c r="Q57" s="2425" t="e">
        <f ca="1">C40+J29</f>
        <v>#DIV/0!</v>
      </c>
      <c r="R57" s="2424" t="s">
        <v>2385</v>
      </c>
    </row>
    <row r="58" spans="1:18" s="2060" customFormat="1" ht="28.5" customHeight="1" thickBot="1">
      <c r="A58" s="1649" t="s">
        <v>1826</v>
      </c>
      <c r="B58" s="784" t="s">
        <v>657</v>
      </c>
      <c r="C58" s="53">
        <f ca="1">ROUND(IF(项目基本情况!B11="自然人",C47*F58,C59+C60+C61),1)</f>
        <v>0</v>
      </c>
      <c r="D58" s="2664" t="s">
        <v>658</v>
      </c>
      <c r="E58" s="2665" t="s">
        <v>691</v>
      </c>
      <c r="F58" s="810" t="str">
        <f ca="1">IF(项目基本情况!B11="企业","",IF(INDIRECT("'数据-取费表'!c"&amp;$G$1)="住宅",5%,IF(F48*F49*F50/12/(1+'数据-取费表'!C42)&gt;20000,12%,7%)))</f>
        <v/>
      </c>
      <c r="I58" s="2405" t="s">
        <v>2364</v>
      </c>
      <c r="J58" s="3129" t="e">
        <f ca="1">IF(J55&lt;0.4,0.4,J55)</f>
        <v>#VALUE!</v>
      </c>
      <c r="K58" s="2384" t="s">
        <v>2369</v>
      </c>
      <c r="L58" s="2393" t="e">
        <f ca="1">ROUND(POWER(1+L52,L47-L48)*(POWER(1+L52,L48)-1)/(POWER(1+L52,L47)-1),4)</f>
        <v>#DIV/0!</v>
      </c>
      <c r="O58" s="2423" t="s">
        <v>2386</v>
      </c>
      <c r="P58" s="2424" t="s">
        <v>2417</v>
      </c>
      <c r="Q58" s="2425" t="e">
        <f ca="1">L60</f>
        <v>#DIV/0!</v>
      </c>
      <c r="R58" s="2428" t="s">
        <v>2419</v>
      </c>
    </row>
    <row r="59" spans="1:18" s="2060" customFormat="1" ht="28.5" customHeight="1" thickBot="1">
      <c r="A59" s="1648" t="s">
        <v>1833</v>
      </c>
      <c r="B59" s="784" t="s">
        <v>661</v>
      </c>
      <c r="C59" s="53">
        <f ca="1">ROUND(C47*F59/1.05,1)</f>
        <v>0</v>
      </c>
      <c r="D59" s="2665" t="s">
        <v>1758</v>
      </c>
      <c r="E59" s="784" t="s">
        <v>1749</v>
      </c>
      <c r="F59" s="809">
        <f t="shared" ref="F59:F65" si="0">F32</f>
        <v>5.6000000000000001E-2</v>
      </c>
      <c r="I59" s="2405" t="s">
        <v>2365</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4" t="s">
        <v>1760</v>
      </c>
      <c r="C60" s="53">
        <f ca="1">IF(D60="按租金收入计税",ROUND(C47*F60,1),IF(D60="按房产原值计税",ROUND(C56*F60*0.7,1),INDIRECT("'数据-取费表'!Aj"&amp;$G$1)))</f>
        <v>0</v>
      </c>
      <c r="D60" s="2665" t="str">
        <f>D33</f>
        <v>按房产原值计税</v>
      </c>
      <c r="E60" s="784" t="s">
        <v>1749</v>
      </c>
      <c r="F60" s="809">
        <f t="shared" si="0"/>
        <v>1.2E-2</v>
      </c>
      <c r="I60" s="2406" t="s">
        <v>2366</v>
      </c>
      <c r="J60" s="2408" t="str">
        <f ca="1">IF(OR(M47="住宅",J51&lt;L48,J56="是"),"0",ROUND(J59/(1+J52)^J53,0))</f>
        <v>0</v>
      </c>
      <c r="K60" s="2409" t="s">
        <v>2371</v>
      </c>
      <c r="L60" s="2408" t="e">
        <f ca="1">IF(OR(M47="住宅",L48&lt;J51),0,ROUND(L57*(L58/L59-1),0))</f>
        <v>#DIV/0!</v>
      </c>
      <c r="O60" s="2426" t="s">
        <v>2389</v>
      </c>
      <c r="P60" s="2424" t="s">
        <v>2398</v>
      </c>
      <c r="Q60" s="2427">
        <f>L52</f>
        <v>0</v>
      </c>
      <c r="R60" s="2428"/>
    </row>
    <row r="61" spans="1:18" s="2060" customFormat="1" ht="18" customHeight="1" thickBot="1">
      <c r="A61" s="1651" t="s">
        <v>1835</v>
      </c>
      <c r="B61" s="341" t="s">
        <v>669</v>
      </c>
      <c r="C61" s="54">
        <f ca="1">ROUND(F61*F62/10000,1)</f>
        <v>0</v>
      </c>
      <c r="D61" s="814" t="s">
        <v>670</v>
      </c>
      <c r="E61" s="784" t="s">
        <v>671</v>
      </c>
      <c r="F61" s="640">
        <f t="shared" si="0"/>
        <v>3</v>
      </c>
      <c r="K61" s="2087"/>
      <c r="O61" s="2426" t="s">
        <v>2391</v>
      </c>
      <c r="P61" s="2424" t="s">
        <v>2399</v>
      </c>
      <c r="Q61" s="2425" t="e">
        <f ca="1">L58</f>
        <v>#DIV/0!</v>
      </c>
      <c r="R61" s="2428" t="s">
        <v>2400</v>
      </c>
    </row>
    <row r="62" spans="1:18" s="2060" customFormat="1" ht="15.75" thickBot="1">
      <c r="A62" s="815"/>
      <c r="B62" s="793"/>
      <c r="C62" s="69"/>
      <c r="D62" s="816"/>
      <c r="E62" s="784" t="s">
        <v>675</v>
      </c>
      <c r="F62" s="785">
        <f t="shared" ca="1" si="0"/>
        <v>0</v>
      </c>
      <c r="I62" s="2410" t="s">
        <v>2372</v>
      </c>
      <c r="J62" s="2411" t="s">
        <v>2373</v>
      </c>
      <c r="K62" s="2411" t="s">
        <v>2374</v>
      </c>
      <c r="L62" s="2411" t="s">
        <v>2355</v>
      </c>
      <c r="M62" s="3130" t="s">
        <v>2949</v>
      </c>
      <c r="O62" s="2426" t="s">
        <v>2393</v>
      </c>
      <c r="P62" s="2424" t="str">
        <f>K59</f>
        <v>建设期及建筑物耐用年限下的土地年期修正系数Kn</v>
      </c>
      <c r="Q62" s="2425" t="e">
        <f ca="1">L59</f>
        <v>#DIV/0!</v>
      </c>
      <c r="R62" s="2428" t="s">
        <v>2402</v>
      </c>
    </row>
    <row r="63" spans="1:18" s="2060" customFormat="1" ht="15.75" thickBot="1">
      <c r="A63" s="1649" t="s">
        <v>1891</v>
      </c>
      <c r="B63" s="784" t="s">
        <v>677</v>
      </c>
      <c r="C63" s="53">
        <f ca="1">ROUND(C56*F63,1)</f>
        <v>0</v>
      </c>
      <c r="D63" s="2665" t="s">
        <v>1805</v>
      </c>
      <c r="E63" s="784" t="s">
        <v>1749</v>
      </c>
      <c r="F63" s="817">
        <f t="shared" ca="1" si="0"/>
        <v>0</v>
      </c>
      <c r="I63" s="2410" t="s">
        <v>2375</v>
      </c>
      <c r="J63" s="2411">
        <v>70</v>
      </c>
      <c r="K63" s="2411">
        <v>50</v>
      </c>
      <c r="L63" s="2411">
        <v>80</v>
      </c>
      <c r="M63" s="3131">
        <v>0.02</v>
      </c>
      <c r="O63" s="2423" t="s">
        <v>2396</v>
      </c>
      <c r="P63" s="2424" t="s">
        <v>2413</v>
      </c>
      <c r="Q63" s="2425" t="e">
        <f ca="1">Q57+Q58</f>
        <v>#DIV/0!</v>
      </c>
      <c r="R63" s="2428" t="s">
        <v>2397</v>
      </c>
    </row>
    <row r="64" spans="1:18" s="2060" customFormat="1" ht="16.5" thickBot="1">
      <c r="A64" s="1649" t="s">
        <v>1892</v>
      </c>
      <c r="B64" s="784" t="s">
        <v>680</v>
      </c>
      <c r="C64" s="53">
        <f ca="1">ROUND(C55*F64,1)</f>
        <v>0</v>
      </c>
      <c r="D64" s="2665" t="s">
        <v>681</v>
      </c>
      <c r="E64" s="784" t="s">
        <v>1749</v>
      </c>
      <c r="F64" s="818">
        <f t="shared" ca="1" si="0"/>
        <v>0</v>
      </c>
      <c r="I64" s="2410" t="s">
        <v>2376</v>
      </c>
      <c r="J64" s="2411">
        <v>50</v>
      </c>
      <c r="K64" s="2411">
        <v>35</v>
      </c>
      <c r="L64" s="2411">
        <v>60</v>
      </c>
      <c r="M64" s="3132">
        <v>0</v>
      </c>
      <c r="O64" s="2429" t="s">
        <v>2420</v>
      </c>
      <c r="P64" s="1592"/>
      <c r="Q64" s="1604"/>
      <c r="R64" s="1592"/>
    </row>
    <row r="65" spans="1:18" s="2060" customFormat="1" ht="15.75" thickBot="1">
      <c r="A65" s="1649" t="s">
        <v>1893</v>
      </c>
      <c r="B65" s="784" t="s">
        <v>667</v>
      </c>
      <c r="C65" s="53">
        <f ca="1">ROUND(C47*F65,1)</f>
        <v>0</v>
      </c>
      <c r="D65" s="2665" t="s">
        <v>684</v>
      </c>
      <c r="E65" s="784" t="s">
        <v>1749</v>
      </c>
      <c r="F65" s="794">
        <f t="shared" ca="1" si="0"/>
        <v>0</v>
      </c>
      <c r="I65" s="2410" t="s">
        <v>2377</v>
      </c>
      <c r="J65" s="2411">
        <v>40</v>
      </c>
      <c r="K65" s="2411">
        <v>30</v>
      </c>
      <c r="L65" s="2411">
        <v>50</v>
      </c>
      <c r="M65" s="3131">
        <v>0.02</v>
      </c>
      <c r="O65" s="2420" t="s">
        <v>2380</v>
      </c>
      <c r="P65" s="2421" t="s">
        <v>2381</v>
      </c>
      <c r="Q65" s="2422" t="s">
        <v>2382</v>
      </c>
      <c r="R65" s="2421" t="s">
        <v>2383</v>
      </c>
    </row>
    <row r="66" spans="1:18" s="2060" customFormat="1" ht="24.75" thickBot="1">
      <c r="A66" s="797" t="s">
        <v>1778</v>
      </c>
      <c r="B66" s="3037" t="s">
        <v>2828</v>
      </c>
      <c r="C66" s="799">
        <f ca="1">C47-C57</f>
        <v>0</v>
      </c>
      <c r="D66" s="2664" t="s">
        <v>701</v>
      </c>
      <c r="E66" s="2663"/>
      <c r="F66" s="820"/>
      <c r="K66" s="2087"/>
      <c r="O66" s="2423" t="s">
        <v>2384</v>
      </c>
      <c r="P66" s="2424" t="s">
        <v>2414</v>
      </c>
      <c r="Q66" s="2425" t="e">
        <f ca="1">C40+J29</f>
        <v>#DIV/0!</v>
      </c>
      <c r="R66" s="2424" t="s">
        <v>2385</v>
      </c>
    </row>
    <row r="67" spans="1:18" s="2060" customFormat="1" ht="20.25" thickBot="1">
      <c r="A67" s="781" t="s">
        <v>1782</v>
      </c>
      <c r="B67" s="2233" t="s">
        <v>2305</v>
      </c>
      <c r="C67" s="783" t="e">
        <f ca="1">ROUND(C66*(1-((1+F69)/(1+F67))^F68)/(F67-F69),0)</f>
        <v>#DIV/0!</v>
      </c>
      <c r="D67" s="814" t="s">
        <v>705</v>
      </c>
      <c r="E67" s="784" t="s">
        <v>706</v>
      </c>
      <c r="F67" s="794">
        <f ca="1">F40</f>
        <v>0</v>
      </c>
      <c r="K67" s="2087"/>
      <c r="O67" s="2423" t="s">
        <v>2386</v>
      </c>
      <c r="P67" s="2424" t="s">
        <v>2417</v>
      </c>
      <c r="Q67" s="2425" t="e">
        <f ca="1">L60</f>
        <v>#DIV/0!</v>
      </c>
      <c r="R67" s="2428" t="s">
        <v>2419</v>
      </c>
    </row>
    <row r="68" spans="1:18" ht="21.75" thickBot="1">
      <c r="A68" s="786"/>
      <c r="B68" s="787"/>
      <c r="C68" s="788"/>
      <c r="D68" s="821" t="s">
        <v>1810</v>
      </c>
      <c r="E68" s="784" t="s">
        <v>1786</v>
      </c>
      <c r="F68" s="822">
        <f ca="1">F41</f>
        <v>0</v>
      </c>
      <c r="O68" s="2426" t="s">
        <v>2388</v>
      </c>
      <c r="P68" s="2424" t="s">
        <v>2418</v>
      </c>
      <c r="Q68" s="2430">
        <f ca="1">L51</f>
        <v>0</v>
      </c>
      <c r="R68" s="2431" t="s">
        <v>2421</v>
      </c>
    </row>
    <row r="69" spans="1:18" ht="20.25" thickBot="1">
      <c r="A69" s="790"/>
      <c r="B69" s="791"/>
      <c r="C69" s="792"/>
      <c r="D69" s="816"/>
      <c r="E69" s="784" t="s">
        <v>711</v>
      </c>
      <c r="F69" s="2372"/>
      <c r="O69" s="2426" t="s">
        <v>2389</v>
      </c>
      <c r="P69" s="2432" t="s">
        <v>2403</v>
      </c>
      <c r="Q69" s="2425">
        <f ca="1">ROUND(Q70-Q71*Q72,0)</f>
        <v>0</v>
      </c>
      <c r="R69" s="2428"/>
    </row>
    <row r="70" spans="1:18" ht="15.75" thickBot="1">
      <c r="A70" s="823" t="s">
        <v>1789</v>
      </c>
      <c r="B70" s="824" t="s">
        <v>1812</v>
      </c>
      <c r="C70" s="825" t="e">
        <f ca="1">ROUND(C67*10000/F70,0)</f>
        <v>#DIV/0!</v>
      </c>
      <c r="D70" s="826" t="s">
        <v>1813</v>
      </c>
      <c r="E70" s="827" t="s">
        <v>1814</v>
      </c>
      <c r="F70" s="828">
        <f ca="1">F43</f>
        <v>0</v>
      </c>
      <c r="O70" s="2426" t="s">
        <v>2404</v>
      </c>
      <c r="P70" s="2432" t="s">
        <v>2405</v>
      </c>
      <c r="Q70" s="2425">
        <f ca="1">C39</f>
        <v>0</v>
      </c>
      <c r="R70" s="2424" t="s">
        <v>2385</v>
      </c>
    </row>
    <row r="71" spans="1:18" ht="15.75" thickBot="1">
      <c r="O71" s="2426" t="s">
        <v>2406</v>
      </c>
      <c r="P71" s="2432" t="s">
        <v>2407</v>
      </c>
      <c r="Q71" s="2425">
        <f ca="1">C13</f>
        <v>0</v>
      </c>
      <c r="R71" s="2424" t="s">
        <v>2385</v>
      </c>
    </row>
    <row r="72" spans="1:18" ht="15.75" thickBot="1">
      <c r="O72" s="2426" t="s">
        <v>2408</v>
      </c>
      <c r="P72" s="2432" t="s">
        <v>2409</v>
      </c>
      <c r="Q72" s="2427">
        <f ca="1">J36</f>
        <v>0</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t="e">
        <f ca="1">Q66+Q67</f>
        <v>#DIV/0!</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7" t="s">
        <v>2478</v>
      </c>
      <c r="B1" s="3768"/>
      <c r="C1" s="3769"/>
      <c r="D1" s="3770">
        <f>SUM(I10,I15,I20,I21,I23)</f>
        <v>0</v>
      </c>
      <c r="E1" s="3770"/>
      <c r="F1" s="3770"/>
      <c r="G1" s="3770"/>
      <c r="H1" s="3770"/>
      <c r="I1" s="3771"/>
    </row>
    <row r="2" spans="1:9">
      <c r="A2" s="3757" t="s">
        <v>2479</v>
      </c>
      <c r="B2" s="3758" t="s">
        <v>2480</v>
      </c>
      <c r="C2" s="3758"/>
      <c r="D2" s="2532" t="s">
        <v>2481</v>
      </c>
      <c r="E2" s="2532" t="s">
        <v>2482</v>
      </c>
      <c r="F2" s="2532" t="s">
        <v>2483</v>
      </c>
      <c r="G2" s="2532" t="s">
        <v>2484</v>
      </c>
      <c r="H2" s="2532" t="s">
        <v>2485</v>
      </c>
      <c r="I2" s="2533" t="s">
        <v>2486</v>
      </c>
    </row>
    <row r="3" spans="1:9">
      <c r="A3" s="3757"/>
      <c r="B3" s="3758" t="s">
        <v>2487</v>
      </c>
      <c r="C3" s="3758"/>
      <c r="D3" s="2534"/>
      <c r="E3" s="2532"/>
      <c r="F3" s="2535"/>
      <c r="G3" s="2535"/>
      <c r="H3" s="2536"/>
      <c r="I3" s="2537">
        <f>ROUND(D3*E3*F3*G3*H3/10000,0)</f>
        <v>0</v>
      </c>
    </row>
    <row r="4" spans="1:9">
      <c r="A4" s="3757"/>
      <c r="B4" s="3758" t="s">
        <v>2488</v>
      </c>
      <c r="C4" s="3758"/>
      <c r="D4" s="2534"/>
      <c r="E4" s="2532"/>
      <c r="F4" s="2535"/>
      <c r="G4" s="2535"/>
      <c r="H4" s="2536"/>
      <c r="I4" s="2537">
        <f t="shared" ref="I4:I9" si="0">ROUND(D4*E4*F4*G4*H4/10000,0)</f>
        <v>0</v>
      </c>
    </row>
    <row r="5" spans="1:9">
      <c r="A5" s="3757"/>
      <c r="B5" s="3758" t="s">
        <v>2489</v>
      </c>
      <c r="C5" s="3758"/>
      <c r="D5" s="2534"/>
      <c r="E5" s="2532"/>
      <c r="F5" s="2535"/>
      <c r="G5" s="2535"/>
      <c r="H5" s="2536"/>
      <c r="I5" s="2537">
        <f t="shared" si="0"/>
        <v>0</v>
      </c>
    </row>
    <row r="6" spans="1:9">
      <c r="A6" s="3757"/>
      <c r="B6" s="3758" t="s">
        <v>2490</v>
      </c>
      <c r="C6" s="3758"/>
      <c r="D6" s="2534"/>
      <c r="E6" s="2532"/>
      <c r="F6" s="2535"/>
      <c r="G6" s="2535"/>
      <c r="H6" s="2536"/>
      <c r="I6" s="2537">
        <f t="shared" si="0"/>
        <v>0</v>
      </c>
    </row>
    <row r="7" spans="1:9">
      <c r="A7" s="3757"/>
      <c r="B7" s="3758" t="s">
        <v>2491</v>
      </c>
      <c r="C7" s="3758"/>
      <c r="D7" s="2534"/>
      <c r="E7" s="2532"/>
      <c r="F7" s="2535"/>
      <c r="G7" s="2535"/>
      <c r="H7" s="2536"/>
      <c r="I7" s="2537">
        <f t="shared" si="0"/>
        <v>0</v>
      </c>
    </row>
    <row r="8" spans="1:9">
      <c r="A8" s="3757"/>
      <c r="B8" s="3758" t="s">
        <v>2492</v>
      </c>
      <c r="C8" s="3758"/>
      <c r="D8" s="2534"/>
      <c r="E8" s="2532"/>
      <c r="F8" s="2535"/>
      <c r="G8" s="2535"/>
      <c r="H8" s="2536"/>
      <c r="I8" s="2537">
        <f t="shared" si="0"/>
        <v>0</v>
      </c>
    </row>
    <row r="9" spans="1:9">
      <c r="A9" s="3757"/>
      <c r="B9" s="3758" t="s">
        <v>2493</v>
      </c>
      <c r="C9" s="3758"/>
      <c r="D9" s="2534"/>
      <c r="E9" s="2532"/>
      <c r="F9" s="2535"/>
      <c r="G9" s="2535"/>
      <c r="H9" s="2536"/>
      <c r="I9" s="2537">
        <f t="shared" si="0"/>
        <v>0</v>
      </c>
    </row>
    <row r="10" spans="1:9">
      <c r="A10" s="3757"/>
      <c r="B10" s="3759" t="s">
        <v>2494</v>
      </c>
      <c r="C10" s="3759"/>
      <c r="D10" s="2538">
        <v>527</v>
      </c>
      <c r="E10" s="2538" t="e">
        <f>ROUND(D1*10000/D10/H9,0)</f>
        <v>#DIV/0!</v>
      </c>
      <c r="F10" s="2539"/>
      <c r="G10" s="2539"/>
      <c r="H10" s="2540"/>
      <c r="I10" s="2541">
        <f>SUM(I3:I9)</f>
        <v>0</v>
      </c>
    </row>
    <row r="11" spans="1:9" ht="14.25">
      <c r="A11" s="3757" t="s">
        <v>2495</v>
      </c>
      <c r="B11" s="3758" t="s">
        <v>2496</v>
      </c>
      <c r="C11" s="3758"/>
      <c r="D11" s="2534" t="s">
        <v>2497</v>
      </c>
      <c r="E11" s="2534" t="s">
        <v>2498</v>
      </c>
      <c r="F11" s="2535" t="s">
        <v>2499</v>
      </c>
      <c r="G11" s="2535" t="s">
        <v>2500</v>
      </c>
      <c r="H11" s="2542" t="s">
        <v>2501</v>
      </c>
      <c r="I11" s="2533" t="s">
        <v>2502</v>
      </c>
    </row>
    <row r="12" spans="1:9">
      <c r="A12" s="3757"/>
      <c r="B12" s="3758" t="s">
        <v>2503</v>
      </c>
      <c r="C12" s="3758"/>
      <c r="D12" s="2534"/>
      <c r="E12" s="2534"/>
      <c r="F12" s="2535"/>
      <c r="G12" s="2536"/>
      <c r="H12" s="2543"/>
      <c r="I12" s="2533">
        <f>ROUND(D12*E12*F12*G12/10000,0)</f>
        <v>0</v>
      </c>
    </row>
    <row r="13" spans="1:9">
      <c r="A13" s="3757"/>
      <c r="B13" s="3758" t="s">
        <v>2504</v>
      </c>
      <c r="C13" s="3758"/>
      <c r="D13" s="2534"/>
      <c r="E13" s="2534"/>
      <c r="F13" s="2535"/>
      <c r="G13" s="2536"/>
      <c r="H13" s="2543"/>
      <c r="I13" s="2533">
        <f>ROUND(D13*E13*F13*G13/10000,0)</f>
        <v>0</v>
      </c>
    </row>
    <row r="14" spans="1:9">
      <c r="A14" s="3757"/>
      <c r="B14" s="3758" t="s">
        <v>2505</v>
      </c>
      <c r="C14" s="3758"/>
      <c r="D14" s="2534"/>
      <c r="E14" s="2534"/>
      <c r="F14" s="2535"/>
      <c r="G14" s="2536"/>
      <c r="H14" s="2543"/>
      <c r="I14" s="2533">
        <f>ROUND(D14*E14*F14*G14/10000,0)</f>
        <v>0</v>
      </c>
    </row>
    <row r="15" spans="1:9">
      <c r="A15" s="3757"/>
      <c r="B15" s="3759" t="s">
        <v>2494</v>
      </c>
      <c r="C15" s="3759"/>
      <c r="D15" s="2538"/>
      <c r="E15" s="2538">
        <f>SUM(E12:E14)</f>
        <v>0</v>
      </c>
      <c r="F15" s="2539"/>
      <c r="G15" s="2536"/>
      <c r="H15" s="2543"/>
      <c r="I15" s="2544">
        <f>SUM(I12:I14)</f>
        <v>0</v>
      </c>
    </row>
    <row r="16" spans="1:9" ht="24">
      <c r="A16" s="3757" t="s">
        <v>2506</v>
      </c>
      <c r="B16" s="3758" t="s">
        <v>2507</v>
      </c>
      <c r="C16" s="3758"/>
      <c r="D16" s="2534" t="s">
        <v>2508</v>
      </c>
      <c r="E16" s="2545" t="s">
        <v>2509</v>
      </c>
      <c r="F16" s="2535" t="s">
        <v>2510</v>
      </c>
      <c r="G16" s="2536" t="s">
        <v>2500</v>
      </c>
      <c r="H16" s="2542" t="s">
        <v>2501</v>
      </c>
      <c r="I16" s="2533" t="s">
        <v>2502</v>
      </c>
    </row>
    <row r="17" spans="1:9" ht="14.25">
      <c r="A17" s="3757"/>
      <c r="B17" s="3758" t="s">
        <v>2511</v>
      </c>
      <c r="C17" s="3758"/>
      <c r="D17" s="2534"/>
      <c r="E17" s="2534"/>
      <c r="F17" s="2535"/>
      <c r="G17" s="2536"/>
      <c r="H17" s="2546"/>
      <c r="I17" s="2547">
        <f>ROUND(D17*E17*F17*G17/10000,0)</f>
        <v>0</v>
      </c>
    </row>
    <row r="18" spans="1:9" ht="14.25">
      <c r="A18" s="3757"/>
      <c r="B18" s="3758" t="s">
        <v>2512</v>
      </c>
      <c r="C18" s="3758"/>
      <c r="D18" s="2534"/>
      <c r="E18" s="2534"/>
      <c r="F18" s="2535"/>
      <c r="G18" s="2536"/>
      <c r="H18" s="2546"/>
      <c r="I18" s="2547">
        <f>ROUND(D18*E18*F18*G18/10000,0)</f>
        <v>0</v>
      </c>
    </row>
    <row r="19" spans="1:9" ht="14.25">
      <c r="A19" s="3757"/>
      <c r="B19" s="3758" t="s">
        <v>2513</v>
      </c>
      <c r="C19" s="3758"/>
      <c r="D19" s="2534"/>
      <c r="E19" s="2534"/>
      <c r="F19" s="2535"/>
      <c r="G19" s="2536"/>
      <c r="H19" s="2546"/>
      <c r="I19" s="2547">
        <f>ROUND(D19*E19*F19*G19/10000,0)</f>
        <v>0</v>
      </c>
    </row>
    <row r="20" spans="1:9">
      <c r="A20" s="3757"/>
      <c r="B20" s="3759" t="s">
        <v>2494</v>
      </c>
      <c r="C20" s="3759"/>
      <c r="D20" s="2538">
        <f>SUM(D17:D19)</f>
        <v>0</v>
      </c>
      <c r="E20" s="2538"/>
      <c r="F20" s="2539"/>
      <c r="G20" s="2536"/>
      <c r="H20" s="2543"/>
      <c r="I20" s="2544">
        <f>SUM(I17:I19)</f>
        <v>0</v>
      </c>
    </row>
    <row r="21" spans="1:9">
      <c r="A21" s="3757" t="s">
        <v>2514</v>
      </c>
      <c r="B21" s="3760"/>
      <c r="C21" s="3760"/>
      <c r="D21" s="3760"/>
      <c r="E21" s="3760"/>
      <c r="F21" s="3760"/>
      <c r="G21" s="3760"/>
      <c r="H21" s="2548">
        <v>0.1</v>
      </c>
      <c r="I21" s="2541">
        <f>ROUND(I10*H21,0)</f>
        <v>0</v>
      </c>
    </row>
    <row r="22" spans="1:9" ht="14.25">
      <c r="A22" s="3761" t="s">
        <v>2515</v>
      </c>
      <c r="B22" s="3762"/>
      <c r="C22" s="3763"/>
      <c r="D22" s="2549" t="s">
        <v>2516</v>
      </c>
      <c r="E22" s="2549" t="s">
        <v>2517</v>
      </c>
      <c r="F22" s="2550" t="s">
        <v>2518</v>
      </c>
      <c r="G22" s="2550" t="s">
        <v>2519</v>
      </c>
      <c r="H22" s="2542" t="s">
        <v>2520</v>
      </c>
      <c r="I22" s="2533" t="s">
        <v>2521</v>
      </c>
    </row>
    <row r="23" spans="1:9" ht="14.25" thickBot="1">
      <c r="A23" s="3764"/>
      <c r="B23" s="3765"/>
      <c r="C23" s="3766"/>
      <c r="D23" s="2551"/>
      <c r="E23" s="2551"/>
      <c r="F23" s="2551"/>
      <c r="G23" s="2552"/>
      <c r="H23" s="2553"/>
      <c r="I23" s="2554">
        <f>ROUND(E23*D23*F23*(1-G23)/10000,0)</f>
        <v>0</v>
      </c>
    </row>
    <row r="26" spans="1:9">
      <c r="A26" s="2555" t="s">
        <v>2522</v>
      </c>
      <c r="B26" s="2555"/>
      <c r="C26" s="2555"/>
      <c r="D26" s="2555"/>
      <c r="E26" s="3754">
        <f>C27-C30-C31-C32</f>
        <v>0</v>
      </c>
      <c r="F26" s="3754"/>
      <c r="G26" s="3754"/>
      <c r="H26" s="3070" t="s">
        <v>2849</v>
      </c>
    </row>
    <row r="27" spans="1:9">
      <c r="A27" s="2556">
        <v>1</v>
      </c>
      <c r="B27" s="2557" t="s">
        <v>2523</v>
      </c>
      <c r="C27" s="2557"/>
      <c r="D27" s="2557"/>
      <c r="E27" s="3755"/>
      <c r="F27" s="3755"/>
      <c r="G27" s="3755"/>
    </row>
    <row r="28" spans="1:9">
      <c r="A28" s="2558" t="s">
        <v>2524</v>
      </c>
      <c r="B28" s="2557" t="s">
        <v>2525</v>
      </c>
      <c r="C28" s="2557"/>
      <c r="D28" s="2557"/>
      <c r="E28" s="3755"/>
      <c r="F28" s="3755"/>
      <c r="G28" s="3755"/>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756"/>
      <c r="F32" s="3756"/>
      <c r="G32" s="3756"/>
    </row>
    <row r="33" spans="1:7" hidden="1">
      <c r="A33" s="3751" t="s">
        <v>2533</v>
      </c>
      <c r="B33" s="3752"/>
      <c r="C33" s="3752"/>
      <c r="D33" s="3753"/>
      <c r="E33" s="3754"/>
      <c r="F33" s="3754"/>
      <c r="G33" s="3754"/>
    </row>
    <row r="34" spans="1:7" hidden="1">
      <c r="A34" s="2560">
        <v>1</v>
      </c>
      <c r="B34" s="2557" t="s">
        <v>2534</v>
      </c>
      <c r="C34" s="2557"/>
      <c r="D34" s="2557"/>
      <c r="E34" s="3755"/>
      <c r="F34" s="3755"/>
      <c r="G34" s="3755"/>
    </row>
    <row r="35" spans="1:7" hidden="1">
      <c r="A35" s="2560">
        <v>2</v>
      </c>
      <c r="B35" s="2557" t="s">
        <v>2535</v>
      </c>
      <c r="C35" s="2557"/>
      <c r="D35" s="2557"/>
      <c r="E35" s="3755"/>
      <c r="F35" s="3755"/>
      <c r="G35" s="3755"/>
    </row>
    <row r="36" spans="1:7" hidden="1">
      <c r="A36" s="2560">
        <v>3</v>
      </c>
      <c r="B36" s="2557" t="s">
        <v>2536</v>
      </c>
      <c r="C36" s="2557"/>
      <c r="D36" s="2557"/>
      <c r="E36" s="3755"/>
      <c r="F36" s="3755"/>
      <c r="G36" s="3755"/>
    </row>
    <row r="37" spans="1:7" hidden="1">
      <c r="A37" s="2560">
        <v>4</v>
      </c>
      <c r="B37" s="2557" t="s">
        <v>2537</v>
      </c>
      <c r="C37" s="2557"/>
      <c r="D37" s="2557"/>
      <c r="E37" s="3755"/>
      <c r="F37" s="3755"/>
      <c r="G37" s="3755"/>
    </row>
    <row r="38" spans="1:7" hidden="1">
      <c r="A38" s="3751" t="s">
        <v>2538</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351</v>
      </c>
      <c r="C2" s="2109"/>
      <c r="D2" s="2109"/>
      <c r="E2" s="2109"/>
      <c r="F2" s="2109"/>
      <c r="G2" s="2109"/>
    </row>
    <row r="3" spans="1:25" s="2060" customFormat="1" ht="18" customHeight="1">
      <c r="A3" s="1380" t="s">
        <v>1687</v>
      </c>
      <c r="B3" s="425">
        <f ca="1">ROUND(B2*10000/'数据-汇总表'!E3,0)</f>
        <v>351</v>
      </c>
      <c r="C3" s="2109"/>
      <c r="D3" s="2109"/>
      <c r="E3" s="2109"/>
      <c r="F3" s="2109"/>
      <c r="G3" s="2109"/>
    </row>
    <row r="4" spans="1:25" s="2060" customFormat="1" ht="18" customHeight="1">
      <c r="A4" s="426" t="s">
        <v>468</v>
      </c>
      <c r="B4" s="427">
        <f ca="1">ROUND(B2*10000/'数据-汇总表'!D3,0)</f>
        <v>260</v>
      </c>
      <c r="C4" s="2062"/>
      <c r="D4" s="2109"/>
      <c r="E4" s="2109"/>
      <c r="F4" s="2109"/>
      <c r="G4" s="2109"/>
    </row>
    <row r="5" spans="1:25" s="2060" customFormat="1" ht="18" customHeight="1" thickBot="1">
      <c r="A5" s="429"/>
      <c r="B5" s="430">
        <f ca="1">ROUND(B2/('数据-汇总表'!D3/666.67),0)</f>
        <v>17</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321.18</v>
      </c>
      <c r="D7" s="749"/>
      <c r="E7" s="750"/>
      <c r="F7" s="750"/>
      <c r="G7" s="2504"/>
    </row>
    <row r="8" spans="1:25" s="2184" customFormat="1" ht="13.5" customHeight="1">
      <c r="A8" s="2494" t="s">
        <v>2445</v>
      </c>
      <c r="B8" s="2497" t="s">
        <v>2447</v>
      </c>
      <c r="C8" s="2498">
        <v>214.12</v>
      </c>
      <c r="D8" s="749"/>
      <c r="E8" s="750"/>
      <c r="F8" s="750"/>
      <c r="G8" s="751"/>
    </row>
    <row r="9" spans="1:25" s="2184" customFormat="1" ht="13.5" customHeight="1">
      <c r="A9" s="2494" t="s">
        <v>2446</v>
      </c>
      <c r="B9" s="2497" t="s">
        <v>2448</v>
      </c>
      <c r="C9" s="2498">
        <v>107.06</v>
      </c>
      <c r="D9" s="749"/>
      <c r="E9" s="750"/>
      <c r="F9" s="750"/>
      <c r="G9" s="751"/>
    </row>
    <row r="10" spans="1:25" s="2184" customFormat="1" ht="36">
      <c r="A10" s="2494">
        <v>2</v>
      </c>
      <c r="B10" s="748" t="s">
        <v>614</v>
      </c>
      <c r="C10" s="749">
        <f>C11+C14+C15</f>
        <v>0</v>
      </c>
      <c r="D10" s="760">
        <f>'数据-汇总表'!E3</f>
        <v>10000</v>
      </c>
      <c r="E10" s="749">
        <f>'数据-取费表'!B31</f>
        <v>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0</v>
      </c>
      <c r="D12" s="758">
        <f>'数据-汇总表'!E5</f>
        <v>0</v>
      </c>
      <c r="E12" s="757">
        <f>'数据-取费表'!B27</f>
        <v>0</v>
      </c>
      <c r="F12" s="755"/>
      <c r="G12" s="759"/>
    </row>
    <row r="13" spans="1:25" s="2184" customFormat="1" ht="13.5" customHeight="1">
      <c r="A13" s="2501" t="s">
        <v>2452</v>
      </c>
      <c r="B13" s="756" t="s">
        <v>613</v>
      </c>
      <c r="C13" s="757">
        <f>ROUND(D13*E13/10000,0)</f>
        <v>0</v>
      </c>
      <c r="D13" s="758">
        <f>'数据-汇总表'!E6</f>
        <v>10000</v>
      </c>
      <c r="E13" s="757">
        <f>'数据-取费表'!B28</f>
        <v>0</v>
      </c>
      <c r="F13" s="755"/>
      <c r="G13" s="759"/>
    </row>
    <row r="14" spans="1:25" s="2184" customFormat="1" ht="13.5" customHeight="1">
      <c r="A14" s="2494" t="s">
        <v>2446</v>
      </c>
      <c r="B14" s="2500" t="s">
        <v>2449</v>
      </c>
      <c r="C14" s="2498">
        <v>0</v>
      </c>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16</v>
      </c>
      <c r="D18" s="762"/>
      <c r="E18" s="763"/>
      <c r="F18" s="761">
        <f>'数据-取费表'!Q16</f>
        <v>0.05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337.18</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51</v>
      </c>
      <c r="D20" s="760"/>
      <c r="E20" s="749"/>
      <c r="F20" s="1349">
        <v>0.15</v>
      </c>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388.18</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351</v>
      </c>
      <c r="D22" s="760"/>
      <c r="E22" s="749"/>
      <c r="F22" s="766">
        <f>'数据-取费表'!AP16</f>
        <v>0.90400000000000003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351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78" t="s">
        <v>523</v>
      </c>
      <c r="D4" s="3679"/>
      <c r="E4" s="3702" t="s">
        <v>524</v>
      </c>
      <c r="F4" s="3703"/>
      <c r="G4" s="3678" t="s">
        <v>525</v>
      </c>
      <c r="H4" s="3679"/>
      <c r="I4" s="3678" t="s">
        <v>526</v>
      </c>
      <c r="J4" s="3679"/>
      <c r="K4" s="853"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85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85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64" t="s">
        <v>531</v>
      </c>
      <c r="Q7" s="3673"/>
      <c r="R7" s="1568" t="s">
        <v>13</v>
      </c>
      <c r="S7" s="1569">
        <f t="shared" ref="S7:S15" si="0">F7</f>
        <v>0</v>
      </c>
      <c r="T7" s="1568" t="s">
        <v>13</v>
      </c>
      <c r="U7" s="1569">
        <f t="shared" ref="U7:U15" si="1">H7</f>
        <v>0</v>
      </c>
      <c r="V7" s="1568" t="s">
        <v>13</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64" t="s">
        <v>534</v>
      </c>
      <c r="Q8" s="3665"/>
      <c r="R8" s="1568" t="s">
        <v>13</v>
      </c>
      <c r="S8" s="1569">
        <f t="shared" si="0"/>
        <v>0</v>
      </c>
      <c r="T8" s="1568" t="s">
        <v>13</v>
      </c>
      <c r="U8" s="1569">
        <f t="shared" si="1"/>
        <v>0</v>
      </c>
      <c r="V8" s="1568" t="s">
        <v>13</v>
      </c>
      <c r="W8" s="1569">
        <f t="shared" si="2"/>
        <v>0</v>
      </c>
      <c r="X8" s="1570"/>
      <c r="Y8" s="3664" t="s">
        <v>534</v>
      </c>
      <c r="Z8" s="3665"/>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72"/>
      <c r="Q11" s="1151" t="str">
        <f t="shared" si="6"/>
        <v>容积率</v>
      </c>
      <c r="R11" s="1568" t="s">
        <v>11</v>
      </c>
      <c r="S11" s="1569" t="e">
        <f t="shared" si="0"/>
        <v>#N/A</v>
      </c>
      <c r="T11" s="1568" t="s">
        <v>11</v>
      </c>
      <c r="U11" s="1569" t="e">
        <f t="shared" si="1"/>
        <v>#N/A</v>
      </c>
      <c r="V11" s="1568" t="s">
        <v>11</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72"/>
      <c r="Q12" s="1151">
        <f t="shared" si="6"/>
        <v>111</v>
      </c>
      <c r="R12" s="1568" t="s">
        <v>11</v>
      </c>
      <c r="S12" s="1569">
        <f t="shared" si="0"/>
        <v>100</v>
      </c>
      <c r="T12" s="1568" t="s">
        <v>11</v>
      </c>
      <c r="U12" s="1569">
        <f t="shared" si="1"/>
        <v>100</v>
      </c>
      <c r="V12" s="1568" t="s">
        <v>11</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72"/>
      <c r="Q13" s="1151">
        <f t="shared" si="6"/>
        <v>111</v>
      </c>
      <c r="R13" s="1568" t="s">
        <v>11</v>
      </c>
      <c r="S13" s="1569">
        <f t="shared" si="0"/>
        <v>100</v>
      </c>
      <c r="T13" s="1568" t="s">
        <v>11</v>
      </c>
      <c r="U13" s="1569">
        <f t="shared" si="1"/>
        <v>100</v>
      </c>
      <c r="V13" s="1568" t="s">
        <v>11</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72"/>
      <c r="Q14" s="1151">
        <f t="shared" si="6"/>
        <v>111</v>
      </c>
      <c r="R14" s="1568" t="s">
        <v>11</v>
      </c>
      <c r="S14" s="1569">
        <f t="shared" si="0"/>
        <v>100</v>
      </c>
      <c r="T14" s="1568" t="s">
        <v>11</v>
      </c>
      <c r="U14" s="1569">
        <f t="shared" si="1"/>
        <v>100</v>
      </c>
      <c r="V14" s="1568" t="s">
        <v>11</v>
      </c>
      <c r="W14" s="1569">
        <f t="shared" si="2"/>
        <v>100</v>
      </c>
      <c r="X14" s="1570"/>
      <c r="Y14" s="3629"/>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74" t="s">
        <v>541</v>
      </c>
      <c r="Q15" s="1572" t="str">
        <f t="shared" si="6"/>
        <v>居住社区成熟度</v>
      </c>
      <c r="R15" s="1573" t="s">
        <v>11</v>
      </c>
      <c r="S15" s="1574">
        <f t="shared" si="0"/>
        <v>100</v>
      </c>
      <c r="T15" s="1573" t="s">
        <v>11</v>
      </c>
      <c r="U15" s="1574">
        <f t="shared" si="1"/>
        <v>100</v>
      </c>
      <c r="V15" s="1573" t="s">
        <v>11</v>
      </c>
      <c r="W15" s="1574">
        <f t="shared" si="2"/>
        <v>100</v>
      </c>
      <c r="X15" s="1567"/>
      <c r="Y15" s="3674"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75"/>
      <c r="Q17" s="1572" t="str">
        <f>B17</f>
        <v>交通便捷度</v>
      </c>
      <c r="R17" s="1573" t="s">
        <v>11</v>
      </c>
      <c r="S17" s="1574">
        <f>F17</f>
        <v>100</v>
      </c>
      <c r="T17" s="1573" t="s">
        <v>11</v>
      </c>
      <c r="U17" s="1574">
        <f>H17</f>
        <v>100</v>
      </c>
      <c r="V17" s="1573" t="s">
        <v>11</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75"/>
      <c r="Q19" s="1572" t="str">
        <f>B19</f>
        <v>公共配套设施</v>
      </c>
      <c r="R19" s="1573" t="s">
        <v>11</v>
      </c>
      <c r="S19" s="1574">
        <f>F19</f>
        <v>100</v>
      </c>
      <c r="T19" s="1573" t="s">
        <v>11</v>
      </c>
      <c r="U19" s="1574">
        <f>H19</f>
        <v>100</v>
      </c>
      <c r="V19" s="1573" t="s">
        <v>11</v>
      </c>
      <c r="W19" s="1574">
        <f>J19</f>
        <v>100</v>
      </c>
      <c r="X19" s="1567"/>
      <c r="Y19" s="36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75"/>
      <c r="Q21" s="2604" t="str">
        <f>B21</f>
        <v>基础设施水平</v>
      </c>
      <c r="R21" s="1573" t="s">
        <v>11</v>
      </c>
      <c r="S21" s="1574">
        <f>F21</f>
        <v>100</v>
      </c>
      <c r="T21" s="1573" t="s">
        <v>11</v>
      </c>
      <c r="U21" s="1574">
        <f>H21</f>
        <v>100</v>
      </c>
      <c r="V21" s="1573" t="s">
        <v>11</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675"/>
      <c r="Q22" s="2604"/>
      <c r="R22" s="1573"/>
      <c r="S22" s="1574"/>
      <c r="T22" s="1573"/>
      <c r="U22" s="1574"/>
      <c r="V22" s="1573"/>
      <c r="W22" s="1574"/>
      <c r="X22" s="2606"/>
      <c r="Y22" s="3675"/>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75"/>
      <c r="Q23" s="1572" t="str">
        <f>B23</f>
        <v>自然及人文环境</v>
      </c>
      <c r="R23" s="1573" t="s">
        <v>11</v>
      </c>
      <c r="S23" s="1574">
        <f>F23</f>
        <v>100</v>
      </c>
      <c r="T23" s="1573" t="s">
        <v>11</v>
      </c>
      <c r="U23" s="1574">
        <f>H23</f>
        <v>100</v>
      </c>
      <c r="V23" s="1573" t="s">
        <v>11</v>
      </c>
      <c r="W23" s="1574">
        <f>J23</f>
        <v>100</v>
      </c>
      <c r="X23" s="1567"/>
      <c r="Y23" s="36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75"/>
      <c r="Q25" s="1572" t="str">
        <f t="shared" ref="Q25:Q46" si="11">B25</f>
        <v>楼层-1</v>
      </c>
      <c r="R25" s="1573" t="s">
        <v>11</v>
      </c>
      <c r="S25" s="1574">
        <f>F25</f>
        <v>100</v>
      </c>
      <c r="T25" s="1573" t="s">
        <v>11</v>
      </c>
      <c r="U25" s="1574">
        <f>H25</f>
        <v>100</v>
      </c>
      <c r="V25" s="1573" t="s">
        <v>11</v>
      </c>
      <c r="W25" s="1574">
        <f>J25</f>
        <v>100</v>
      </c>
      <c r="X25" s="1567"/>
      <c r="Y25" s="3675"/>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75"/>
      <c r="Q26" s="1572" t="str">
        <f t="shared" si="11"/>
        <v>朝向</v>
      </c>
      <c r="R26" s="1573" t="s">
        <v>11</v>
      </c>
      <c r="S26" s="1574">
        <f>F26</f>
        <v>100</v>
      </c>
      <c r="T26" s="1573" t="s">
        <v>11</v>
      </c>
      <c r="U26" s="1574">
        <f>H26</f>
        <v>100</v>
      </c>
      <c r="V26" s="1573" t="s">
        <v>11</v>
      </c>
      <c r="W26" s="1574">
        <f>J26</f>
        <v>100</v>
      </c>
      <c r="X26" s="1567"/>
      <c r="Y26" s="3675"/>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75"/>
      <c r="Q27" s="1151" t="str">
        <f t="shared" si="11"/>
        <v>道路级别</v>
      </c>
      <c r="R27" s="1568" t="s">
        <v>11</v>
      </c>
      <c r="S27" s="1569">
        <f>F27</f>
        <v>100</v>
      </c>
      <c r="T27" s="1568" t="s">
        <v>11</v>
      </c>
      <c r="U27" s="1569">
        <f>H27</f>
        <v>100</v>
      </c>
      <c r="V27" s="1568" t="s">
        <v>11</v>
      </c>
      <c r="W27" s="1569">
        <f>J27</f>
        <v>100</v>
      </c>
      <c r="X27" s="1570"/>
      <c r="Y27" s="367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67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75"/>
      <c r="Q29" s="1572">
        <f t="shared" si="11"/>
        <v>111</v>
      </c>
      <c r="R29" s="1573" t="s">
        <v>11</v>
      </c>
      <c r="S29" s="1574">
        <f t="shared" si="12"/>
        <v>100</v>
      </c>
      <c r="T29" s="1573" t="s">
        <v>11</v>
      </c>
      <c r="U29" s="1574">
        <f t="shared" si="13"/>
        <v>100</v>
      </c>
      <c r="V29" s="1573" t="s">
        <v>11</v>
      </c>
      <c r="W29" s="1574">
        <f t="shared" si="14"/>
        <v>100</v>
      </c>
      <c r="X29" s="1567"/>
      <c r="Y29" s="36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75"/>
      <c r="Q30" s="1572">
        <f t="shared" si="11"/>
        <v>111</v>
      </c>
      <c r="R30" s="1573" t="s">
        <v>11</v>
      </c>
      <c r="S30" s="1574">
        <f t="shared" si="12"/>
        <v>100</v>
      </c>
      <c r="T30" s="1573" t="s">
        <v>11</v>
      </c>
      <c r="U30" s="1574">
        <f t="shared" si="13"/>
        <v>100</v>
      </c>
      <c r="V30" s="1573" t="s">
        <v>11</v>
      </c>
      <c r="W30" s="1574">
        <f t="shared" si="14"/>
        <v>100</v>
      </c>
      <c r="X30" s="1567"/>
      <c r="Y30" s="367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75"/>
      <c r="Q31" s="1572">
        <f t="shared" si="11"/>
        <v>111</v>
      </c>
      <c r="R31" s="1573" t="s">
        <v>11</v>
      </c>
      <c r="S31" s="1574">
        <f t="shared" si="12"/>
        <v>100</v>
      </c>
      <c r="T31" s="1573" t="s">
        <v>11</v>
      </c>
      <c r="U31" s="1574">
        <f t="shared" si="13"/>
        <v>100</v>
      </c>
      <c r="V31" s="1573" t="s">
        <v>11</v>
      </c>
      <c r="W31" s="1574">
        <f t="shared" si="14"/>
        <v>100</v>
      </c>
      <c r="X31" s="1567"/>
      <c r="Y31" s="3675"/>
      <c r="Z31" s="1575">
        <f t="shared" si="15"/>
        <v>111</v>
      </c>
      <c r="AA31" s="1576">
        <f t="shared" si="3"/>
        <v>1</v>
      </c>
      <c r="AB31" s="1576">
        <f t="shared" si="4"/>
        <v>1</v>
      </c>
      <c r="AC31" s="1576">
        <f t="shared" si="5"/>
        <v>1</v>
      </c>
    </row>
    <row r="32" spans="1:29" ht="15">
      <c r="A32" s="2933"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76" t="s">
        <v>551</v>
      </c>
      <c r="Q32" s="1572" t="str">
        <f t="shared" si="11"/>
        <v>建筑类型</v>
      </c>
      <c r="R32" s="1573" t="s">
        <v>11</v>
      </c>
      <c r="S32" s="1574">
        <f t="shared" si="12"/>
        <v>100</v>
      </c>
      <c r="T32" s="1573" t="s">
        <v>11</v>
      </c>
      <c r="U32" s="1574">
        <f t="shared" si="13"/>
        <v>100</v>
      </c>
      <c r="V32" s="1573" t="s">
        <v>11</v>
      </c>
      <c r="W32" s="1574">
        <f t="shared" si="14"/>
        <v>100</v>
      </c>
      <c r="X32" s="1567"/>
      <c r="Y32" s="3677"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77"/>
      <c r="Q33" s="1605" t="str">
        <f t="shared" si="11"/>
        <v>项目建筑规模</v>
      </c>
      <c r="R33" s="1577" t="s">
        <v>11</v>
      </c>
      <c r="S33" s="1578" t="e">
        <f t="shared" si="12"/>
        <v>#N/A</v>
      </c>
      <c r="T33" s="1577" t="s">
        <v>11</v>
      </c>
      <c r="U33" s="1578" t="e">
        <f t="shared" si="13"/>
        <v>#N/A</v>
      </c>
      <c r="V33" s="1577" t="s">
        <v>11</v>
      </c>
      <c r="W33" s="1578" t="e">
        <f t="shared" si="14"/>
        <v>#N/A</v>
      </c>
      <c r="X33" s="1579"/>
      <c r="Y33" s="3677"/>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77"/>
      <c r="Q34" s="1572" t="str">
        <f t="shared" si="11"/>
        <v>建筑结构</v>
      </c>
      <c r="R34" s="1573" t="s">
        <v>11</v>
      </c>
      <c r="S34" s="1574">
        <f t="shared" si="12"/>
        <v>100</v>
      </c>
      <c r="T34" s="1573" t="s">
        <v>11</v>
      </c>
      <c r="U34" s="1574">
        <f t="shared" si="13"/>
        <v>100</v>
      </c>
      <c r="V34" s="1573" t="s">
        <v>11</v>
      </c>
      <c r="W34" s="1574">
        <f t="shared" si="14"/>
        <v>100</v>
      </c>
      <c r="X34" s="1567"/>
      <c r="Y34" s="3677"/>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77"/>
      <c r="Q35" s="1572" t="str">
        <f t="shared" si="11"/>
        <v>建筑品质</v>
      </c>
      <c r="R35" s="1573" t="s">
        <v>11</v>
      </c>
      <c r="S35" s="1574">
        <f t="shared" si="12"/>
        <v>100</v>
      </c>
      <c r="T35" s="1573" t="s">
        <v>11</v>
      </c>
      <c r="U35" s="1574">
        <f t="shared" si="13"/>
        <v>100</v>
      </c>
      <c r="V35" s="1573" t="s">
        <v>11</v>
      </c>
      <c r="W35" s="1574">
        <f t="shared" si="14"/>
        <v>100</v>
      </c>
      <c r="X35" s="1567"/>
      <c r="Y35" s="3677"/>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77"/>
      <c r="Q36" s="1572" t="str">
        <f t="shared" si="11"/>
        <v>公共部分装修</v>
      </c>
      <c r="R36" s="1573" t="s">
        <v>11</v>
      </c>
      <c r="S36" s="1574">
        <f t="shared" si="12"/>
        <v>100</v>
      </c>
      <c r="T36" s="1573" t="s">
        <v>11</v>
      </c>
      <c r="U36" s="1574">
        <f t="shared" si="13"/>
        <v>100</v>
      </c>
      <c r="V36" s="1573" t="s">
        <v>11</v>
      </c>
      <c r="W36" s="1574">
        <f t="shared" si="14"/>
        <v>100</v>
      </c>
      <c r="X36" s="1567"/>
      <c r="Y36" s="3677"/>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77"/>
      <c r="Q37" s="1151" t="str">
        <f t="shared" si="11"/>
        <v>成新度</v>
      </c>
      <c r="R37" s="1568" t="s">
        <v>11</v>
      </c>
      <c r="S37" s="1569" t="e">
        <f t="shared" si="12"/>
        <v>#N/A</v>
      </c>
      <c r="T37" s="1568" t="s">
        <v>11</v>
      </c>
      <c r="U37" s="1569" t="e">
        <f t="shared" si="13"/>
        <v>#N/A</v>
      </c>
      <c r="V37" s="1568" t="s">
        <v>11</v>
      </c>
      <c r="W37" s="1569" t="e">
        <f t="shared" si="14"/>
        <v>#N/A</v>
      </c>
      <c r="X37" s="1570"/>
      <c r="Y37" s="3677"/>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77" t="s">
        <v>551</v>
      </c>
      <c r="Q38" s="1572" t="str">
        <f t="shared" si="11"/>
        <v>物业管理</v>
      </c>
      <c r="R38" s="1573" t="s">
        <v>11</v>
      </c>
      <c r="S38" s="1574">
        <f t="shared" si="12"/>
        <v>100</v>
      </c>
      <c r="T38" s="1573" t="s">
        <v>11</v>
      </c>
      <c r="U38" s="1574">
        <f t="shared" si="13"/>
        <v>100</v>
      </c>
      <c r="V38" s="1573" t="s">
        <v>11</v>
      </c>
      <c r="W38" s="1574">
        <f t="shared" si="14"/>
        <v>100</v>
      </c>
      <c r="X38" s="1567"/>
      <c r="Y38" s="3677" t="s">
        <v>551</v>
      </c>
      <c r="Z38" s="1575" t="str">
        <f t="shared" si="15"/>
        <v>物业管理</v>
      </c>
      <c r="AA38" s="1576">
        <f t="shared" si="3"/>
        <v>1</v>
      </c>
      <c r="AB38" s="1576">
        <f t="shared" si="4"/>
        <v>1</v>
      </c>
      <c r="AC38" s="1576">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77"/>
      <c r="Q39" s="1572" t="str">
        <f t="shared" si="11"/>
        <v>市政基础设施</v>
      </c>
      <c r="R39" s="1573" t="s">
        <v>11</v>
      </c>
      <c r="S39" s="1574">
        <f t="shared" si="12"/>
        <v>100</v>
      </c>
      <c r="T39" s="1573" t="s">
        <v>11</v>
      </c>
      <c r="U39" s="1574">
        <f t="shared" si="13"/>
        <v>100</v>
      </c>
      <c r="V39" s="1573" t="s">
        <v>11</v>
      </c>
      <c r="W39" s="1574">
        <f t="shared" si="14"/>
        <v>100</v>
      </c>
      <c r="X39" s="1567"/>
      <c r="Y39" s="3677"/>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77"/>
      <c r="Q40" s="1572" t="str">
        <f t="shared" si="11"/>
        <v>房型</v>
      </c>
      <c r="R40" s="1573" t="s">
        <v>11</v>
      </c>
      <c r="S40" s="1574">
        <f t="shared" si="12"/>
        <v>100</v>
      </c>
      <c r="T40" s="1573" t="s">
        <v>11</v>
      </c>
      <c r="U40" s="1574">
        <f t="shared" si="13"/>
        <v>100</v>
      </c>
      <c r="V40" s="1573" t="s">
        <v>11</v>
      </c>
      <c r="W40" s="1574">
        <f t="shared" si="14"/>
        <v>100</v>
      </c>
      <c r="X40" s="1567"/>
      <c r="Y40" s="3677"/>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77"/>
      <c r="Q41" s="1605" t="str">
        <f t="shared" si="11"/>
        <v>单套/主力户型建筑面积</v>
      </c>
      <c r="R41" s="1577" t="s">
        <v>11</v>
      </c>
      <c r="S41" s="1578">
        <f t="shared" si="12"/>
        <v>100</v>
      </c>
      <c r="T41" s="1577" t="s">
        <v>11</v>
      </c>
      <c r="U41" s="1578">
        <f t="shared" si="13"/>
        <v>100</v>
      </c>
      <c r="V41" s="1577" t="s">
        <v>11</v>
      </c>
      <c r="W41" s="1578">
        <f t="shared" si="14"/>
        <v>100</v>
      </c>
      <c r="X41" s="1579"/>
      <c r="Y41" s="3677"/>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77"/>
      <c r="Q42" s="1572" t="str">
        <f t="shared" si="11"/>
        <v>内部装修</v>
      </c>
      <c r="R42" s="1573" t="s">
        <v>11</v>
      </c>
      <c r="S42" s="1574">
        <f t="shared" si="12"/>
        <v>100</v>
      </c>
      <c r="T42" s="1573" t="s">
        <v>11</v>
      </c>
      <c r="U42" s="1574">
        <f t="shared" si="13"/>
        <v>100</v>
      </c>
      <c r="V42" s="1573" t="s">
        <v>11</v>
      </c>
      <c r="W42" s="1574">
        <f t="shared" si="14"/>
        <v>100</v>
      </c>
      <c r="X42" s="1567"/>
      <c r="Y42" s="3677"/>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77"/>
      <c r="Q43" s="1572" t="str">
        <f t="shared" si="11"/>
        <v>内部装修维护情况</v>
      </c>
      <c r="R43" s="1573" t="s">
        <v>11</v>
      </c>
      <c r="S43" s="1574">
        <f t="shared" si="12"/>
        <v>100</v>
      </c>
      <c r="T43" s="1573" t="s">
        <v>11</v>
      </c>
      <c r="U43" s="1574">
        <f t="shared" si="13"/>
        <v>100</v>
      </c>
      <c r="V43" s="1573" t="s">
        <v>11</v>
      </c>
      <c r="W43" s="1574">
        <f t="shared" si="14"/>
        <v>100</v>
      </c>
      <c r="X43" s="1567"/>
      <c r="Y43" s="36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77"/>
      <c r="Q44" s="1151">
        <f t="shared" si="11"/>
        <v>111</v>
      </c>
      <c r="R44" s="1568" t="s">
        <v>11</v>
      </c>
      <c r="S44" s="1569">
        <f t="shared" si="12"/>
        <v>100</v>
      </c>
      <c r="T44" s="1568" t="s">
        <v>11</v>
      </c>
      <c r="U44" s="1569">
        <f t="shared" si="13"/>
        <v>100</v>
      </c>
      <c r="V44" s="1568" t="s">
        <v>11</v>
      </c>
      <c r="W44" s="1569">
        <f t="shared" si="14"/>
        <v>100</v>
      </c>
      <c r="X44" s="1570"/>
      <c r="Y44" s="36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77"/>
      <c r="Q45" s="1572">
        <f t="shared" si="11"/>
        <v>111</v>
      </c>
      <c r="R45" s="1573" t="s">
        <v>11</v>
      </c>
      <c r="S45" s="1574">
        <f t="shared" si="12"/>
        <v>100</v>
      </c>
      <c r="T45" s="1573" t="s">
        <v>11</v>
      </c>
      <c r="U45" s="1574">
        <f t="shared" si="13"/>
        <v>100</v>
      </c>
      <c r="V45" s="1573" t="s">
        <v>11</v>
      </c>
      <c r="W45" s="1574">
        <f t="shared" si="14"/>
        <v>100</v>
      </c>
      <c r="X45" s="1567"/>
      <c r="Y45" s="367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5"/>
      <c r="Q46" s="1572">
        <f t="shared" si="11"/>
        <v>111</v>
      </c>
      <c r="R46" s="1573" t="s">
        <v>10</v>
      </c>
      <c r="S46" s="1574">
        <f t="shared" si="12"/>
        <v>100</v>
      </c>
      <c r="T46" s="1573" t="s">
        <v>10</v>
      </c>
      <c r="U46" s="1574">
        <f t="shared" si="13"/>
        <v>100</v>
      </c>
      <c r="V46" s="1573" t="s">
        <v>10</v>
      </c>
      <c r="W46" s="1574">
        <f t="shared" si="14"/>
        <v>100</v>
      </c>
      <c r="X46" s="1567"/>
      <c r="Y46" s="3775"/>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672" t="str">
        <f>A47</f>
        <v>成交单价（元/平方米）</v>
      </c>
      <c r="Q47" s="3672"/>
      <c r="R47" s="3774">
        <f>E47</f>
        <v>0</v>
      </c>
      <c r="S47" s="3774"/>
      <c r="T47" s="3774">
        <f>G47</f>
        <v>0</v>
      </c>
      <c r="U47" s="3774"/>
      <c r="V47" s="3774">
        <f>I47</f>
        <v>0</v>
      </c>
      <c r="W47" s="3774"/>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08"/>
      <c r="L49" s="2145"/>
      <c r="M49" s="2146"/>
      <c r="N49" s="2146"/>
      <c r="O49" s="2146"/>
      <c r="P49" s="3693" t="str">
        <f>A49</f>
        <v>估价对象XX用房的比较价格（楼面单价，元/平方米）</v>
      </c>
      <c r="Q49" s="3694"/>
      <c r="R49" s="3773" t="e">
        <f>IF(F1="售价",ROUND(AVERAGE(R48:V48),0),ROUND(AVERAGE(R48:V48),1))</f>
        <v>#DIV/0!</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78" t="s">
        <v>523</v>
      </c>
      <c r="D4" s="3679"/>
      <c r="E4" s="3702" t="s">
        <v>524</v>
      </c>
      <c r="F4" s="3703"/>
      <c r="G4" s="3678" t="s">
        <v>525</v>
      </c>
      <c r="H4" s="3679"/>
      <c r="I4" s="3678" t="s">
        <v>526</v>
      </c>
      <c r="J4" s="3679"/>
      <c r="K4" s="514"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86"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86"/>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86"/>
      <c r="AC6" s="3663"/>
    </row>
    <row r="7" spans="1:29" s="1220" customFormat="1" ht="15.75" thickBot="1">
      <c r="A7" s="2938"/>
      <c r="B7" s="2945" t="s">
        <v>530</v>
      </c>
      <c r="C7" s="519">
        <f>'数据-取费表'!B2</f>
        <v>43115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64"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74" t="s">
        <v>541</v>
      </c>
      <c r="Q15" s="1572" t="str">
        <f t="shared" si="6"/>
        <v>商业繁华度</v>
      </c>
      <c r="R15" s="1573" t="s">
        <v>8</v>
      </c>
      <c r="S15" s="1574">
        <f t="shared" si="0"/>
        <v>100</v>
      </c>
      <c r="T15" s="1573" t="s">
        <v>8</v>
      </c>
      <c r="U15" s="1574">
        <f t="shared" si="1"/>
        <v>100</v>
      </c>
      <c r="V15" s="1573" t="s">
        <v>8</v>
      </c>
      <c r="W15" s="1574">
        <f t="shared" si="2"/>
        <v>100</v>
      </c>
      <c r="X15" s="1567"/>
      <c r="Y15" s="367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675"/>
      <c r="Q22" s="2604"/>
      <c r="R22" s="1573"/>
      <c r="S22" s="1574"/>
      <c r="T22" s="1573"/>
      <c r="U22" s="1574"/>
      <c r="V22" s="1573"/>
      <c r="W22" s="1574"/>
      <c r="X22" s="2606"/>
      <c r="Y22" s="3675"/>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75"/>
      <c r="Q23" s="1572" t="str">
        <f>B23</f>
        <v>自然及人文环境</v>
      </c>
      <c r="R23" s="1573" t="s">
        <v>8</v>
      </c>
      <c r="S23" s="1574">
        <f>F23</f>
        <v>100</v>
      </c>
      <c r="T23" s="1573" t="s">
        <v>8</v>
      </c>
      <c r="U23" s="1574">
        <f>H23</f>
        <v>100</v>
      </c>
      <c r="V23" s="1573" t="s">
        <v>8</v>
      </c>
      <c r="W23" s="1574">
        <f>J23</f>
        <v>100</v>
      </c>
      <c r="X23" s="1567"/>
      <c r="Y23" s="36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75"/>
      <c r="Q25" s="1572" t="str">
        <f t="shared" ref="Q25:Q46" si="11">B25</f>
        <v>临街状况</v>
      </c>
      <c r="R25" s="1573" t="s">
        <v>8</v>
      </c>
      <c r="S25" s="1574">
        <f>F25</f>
        <v>100</v>
      </c>
      <c r="T25" s="1573" t="s">
        <v>8</v>
      </c>
      <c r="U25" s="1574">
        <f>H25</f>
        <v>100</v>
      </c>
      <c r="V25" s="1573" t="s">
        <v>8</v>
      </c>
      <c r="W25" s="1574">
        <f>J25</f>
        <v>100</v>
      </c>
      <c r="X25" s="1567"/>
      <c r="Y25" s="367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75"/>
      <c r="Q26" s="1572" t="str">
        <f t="shared" si="11"/>
        <v>平面位置/可视性</v>
      </c>
      <c r="R26" s="1573" t="s">
        <v>8</v>
      </c>
      <c r="S26" s="1574">
        <f>F26</f>
        <v>100</v>
      </c>
      <c r="T26" s="1573" t="s">
        <v>8</v>
      </c>
      <c r="U26" s="1574">
        <f>H26</f>
        <v>100</v>
      </c>
      <c r="V26" s="1573" t="s">
        <v>8</v>
      </c>
      <c r="W26" s="1574">
        <f>J26</f>
        <v>100</v>
      </c>
      <c r="X26" s="1567"/>
      <c r="Y26" s="3675"/>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75"/>
      <c r="Q27" s="1151" t="str">
        <f t="shared" si="11"/>
        <v>人流量</v>
      </c>
      <c r="R27" s="1568" t="s">
        <v>8</v>
      </c>
      <c r="S27" s="1569">
        <f>F27</f>
        <v>100</v>
      </c>
      <c r="T27" s="1568" t="s">
        <v>8</v>
      </c>
      <c r="U27" s="1569">
        <f>H27</f>
        <v>100</v>
      </c>
      <c r="V27" s="1568" t="s">
        <v>8</v>
      </c>
      <c r="W27" s="1569">
        <f>J27</f>
        <v>100</v>
      </c>
      <c r="X27" s="1570"/>
      <c r="Y27" s="3675"/>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7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75"/>
      <c r="Q29" s="1572">
        <f t="shared" si="11"/>
        <v>111</v>
      </c>
      <c r="R29" s="1573" t="s">
        <v>8</v>
      </c>
      <c r="S29" s="1574">
        <f t="shared" si="12"/>
        <v>100</v>
      </c>
      <c r="T29" s="1573" t="s">
        <v>8</v>
      </c>
      <c r="U29" s="1574">
        <f t="shared" si="13"/>
        <v>100</v>
      </c>
      <c r="V29" s="1573" t="s">
        <v>8</v>
      </c>
      <c r="W29" s="1574">
        <f t="shared" si="14"/>
        <v>100</v>
      </c>
      <c r="X29" s="1567"/>
      <c r="Y29" s="36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75"/>
      <c r="Q30" s="1572">
        <f t="shared" si="11"/>
        <v>111</v>
      </c>
      <c r="R30" s="1573" t="s">
        <v>8</v>
      </c>
      <c r="S30" s="1574">
        <f t="shared" si="12"/>
        <v>100</v>
      </c>
      <c r="T30" s="1573" t="s">
        <v>8</v>
      </c>
      <c r="U30" s="1574">
        <f t="shared" si="13"/>
        <v>100</v>
      </c>
      <c r="V30" s="1573" t="s">
        <v>8</v>
      </c>
      <c r="W30" s="1574">
        <f t="shared" si="14"/>
        <v>100</v>
      </c>
      <c r="X30" s="1567"/>
      <c r="Y30" s="367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75"/>
      <c r="Q31" s="1572">
        <f t="shared" si="11"/>
        <v>111</v>
      </c>
      <c r="R31" s="1573" t="s">
        <v>8</v>
      </c>
      <c r="S31" s="1574">
        <f t="shared" si="12"/>
        <v>100</v>
      </c>
      <c r="T31" s="1573" t="s">
        <v>8</v>
      </c>
      <c r="U31" s="1574">
        <f t="shared" si="13"/>
        <v>100</v>
      </c>
      <c r="V31" s="1573" t="s">
        <v>8</v>
      </c>
      <c r="W31" s="1574">
        <f t="shared" si="14"/>
        <v>100</v>
      </c>
      <c r="X31" s="1567"/>
      <c r="Y31" s="3675"/>
      <c r="Z31" s="1575">
        <f t="shared" si="15"/>
        <v>111</v>
      </c>
      <c r="AA31" s="1576">
        <f t="shared" si="3"/>
        <v>1</v>
      </c>
      <c r="AB31" s="1576">
        <f t="shared" si="4"/>
        <v>1</v>
      </c>
      <c r="AC31" s="1576">
        <f t="shared" si="5"/>
        <v>1</v>
      </c>
    </row>
    <row r="32" spans="1:29" ht="15">
      <c r="A32" s="2933"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76" t="s">
        <v>551</v>
      </c>
      <c r="Q32" s="1572" t="str">
        <f t="shared" si="11"/>
        <v>商业类型</v>
      </c>
      <c r="R32" s="1573" t="s">
        <v>8</v>
      </c>
      <c r="S32" s="1574">
        <f t="shared" si="12"/>
        <v>100</v>
      </c>
      <c r="T32" s="1573" t="s">
        <v>8</v>
      </c>
      <c r="U32" s="1574">
        <f t="shared" si="13"/>
        <v>100</v>
      </c>
      <c r="V32" s="1573" t="s">
        <v>8</v>
      </c>
      <c r="W32" s="1574">
        <f t="shared" si="14"/>
        <v>100</v>
      </c>
      <c r="X32" s="1567"/>
      <c r="Y32" s="3677"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77"/>
      <c r="Q33" s="1605" t="str">
        <f t="shared" si="11"/>
        <v>项目建筑规模</v>
      </c>
      <c r="R33" s="1577" t="s">
        <v>8</v>
      </c>
      <c r="S33" s="1578" t="e">
        <f t="shared" si="12"/>
        <v>#N/A</v>
      </c>
      <c r="T33" s="1577" t="s">
        <v>8</v>
      </c>
      <c r="U33" s="1578" t="e">
        <f t="shared" si="13"/>
        <v>#N/A</v>
      </c>
      <c r="V33" s="1577" t="s">
        <v>8</v>
      </c>
      <c r="W33" s="1578" t="e">
        <f t="shared" si="14"/>
        <v>#N/A</v>
      </c>
      <c r="X33" s="1579"/>
      <c r="Y33" s="3677"/>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77"/>
      <c r="Q34" s="1572" t="str">
        <f t="shared" si="11"/>
        <v>建筑结构</v>
      </c>
      <c r="R34" s="1573" t="s">
        <v>8</v>
      </c>
      <c r="S34" s="1574">
        <f t="shared" si="12"/>
        <v>100</v>
      </c>
      <c r="T34" s="1573" t="s">
        <v>8</v>
      </c>
      <c r="U34" s="1574">
        <f t="shared" si="13"/>
        <v>100</v>
      </c>
      <c r="V34" s="1573" t="s">
        <v>8</v>
      </c>
      <c r="W34" s="1574">
        <f t="shared" si="14"/>
        <v>100</v>
      </c>
      <c r="X34" s="1567"/>
      <c r="Y34" s="367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77"/>
      <c r="Q35" s="1572" t="str">
        <f t="shared" si="11"/>
        <v>公共部分装修</v>
      </c>
      <c r="R35" s="1573" t="s">
        <v>8</v>
      </c>
      <c r="S35" s="1574">
        <f t="shared" si="12"/>
        <v>100</v>
      </c>
      <c r="T35" s="1573" t="s">
        <v>8</v>
      </c>
      <c r="U35" s="1574">
        <f t="shared" si="13"/>
        <v>100</v>
      </c>
      <c r="V35" s="1573" t="s">
        <v>8</v>
      </c>
      <c r="W35" s="1574">
        <f t="shared" si="14"/>
        <v>100</v>
      </c>
      <c r="X35" s="1567"/>
      <c r="Y35" s="3677"/>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77"/>
      <c r="Q36" s="1572" t="str">
        <f t="shared" si="11"/>
        <v>成新度</v>
      </c>
      <c r="R36" s="1573" t="s">
        <v>8</v>
      </c>
      <c r="S36" s="1574" t="e">
        <f t="shared" si="12"/>
        <v>#N/A</v>
      </c>
      <c r="T36" s="1573" t="s">
        <v>8</v>
      </c>
      <c r="U36" s="1574" t="e">
        <f t="shared" si="13"/>
        <v>#N/A</v>
      </c>
      <c r="V36" s="1573" t="s">
        <v>8</v>
      </c>
      <c r="W36" s="1574" t="e">
        <f t="shared" si="14"/>
        <v>#N/A</v>
      </c>
      <c r="X36" s="1567"/>
      <c r="Y36" s="3677"/>
      <c r="Z36" s="1575" t="str">
        <f t="shared" si="15"/>
        <v>成新度</v>
      </c>
      <c r="AA36" s="1576" t="e">
        <f t="shared" si="3"/>
        <v>#N/A</v>
      </c>
      <c r="AB36" s="1576" t="e">
        <f t="shared" si="4"/>
        <v>#N/A</v>
      </c>
      <c r="AC36" s="1576"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77"/>
      <c r="Q37" s="1151" t="str">
        <f t="shared" si="11"/>
        <v>市政基础设施</v>
      </c>
      <c r="R37" s="1568" t="s">
        <v>8</v>
      </c>
      <c r="S37" s="1569">
        <f t="shared" si="12"/>
        <v>100</v>
      </c>
      <c r="T37" s="1568" t="s">
        <v>8</v>
      </c>
      <c r="U37" s="1569">
        <f t="shared" si="13"/>
        <v>100</v>
      </c>
      <c r="V37" s="1568" t="s">
        <v>8</v>
      </c>
      <c r="W37" s="1569">
        <f t="shared" si="14"/>
        <v>100</v>
      </c>
      <c r="X37" s="1570"/>
      <c r="Y37" s="3677"/>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77" t="s">
        <v>767</v>
      </c>
      <c r="Q38" s="1572" t="str">
        <f t="shared" si="11"/>
        <v>业态</v>
      </c>
      <c r="R38" s="1573" t="s">
        <v>8</v>
      </c>
      <c r="S38" s="1574">
        <f t="shared" si="12"/>
        <v>100</v>
      </c>
      <c r="T38" s="1573" t="s">
        <v>8</v>
      </c>
      <c r="U38" s="1574">
        <f t="shared" si="13"/>
        <v>100</v>
      </c>
      <c r="V38" s="1573" t="s">
        <v>8</v>
      </c>
      <c r="W38" s="1574">
        <f t="shared" si="14"/>
        <v>100</v>
      </c>
      <c r="X38" s="1567"/>
      <c r="Y38" s="367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77"/>
      <c r="Q39" s="1572" t="str">
        <f t="shared" si="11"/>
        <v>层高</v>
      </c>
      <c r="R39" s="1573" t="s">
        <v>8</v>
      </c>
      <c r="S39" s="1574">
        <f t="shared" si="12"/>
        <v>100</v>
      </c>
      <c r="T39" s="1573" t="s">
        <v>8</v>
      </c>
      <c r="U39" s="1574">
        <f t="shared" si="13"/>
        <v>100</v>
      </c>
      <c r="V39" s="1573" t="s">
        <v>8</v>
      </c>
      <c r="W39" s="1574">
        <f t="shared" si="14"/>
        <v>100</v>
      </c>
      <c r="X39" s="1567"/>
      <c r="Y39" s="3677"/>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77"/>
      <c r="Q40" s="1572" t="str">
        <f t="shared" si="11"/>
        <v>单套建筑面积</v>
      </c>
      <c r="R40" s="1573" t="s">
        <v>8</v>
      </c>
      <c r="S40" s="1574">
        <f t="shared" si="12"/>
        <v>100</v>
      </c>
      <c r="T40" s="1573" t="s">
        <v>8</v>
      </c>
      <c r="U40" s="1574">
        <f t="shared" si="13"/>
        <v>100</v>
      </c>
      <c r="V40" s="1573" t="s">
        <v>8</v>
      </c>
      <c r="W40" s="1574">
        <f t="shared" si="14"/>
        <v>100</v>
      </c>
      <c r="X40" s="1567"/>
      <c r="Y40" s="3677"/>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77"/>
      <c r="Q41" s="1605" t="str">
        <f t="shared" si="11"/>
        <v>进深比</v>
      </c>
      <c r="R41" s="1577" t="s">
        <v>8</v>
      </c>
      <c r="S41" s="1578">
        <f t="shared" si="12"/>
        <v>100</v>
      </c>
      <c r="T41" s="1577" t="s">
        <v>8</v>
      </c>
      <c r="U41" s="1578">
        <f t="shared" si="13"/>
        <v>100</v>
      </c>
      <c r="V41" s="1577" t="s">
        <v>8</v>
      </c>
      <c r="W41" s="1578">
        <f t="shared" si="14"/>
        <v>100</v>
      </c>
      <c r="X41" s="1579"/>
      <c r="Y41" s="367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77"/>
      <c r="Q42" s="1572" t="str">
        <f t="shared" si="11"/>
        <v>内部装修</v>
      </c>
      <c r="R42" s="1573" t="s">
        <v>8</v>
      </c>
      <c r="S42" s="1574">
        <f t="shared" si="12"/>
        <v>100</v>
      </c>
      <c r="T42" s="1573" t="s">
        <v>8</v>
      </c>
      <c r="U42" s="1574">
        <f t="shared" si="13"/>
        <v>100</v>
      </c>
      <c r="V42" s="1573" t="s">
        <v>8</v>
      </c>
      <c r="W42" s="1574">
        <f t="shared" si="14"/>
        <v>100</v>
      </c>
      <c r="X42" s="1567"/>
      <c r="Y42" s="3677"/>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77"/>
      <c r="Q43" s="1572" t="str">
        <f t="shared" si="11"/>
        <v>内部装修维护情况</v>
      </c>
      <c r="R43" s="1573" t="s">
        <v>8</v>
      </c>
      <c r="S43" s="1574">
        <f t="shared" si="12"/>
        <v>100</v>
      </c>
      <c r="T43" s="1573" t="s">
        <v>8</v>
      </c>
      <c r="U43" s="1574">
        <f t="shared" si="13"/>
        <v>100</v>
      </c>
      <c r="V43" s="1573" t="s">
        <v>8</v>
      </c>
      <c r="W43" s="1574">
        <f t="shared" si="14"/>
        <v>100</v>
      </c>
      <c r="X43" s="1567"/>
      <c r="Y43" s="36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77"/>
      <c r="Q44" s="1151">
        <f t="shared" si="11"/>
        <v>111</v>
      </c>
      <c r="R44" s="1568" t="s">
        <v>8</v>
      </c>
      <c r="S44" s="1569">
        <f t="shared" si="12"/>
        <v>100</v>
      </c>
      <c r="T44" s="1568" t="s">
        <v>8</v>
      </c>
      <c r="U44" s="1569">
        <f t="shared" si="13"/>
        <v>100</v>
      </c>
      <c r="V44" s="1568" t="s">
        <v>8</v>
      </c>
      <c r="W44" s="1569">
        <f t="shared" si="14"/>
        <v>100</v>
      </c>
      <c r="X44" s="1570"/>
      <c r="Y44" s="36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77"/>
      <c r="Q45" s="1572">
        <f t="shared" si="11"/>
        <v>111</v>
      </c>
      <c r="R45" s="1573" t="s">
        <v>8</v>
      </c>
      <c r="S45" s="1574">
        <f t="shared" si="12"/>
        <v>100</v>
      </c>
      <c r="T45" s="1573" t="s">
        <v>8</v>
      </c>
      <c r="U45" s="1574">
        <f t="shared" si="13"/>
        <v>100</v>
      </c>
      <c r="V45" s="1573" t="s">
        <v>8</v>
      </c>
      <c r="W45" s="1574">
        <f t="shared" si="14"/>
        <v>100</v>
      </c>
      <c r="X45" s="1567"/>
      <c r="Y45" s="367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5"/>
      <c r="Q46" s="1572">
        <f t="shared" si="11"/>
        <v>111</v>
      </c>
      <c r="R46" s="1573" t="s">
        <v>8</v>
      </c>
      <c r="S46" s="1574">
        <f t="shared" si="12"/>
        <v>100</v>
      </c>
      <c r="T46" s="1573" t="s">
        <v>8</v>
      </c>
      <c r="U46" s="1574">
        <f t="shared" si="13"/>
        <v>100</v>
      </c>
      <c r="V46" s="1573" t="s">
        <v>8</v>
      </c>
      <c r="W46" s="1574">
        <f t="shared" si="14"/>
        <v>100</v>
      </c>
      <c r="X46" s="1567"/>
      <c r="Y46" s="3775"/>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672" t="str">
        <f>A47</f>
        <v>成交单价（元/平方米）</v>
      </c>
      <c r="Q47" s="3672"/>
      <c r="R47" s="3774">
        <f>E47</f>
        <v>0</v>
      </c>
      <c r="S47" s="3774"/>
      <c r="T47" s="3774">
        <f>G47</f>
        <v>0</v>
      </c>
      <c r="U47" s="3774"/>
      <c r="V47" s="3774">
        <f>I47</f>
        <v>0</v>
      </c>
      <c r="W47" s="3774"/>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13"/>
      <c r="L49" s="2145"/>
      <c r="M49" s="2146"/>
      <c r="N49" s="2135"/>
      <c r="O49" s="2146"/>
      <c r="P49" s="3693" t="str">
        <f>A49</f>
        <v>估价对象XX用房的比较价格（楼面单价，元/平方米）</v>
      </c>
      <c r="Q49" s="3694"/>
      <c r="R49" s="3773" t="e">
        <f>IF(F1="售价",ROUND(AVERAGE(R48:V48),0),ROUND(AVERAGE(R48:V48),1))</f>
        <v>#DIV/0!</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78" t="s">
        <v>523</v>
      </c>
      <c r="D4" s="3679"/>
      <c r="E4" s="3702" t="s">
        <v>524</v>
      </c>
      <c r="F4" s="3703"/>
      <c r="G4" s="3678" t="s">
        <v>525</v>
      </c>
      <c r="H4" s="3679"/>
      <c r="I4" s="3678" t="s">
        <v>526</v>
      </c>
      <c r="J4" s="3679"/>
      <c r="K4" s="514" t="s">
        <v>527</v>
      </c>
      <c r="L4" s="2134"/>
      <c r="M4" s="2135"/>
      <c r="N4" s="2135"/>
      <c r="O4" s="2135"/>
      <c r="P4" s="3776" t="s">
        <v>528</v>
      </c>
      <c r="Q4" s="3681"/>
      <c r="R4" s="3666" t="s">
        <v>524</v>
      </c>
      <c r="S4" s="3667"/>
      <c r="T4" s="3666" t="s">
        <v>525</v>
      </c>
      <c r="U4" s="3667"/>
      <c r="V4" s="3686" t="s">
        <v>526</v>
      </c>
      <c r="W4" s="3686"/>
      <c r="X4" s="1567"/>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777"/>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778"/>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73"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73" t="s">
        <v>534</v>
      </c>
      <c r="Q8" s="3665"/>
      <c r="R8" s="1568" t="s">
        <v>8</v>
      </c>
      <c r="S8" s="1569">
        <f t="shared" si="0"/>
        <v>0</v>
      </c>
      <c r="T8" s="1568" t="s">
        <v>8</v>
      </c>
      <c r="U8" s="1569">
        <f t="shared" si="1"/>
        <v>0</v>
      </c>
      <c r="V8" s="1568" t="s">
        <v>8</v>
      </c>
      <c r="W8" s="1569">
        <f t="shared" si="2"/>
        <v>0</v>
      </c>
      <c r="X8" s="1570"/>
      <c r="Y8" s="3664" t="s">
        <v>534</v>
      </c>
      <c r="Z8" s="3665"/>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74" t="s">
        <v>541</v>
      </c>
      <c r="Q15" s="1572" t="str">
        <f t="shared" si="6"/>
        <v>办公集聚程度</v>
      </c>
      <c r="R15" s="1573" t="s">
        <v>8</v>
      </c>
      <c r="S15" s="1574">
        <f t="shared" si="0"/>
        <v>100</v>
      </c>
      <c r="T15" s="1573" t="s">
        <v>8</v>
      </c>
      <c r="U15" s="1574">
        <f t="shared" si="1"/>
        <v>100</v>
      </c>
      <c r="V15" s="1573" t="s">
        <v>8</v>
      </c>
      <c r="W15" s="1574">
        <f t="shared" si="2"/>
        <v>100</v>
      </c>
      <c r="X15" s="1567"/>
      <c r="Y15" s="367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675"/>
      <c r="Q16" s="1572"/>
      <c r="R16" s="1573"/>
      <c r="S16" s="1574"/>
      <c r="T16" s="1573"/>
      <c r="U16" s="1574"/>
      <c r="V16" s="1573"/>
      <c r="W16" s="1574"/>
      <c r="X16" s="1567"/>
      <c r="Y16" s="367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675"/>
      <c r="Q18" s="1572"/>
      <c r="R18" s="1573"/>
      <c r="S18" s="1574"/>
      <c r="T18" s="1573"/>
      <c r="U18" s="1574"/>
      <c r="V18" s="1573"/>
      <c r="W18" s="1574"/>
      <c r="X18" s="1567"/>
      <c r="Y18" s="3675"/>
      <c r="Z18" s="1575"/>
      <c r="AA18" s="1576">
        <v>1</v>
      </c>
      <c r="AB18" s="1576">
        <v>1</v>
      </c>
      <c r="AC18" s="1576">
        <v>1</v>
      </c>
    </row>
    <row r="19" spans="1:29" ht="42.75">
      <c r="A19" s="532"/>
      <c r="B19" s="2628"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675"/>
      <c r="Q20" s="1572"/>
      <c r="R20" s="1573"/>
      <c r="S20" s="1574"/>
      <c r="T20" s="1573"/>
      <c r="U20" s="1574"/>
      <c r="V20" s="1573"/>
      <c r="W20" s="1574"/>
      <c r="X20" s="1567"/>
      <c r="Y20" s="3675"/>
      <c r="Z20" s="1575"/>
      <c r="AA20" s="1576">
        <v>1</v>
      </c>
      <c r="AB20" s="1576">
        <v>1</v>
      </c>
      <c r="AC20" s="1576">
        <v>1</v>
      </c>
    </row>
    <row r="21" spans="1:29" ht="28.5">
      <c r="A21" s="532"/>
      <c r="B21" s="2616"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75"/>
      <c r="Q22" s="2604"/>
      <c r="R22" s="1573"/>
      <c r="S22" s="1574"/>
      <c r="T22" s="1573"/>
      <c r="U22" s="1574"/>
      <c r="V22" s="1573"/>
      <c r="W22" s="1574"/>
      <c r="X22" s="2606"/>
      <c r="Y22" s="3675"/>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75"/>
      <c r="Q23" s="1572" t="str">
        <f>B23</f>
        <v>环境质量</v>
      </c>
      <c r="R23" s="1573" t="s">
        <v>8</v>
      </c>
      <c r="S23" s="1574">
        <f>F23</f>
        <v>100</v>
      </c>
      <c r="T23" s="1573" t="s">
        <v>8</v>
      </c>
      <c r="U23" s="1574">
        <f>H23</f>
        <v>100</v>
      </c>
      <c r="V23" s="1573" t="s">
        <v>8</v>
      </c>
      <c r="W23" s="1574">
        <f>J23</f>
        <v>100</v>
      </c>
      <c r="X23" s="1567"/>
      <c r="Y23" s="367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675"/>
      <c r="Q24" s="1572"/>
      <c r="R24" s="1573"/>
      <c r="S24" s="1574"/>
      <c r="T24" s="1573"/>
      <c r="U24" s="1574"/>
      <c r="V24" s="1573"/>
      <c r="W24" s="1574"/>
      <c r="X24" s="1567"/>
      <c r="Y24" s="3675"/>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75"/>
      <c r="Q25" s="1572" t="str">
        <f>B25</f>
        <v>毗邻道路的类型与等级</v>
      </c>
      <c r="R25" s="1573" t="s">
        <v>8</v>
      </c>
      <c r="S25" s="1574">
        <f>F25</f>
        <v>100</v>
      </c>
      <c r="T25" s="1573" t="s">
        <v>8</v>
      </c>
      <c r="U25" s="1574">
        <f>H25</f>
        <v>100</v>
      </c>
      <c r="V25" s="1573" t="s">
        <v>8</v>
      </c>
      <c r="W25" s="1574">
        <f>J25</f>
        <v>100</v>
      </c>
      <c r="X25" s="1567"/>
      <c r="Y25" s="367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675"/>
      <c r="Q26" s="1572"/>
      <c r="R26" s="1573"/>
      <c r="S26" s="1574"/>
      <c r="T26" s="1573"/>
      <c r="U26" s="1574"/>
      <c r="V26" s="1573"/>
      <c r="W26" s="1574"/>
      <c r="X26" s="1567"/>
      <c r="Y26" s="367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75"/>
      <c r="Q27" s="1572" t="str">
        <f t="shared" ref="Q27:Q47" si="11">B27</f>
        <v>楼层</v>
      </c>
      <c r="R27" s="1573" t="s">
        <v>8</v>
      </c>
      <c r="S27" s="1574">
        <f>F27</f>
        <v>100</v>
      </c>
      <c r="T27" s="1573" t="s">
        <v>8</v>
      </c>
      <c r="U27" s="1574">
        <f>H27</f>
        <v>100</v>
      </c>
      <c r="V27" s="1573" t="s">
        <v>8</v>
      </c>
      <c r="W27" s="1574">
        <f>J27</f>
        <v>100</v>
      </c>
      <c r="X27" s="1567"/>
      <c r="Y27" s="3675"/>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75"/>
      <c r="Q28" s="1151" t="str">
        <f t="shared" si="11"/>
        <v>朝向</v>
      </c>
      <c r="R28" s="1568" t="s">
        <v>8</v>
      </c>
      <c r="S28" s="1569">
        <f>F28</f>
        <v>100</v>
      </c>
      <c r="T28" s="1568" t="s">
        <v>8</v>
      </c>
      <c r="U28" s="1569">
        <f>H28</f>
        <v>100</v>
      </c>
      <c r="V28" s="1568" t="s">
        <v>8</v>
      </c>
      <c r="W28" s="1569">
        <f>J28</f>
        <v>100</v>
      </c>
      <c r="X28" s="1570"/>
      <c r="Y28" s="367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75"/>
      <c r="Q29" s="1572">
        <f t="shared" si="11"/>
        <v>111</v>
      </c>
      <c r="R29" s="1573" t="s">
        <v>8</v>
      </c>
      <c r="S29" s="1574">
        <f t="shared" ref="S29:S47" si="12">F29</f>
        <v>100</v>
      </c>
      <c r="T29" s="1573" t="s">
        <v>8</v>
      </c>
      <c r="U29" s="1574">
        <f t="shared" ref="U29:U47" si="13">H29</f>
        <v>100</v>
      </c>
      <c r="V29" s="1573" t="s">
        <v>8</v>
      </c>
      <c r="W29" s="1574">
        <f t="shared" ref="W29:W47" si="14">J29</f>
        <v>100</v>
      </c>
      <c r="X29" s="1567"/>
      <c r="Y29" s="367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75"/>
      <c r="Q30" s="1572">
        <f t="shared" si="11"/>
        <v>111</v>
      </c>
      <c r="R30" s="1573" t="s">
        <v>8</v>
      </c>
      <c r="S30" s="1574">
        <f t="shared" si="12"/>
        <v>100</v>
      </c>
      <c r="T30" s="1573" t="s">
        <v>8</v>
      </c>
      <c r="U30" s="1574">
        <f t="shared" si="13"/>
        <v>100</v>
      </c>
      <c r="V30" s="1573" t="s">
        <v>8</v>
      </c>
      <c r="W30" s="1574">
        <f t="shared" si="14"/>
        <v>100</v>
      </c>
      <c r="X30" s="1567"/>
      <c r="Y30" s="367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75"/>
      <c r="Q31" s="1572">
        <f t="shared" si="11"/>
        <v>111</v>
      </c>
      <c r="R31" s="1573" t="s">
        <v>8</v>
      </c>
      <c r="S31" s="1574">
        <f t="shared" si="12"/>
        <v>100</v>
      </c>
      <c r="T31" s="1573" t="s">
        <v>8</v>
      </c>
      <c r="U31" s="1574">
        <f t="shared" si="13"/>
        <v>100</v>
      </c>
      <c r="V31" s="1573" t="s">
        <v>8</v>
      </c>
      <c r="W31" s="1574">
        <f t="shared" si="14"/>
        <v>100</v>
      </c>
      <c r="X31" s="1567"/>
      <c r="Y31" s="367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75"/>
      <c r="Q32" s="1572">
        <f t="shared" si="11"/>
        <v>111</v>
      </c>
      <c r="R32" s="1573" t="s">
        <v>8</v>
      </c>
      <c r="S32" s="1574">
        <f t="shared" si="12"/>
        <v>100</v>
      </c>
      <c r="T32" s="1573" t="s">
        <v>8</v>
      </c>
      <c r="U32" s="1574">
        <f t="shared" si="13"/>
        <v>100</v>
      </c>
      <c r="V32" s="1573" t="s">
        <v>8</v>
      </c>
      <c r="W32" s="1574">
        <f t="shared" si="14"/>
        <v>100</v>
      </c>
      <c r="X32" s="1567"/>
      <c r="Y32" s="3675"/>
      <c r="Z32" s="1575">
        <f t="shared" si="15"/>
        <v>111</v>
      </c>
      <c r="AA32" s="1576">
        <f t="shared" si="3"/>
        <v>1</v>
      </c>
      <c r="AB32" s="1576">
        <f t="shared" si="4"/>
        <v>1</v>
      </c>
      <c r="AC32" s="1576">
        <f t="shared" si="5"/>
        <v>1</v>
      </c>
    </row>
    <row r="33" spans="1:29" ht="15">
      <c r="A33" s="2933"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76" t="s">
        <v>551</v>
      </c>
      <c r="Q33" s="1572" t="str">
        <f t="shared" si="11"/>
        <v>建筑类型</v>
      </c>
      <c r="R33" s="1573" t="s">
        <v>8</v>
      </c>
      <c r="S33" s="1574">
        <f t="shared" si="12"/>
        <v>100</v>
      </c>
      <c r="T33" s="1573" t="s">
        <v>8</v>
      </c>
      <c r="U33" s="1574">
        <f t="shared" si="13"/>
        <v>100</v>
      </c>
      <c r="V33" s="1573" t="s">
        <v>8</v>
      </c>
      <c r="W33" s="1574">
        <f t="shared" si="14"/>
        <v>100</v>
      </c>
      <c r="X33" s="1567"/>
      <c r="Y33" s="3677"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77"/>
      <c r="Q34" s="1605" t="str">
        <f t="shared" si="11"/>
        <v>项目建筑规模</v>
      </c>
      <c r="R34" s="1577" t="s">
        <v>8</v>
      </c>
      <c r="S34" s="1578" t="e">
        <f t="shared" si="12"/>
        <v>#N/A</v>
      </c>
      <c r="T34" s="1577" t="s">
        <v>8</v>
      </c>
      <c r="U34" s="1578" t="e">
        <f t="shared" si="13"/>
        <v>#N/A</v>
      </c>
      <c r="V34" s="1577" t="s">
        <v>8</v>
      </c>
      <c r="W34" s="1578" t="e">
        <f t="shared" si="14"/>
        <v>#N/A</v>
      </c>
      <c r="X34" s="1579"/>
      <c r="Y34" s="367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77"/>
      <c r="Q35" s="1572" t="str">
        <f t="shared" si="11"/>
        <v>建筑结构</v>
      </c>
      <c r="R35" s="1573" t="s">
        <v>8</v>
      </c>
      <c r="S35" s="1574">
        <f t="shared" si="12"/>
        <v>100</v>
      </c>
      <c r="T35" s="1573" t="s">
        <v>8</v>
      </c>
      <c r="U35" s="1574">
        <f t="shared" si="13"/>
        <v>100</v>
      </c>
      <c r="V35" s="1573" t="s">
        <v>8</v>
      </c>
      <c r="W35" s="1574">
        <f t="shared" si="14"/>
        <v>100</v>
      </c>
      <c r="X35" s="1567"/>
      <c r="Y35" s="367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77"/>
      <c r="Q36" s="1572" t="str">
        <f t="shared" si="11"/>
        <v>公共部分装修</v>
      </c>
      <c r="R36" s="1573" t="s">
        <v>8</v>
      </c>
      <c r="S36" s="1574">
        <f t="shared" si="12"/>
        <v>100</v>
      </c>
      <c r="T36" s="1573" t="s">
        <v>8</v>
      </c>
      <c r="U36" s="1574">
        <f t="shared" si="13"/>
        <v>100</v>
      </c>
      <c r="V36" s="1573" t="s">
        <v>8</v>
      </c>
      <c r="W36" s="1574">
        <f t="shared" si="14"/>
        <v>100</v>
      </c>
      <c r="X36" s="1567"/>
      <c r="Y36" s="3677"/>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77"/>
      <c r="Q37" s="1572" t="str">
        <f t="shared" si="11"/>
        <v>成新度</v>
      </c>
      <c r="R37" s="1573" t="s">
        <v>8</v>
      </c>
      <c r="S37" s="1574" t="e">
        <f t="shared" si="12"/>
        <v>#N/A</v>
      </c>
      <c r="T37" s="1573" t="s">
        <v>8</v>
      </c>
      <c r="U37" s="1574" t="e">
        <f t="shared" si="13"/>
        <v>#N/A</v>
      </c>
      <c r="V37" s="1573" t="s">
        <v>8</v>
      </c>
      <c r="W37" s="1574" t="e">
        <f t="shared" si="14"/>
        <v>#N/A</v>
      </c>
      <c r="X37" s="1567"/>
      <c r="Y37" s="3677"/>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77"/>
      <c r="Q38" s="1151" t="str">
        <f t="shared" si="11"/>
        <v>写字楼等级</v>
      </c>
      <c r="R38" s="1568" t="s">
        <v>8</v>
      </c>
      <c r="S38" s="1569">
        <f t="shared" si="12"/>
        <v>100</v>
      </c>
      <c r="T38" s="1568" t="s">
        <v>8</v>
      </c>
      <c r="U38" s="1569">
        <f t="shared" si="13"/>
        <v>100</v>
      </c>
      <c r="V38" s="1568" t="s">
        <v>8</v>
      </c>
      <c r="W38" s="1569">
        <f t="shared" si="14"/>
        <v>100</v>
      </c>
      <c r="X38" s="1570"/>
      <c r="Y38" s="3677"/>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77" t="s">
        <v>551</v>
      </c>
      <c r="Q39" s="1572" t="str">
        <f t="shared" si="11"/>
        <v>物业管理</v>
      </c>
      <c r="R39" s="1573" t="s">
        <v>8</v>
      </c>
      <c r="S39" s="1574">
        <f t="shared" si="12"/>
        <v>100</v>
      </c>
      <c r="T39" s="1573" t="s">
        <v>8</v>
      </c>
      <c r="U39" s="1574">
        <f t="shared" si="13"/>
        <v>100</v>
      </c>
      <c r="V39" s="1573" t="s">
        <v>8</v>
      </c>
      <c r="W39" s="1574">
        <f t="shared" si="14"/>
        <v>100</v>
      </c>
      <c r="X39" s="1567"/>
      <c r="Y39" s="3677" t="s">
        <v>551</v>
      </c>
      <c r="Z39" s="1575" t="str">
        <f t="shared" si="15"/>
        <v>物业管理</v>
      </c>
      <c r="AA39" s="1576">
        <f t="shared" si="3"/>
        <v>1</v>
      </c>
      <c r="AB39" s="1576">
        <f t="shared" si="4"/>
        <v>1</v>
      </c>
      <c r="AC39" s="1576">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77"/>
      <c r="Q40" s="1572" t="str">
        <f t="shared" si="11"/>
        <v>市政基础设施</v>
      </c>
      <c r="R40" s="1573" t="s">
        <v>8</v>
      </c>
      <c r="S40" s="1574">
        <f t="shared" si="12"/>
        <v>100</v>
      </c>
      <c r="T40" s="1573" t="s">
        <v>8</v>
      </c>
      <c r="U40" s="1574">
        <f t="shared" si="13"/>
        <v>100</v>
      </c>
      <c r="V40" s="1573" t="s">
        <v>8</v>
      </c>
      <c r="W40" s="1574">
        <f t="shared" si="14"/>
        <v>100</v>
      </c>
      <c r="X40" s="1567"/>
      <c r="Y40" s="367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77"/>
      <c r="Q41" s="1572" t="str">
        <f t="shared" si="11"/>
        <v>层高</v>
      </c>
      <c r="R41" s="1573" t="s">
        <v>8</v>
      </c>
      <c r="S41" s="1574">
        <f t="shared" si="12"/>
        <v>100</v>
      </c>
      <c r="T41" s="1573" t="s">
        <v>8</v>
      </c>
      <c r="U41" s="1574">
        <f t="shared" si="13"/>
        <v>100</v>
      </c>
      <c r="V41" s="1573" t="s">
        <v>8</v>
      </c>
      <c r="W41" s="1574">
        <f t="shared" si="14"/>
        <v>100</v>
      </c>
      <c r="X41" s="1567"/>
      <c r="Y41" s="3677"/>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77"/>
      <c r="Q42" s="1605" t="str">
        <f t="shared" si="11"/>
        <v>单套建筑面积</v>
      </c>
      <c r="R42" s="1577" t="s">
        <v>8</v>
      </c>
      <c r="S42" s="1578">
        <f t="shared" si="12"/>
        <v>100</v>
      </c>
      <c r="T42" s="1577" t="s">
        <v>8</v>
      </c>
      <c r="U42" s="1578">
        <f t="shared" si="13"/>
        <v>100</v>
      </c>
      <c r="V42" s="1577" t="s">
        <v>8</v>
      </c>
      <c r="W42" s="1578">
        <f t="shared" si="14"/>
        <v>100</v>
      </c>
      <c r="X42" s="1579"/>
      <c r="Y42" s="367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77"/>
      <c r="Q43" s="1572" t="str">
        <f t="shared" si="11"/>
        <v>内部装修</v>
      </c>
      <c r="R43" s="1573" t="s">
        <v>8</v>
      </c>
      <c r="S43" s="1574">
        <f t="shared" si="12"/>
        <v>100</v>
      </c>
      <c r="T43" s="1573" t="s">
        <v>8</v>
      </c>
      <c r="U43" s="1574">
        <f t="shared" si="13"/>
        <v>100</v>
      </c>
      <c r="V43" s="1573" t="s">
        <v>8</v>
      </c>
      <c r="W43" s="1574">
        <f t="shared" si="14"/>
        <v>100</v>
      </c>
      <c r="X43" s="1567"/>
      <c r="Y43" s="3677"/>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77"/>
      <c r="Q44" s="1572" t="str">
        <f t="shared" si="11"/>
        <v>内部装修维护情况</v>
      </c>
      <c r="R44" s="1573" t="s">
        <v>8</v>
      </c>
      <c r="S44" s="1574">
        <f t="shared" si="12"/>
        <v>100</v>
      </c>
      <c r="T44" s="1573" t="s">
        <v>8</v>
      </c>
      <c r="U44" s="1574">
        <f t="shared" si="13"/>
        <v>100</v>
      </c>
      <c r="V44" s="1573" t="s">
        <v>8</v>
      </c>
      <c r="W44" s="1574">
        <f t="shared" si="14"/>
        <v>100</v>
      </c>
      <c r="X44" s="1567"/>
      <c r="Y44" s="367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77"/>
      <c r="Q45" s="1151">
        <f t="shared" si="11"/>
        <v>111</v>
      </c>
      <c r="R45" s="1568" t="s">
        <v>8</v>
      </c>
      <c r="S45" s="1569">
        <f t="shared" si="12"/>
        <v>100</v>
      </c>
      <c r="T45" s="1568" t="s">
        <v>8</v>
      </c>
      <c r="U45" s="1569">
        <f t="shared" si="13"/>
        <v>100</v>
      </c>
      <c r="V45" s="1568" t="s">
        <v>8</v>
      </c>
      <c r="W45" s="1569">
        <f t="shared" si="14"/>
        <v>100</v>
      </c>
      <c r="X45" s="1570"/>
      <c r="Y45" s="367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77"/>
      <c r="Q46" s="1572">
        <f t="shared" si="11"/>
        <v>111</v>
      </c>
      <c r="R46" s="1573" t="s">
        <v>8</v>
      </c>
      <c r="S46" s="1574">
        <f t="shared" si="12"/>
        <v>100</v>
      </c>
      <c r="T46" s="1573" t="s">
        <v>8</v>
      </c>
      <c r="U46" s="1574">
        <f t="shared" si="13"/>
        <v>100</v>
      </c>
      <c r="V46" s="1573" t="s">
        <v>8</v>
      </c>
      <c r="W46" s="1574">
        <f t="shared" si="14"/>
        <v>100</v>
      </c>
      <c r="X46" s="1567"/>
      <c r="Y46" s="367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5"/>
      <c r="Q47" s="1572">
        <f t="shared" si="11"/>
        <v>111</v>
      </c>
      <c r="R47" s="1573" t="s">
        <v>8</v>
      </c>
      <c r="S47" s="1574">
        <f t="shared" si="12"/>
        <v>100</v>
      </c>
      <c r="T47" s="1573" t="s">
        <v>8</v>
      </c>
      <c r="U47" s="1574">
        <f t="shared" si="13"/>
        <v>100</v>
      </c>
      <c r="V47" s="1573" t="s">
        <v>8</v>
      </c>
      <c r="W47" s="1574">
        <f t="shared" si="14"/>
        <v>100</v>
      </c>
      <c r="X47" s="1567"/>
      <c r="Y47" s="3775"/>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694" t="str">
        <f>A48</f>
        <v>成交单价（元/平方米）</v>
      </c>
      <c r="Q48" s="3672"/>
      <c r="R48" s="3774">
        <f>E48</f>
        <v>0</v>
      </c>
      <c r="S48" s="3774"/>
      <c r="T48" s="3774">
        <f>G48</f>
        <v>0</v>
      </c>
      <c r="U48" s="3774"/>
      <c r="V48" s="3774">
        <f>I48</f>
        <v>0</v>
      </c>
      <c r="W48" s="3774"/>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694" t="str">
        <f>A49</f>
        <v>比较价格（元/平方米）</v>
      </c>
      <c r="Q49" s="3672"/>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9"/>
      <c r="Y49" s="1559"/>
      <c r="Z49" s="1559"/>
      <c r="AA49" s="1559"/>
      <c r="AB49" s="1559"/>
      <c r="AC49" s="1559"/>
    </row>
    <row r="50" spans="1:29" ht="15.75" thickBot="1">
      <c r="A50" s="621" t="s">
        <v>2942</v>
      </c>
      <c r="B50" s="622"/>
      <c r="C50" s="2661" t="e">
        <f>R50</f>
        <v>#DIV/0!</v>
      </c>
      <c r="D50" s="2661"/>
      <c r="E50" s="2661"/>
      <c r="F50" s="2661"/>
      <c r="G50" s="2661"/>
      <c r="H50" s="2661"/>
      <c r="I50" s="2661"/>
      <c r="J50" s="2661"/>
      <c r="K50" s="1613"/>
      <c r="L50" s="2145"/>
      <c r="M50" s="2135"/>
      <c r="N50" s="2135"/>
      <c r="O50" s="2135"/>
      <c r="P50" s="3779" t="str">
        <f>A50</f>
        <v>估价对象XX用房的比较价格（楼面单价，元/平方米）</v>
      </c>
      <c r="Q50" s="3694"/>
      <c r="R50" s="3773" t="e">
        <f>IF(F1="售价",ROUND(AVERAGE(R49:V49),0),ROUND(AVERAGE(R49:V49),1))</f>
        <v>#DIV/0!</v>
      </c>
      <c r="S50" s="3773"/>
      <c r="T50" s="3773"/>
      <c r="U50" s="3773"/>
      <c r="V50" s="3773"/>
      <c r="W50" s="377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2565</v>
      </c>
      <c r="C83" s="2623" t="s">
        <v>2566</v>
      </c>
      <c r="D83" s="2623" t="s">
        <v>2567</v>
      </c>
      <c r="E83" s="2623" t="s">
        <v>2568</v>
      </c>
      <c r="F83" s="2623" t="s">
        <v>2569</v>
      </c>
      <c r="G83" s="2623" t="s">
        <v>2570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78" t="s">
        <v>523</v>
      </c>
      <c r="D4" s="3679"/>
      <c r="E4" s="3702" t="s">
        <v>524</v>
      </c>
      <c r="F4" s="3703"/>
      <c r="G4" s="3678" t="s">
        <v>525</v>
      </c>
      <c r="H4" s="3679"/>
      <c r="I4" s="3678" t="s">
        <v>526</v>
      </c>
      <c r="J4" s="3679"/>
      <c r="K4" s="514"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62"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64"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74" t="s">
        <v>541</v>
      </c>
      <c r="Q15" s="1572" t="str">
        <f t="shared" si="6"/>
        <v>产业集聚程度</v>
      </c>
      <c r="R15" s="1573" t="s">
        <v>8</v>
      </c>
      <c r="S15" s="1574">
        <f t="shared" si="0"/>
        <v>100</v>
      </c>
      <c r="T15" s="1573" t="s">
        <v>8</v>
      </c>
      <c r="U15" s="1574">
        <f t="shared" si="1"/>
        <v>100</v>
      </c>
      <c r="V15" s="1573" t="s">
        <v>8</v>
      </c>
      <c r="W15" s="1574">
        <f t="shared" si="2"/>
        <v>100</v>
      </c>
      <c r="X15" s="1567"/>
      <c r="Y15" s="367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8"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6"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75"/>
      <c r="Q22" s="2604"/>
      <c r="R22" s="1573"/>
      <c r="S22" s="1574"/>
      <c r="T22" s="1573"/>
      <c r="U22" s="1574"/>
      <c r="V22" s="1573"/>
      <c r="W22" s="1574"/>
      <c r="X22" s="2606"/>
      <c r="Y22" s="3675"/>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75"/>
      <c r="Q23" s="1572" t="str">
        <f>B23</f>
        <v>环境质量</v>
      </c>
      <c r="R23" s="1573" t="s">
        <v>8</v>
      </c>
      <c r="S23" s="1574">
        <f>F23</f>
        <v>100</v>
      </c>
      <c r="T23" s="1573" t="s">
        <v>8</v>
      </c>
      <c r="U23" s="1574">
        <f>H23</f>
        <v>100</v>
      </c>
      <c r="V23" s="1573" t="s">
        <v>8</v>
      </c>
      <c r="W23" s="1574">
        <f>J23</f>
        <v>100</v>
      </c>
      <c r="X23" s="1567"/>
      <c r="Y23" s="367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75"/>
      <c r="Q25" s="1572">
        <f>B25</f>
        <v>111</v>
      </c>
      <c r="R25" s="1573" t="s">
        <v>8</v>
      </c>
      <c r="S25" s="1574">
        <f>F25</f>
        <v>100</v>
      </c>
      <c r="T25" s="1573" t="s">
        <v>8</v>
      </c>
      <c r="U25" s="1574">
        <f>H25</f>
        <v>100</v>
      </c>
      <c r="V25" s="1573" t="s">
        <v>8</v>
      </c>
      <c r="W25" s="1574">
        <f>J25</f>
        <v>100</v>
      </c>
      <c r="X25" s="1567"/>
      <c r="Y25" s="367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75"/>
      <c r="Q26" s="1572">
        <f t="shared" ref="Q26:Q40" si="11">B26</f>
        <v>111</v>
      </c>
      <c r="R26" s="1573" t="s">
        <v>8</v>
      </c>
      <c r="S26" s="1574">
        <f>F26</f>
        <v>100</v>
      </c>
      <c r="T26" s="1573" t="s">
        <v>8</v>
      </c>
      <c r="U26" s="1574">
        <f>H26</f>
        <v>100</v>
      </c>
      <c r="V26" s="1573" t="s">
        <v>8</v>
      </c>
      <c r="W26" s="1574">
        <f>J26</f>
        <v>100</v>
      </c>
      <c r="X26" s="1567"/>
      <c r="Y26" s="367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75"/>
      <c r="Q27" s="1151">
        <f t="shared" si="11"/>
        <v>111</v>
      </c>
      <c r="R27" s="1568" t="s">
        <v>8</v>
      </c>
      <c r="S27" s="1569">
        <f>F27</f>
        <v>100</v>
      </c>
      <c r="T27" s="1568" t="s">
        <v>8</v>
      </c>
      <c r="U27" s="1569">
        <f>H27</f>
        <v>100</v>
      </c>
      <c r="V27" s="1568" t="s">
        <v>8</v>
      </c>
      <c r="W27" s="1569">
        <f>J27</f>
        <v>100</v>
      </c>
      <c r="X27" s="1570"/>
      <c r="Y27" s="367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75"/>
      <c r="Q28" s="1572">
        <f t="shared" si="11"/>
        <v>111</v>
      </c>
      <c r="R28" s="1573" t="s">
        <v>8</v>
      </c>
      <c r="S28" s="1574">
        <f t="shared" ref="S28:S40" si="12">F28</f>
        <v>100</v>
      </c>
      <c r="T28" s="1573" t="s">
        <v>8</v>
      </c>
      <c r="U28" s="1574">
        <f t="shared" ref="U28:U40" si="13">H28</f>
        <v>100</v>
      </c>
      <c r="V28" s="1573" t="s">
        <v>8</v>
      </c>
      <c r="W28" s="1574">
        <f t="shared" ref="W28:W40" si="14">J28</f>
        <v>100</v>
      </c>
      <c r="X28" s="1567"/>
      <c r="Y28" s="3675"/>
      <c r="Z28" s="1575">
        <f t="shared" ref="Z28:Z40" si="15">Q28</f>
        <v>111</v>
      </c>
      <c r="AA28" s="1576">
        <f t="shared" si="3"/>
        <v>1</v>
      </c>
      <c r="AB28" s="1576">
        <f t="shared" si="4"/>
        <v>1</v>
      </c>
      <c r="AC28" s="1576">
        <f t="shared" si="5"/>
        <v>1</v>
      </c>
    </row>
    <row r="29" spans="1:29" ht="15">
      <c r="A29" s="2933"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76" t="s">
        <v>551</v>
      </c>
      <c r="Q29" s="1572" t="str">
        <f t="shared" si="11"/>
        <v>建筑类型</v>
      </c>
      <c r="R29" s="1573" t="s">
        <v>8</v>
      </c>
      <c r="S29" s="1574">
        <f t="shared" si="12"/>
        <v>100</v>
      </c>
      <c r="T29" s="1573" t="s">
        <v>8</v>
      </c>
      <c r="U29" s="1574">
        <f t="shared" si="13"/>
        <v>100</v>
      </c>
      <c r="V29" s="1573" t="s">
        <v>8</v>
      </c>
      <c r="W29" s="1574">
        <f t="shared" si="14"/>
        <v>100</v>
      </c>
      <c r="X29" s="1567"/>
      <c r="Y29" s="3677"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77"/>
      <c r="Q30" s="1605" t="str">
        <f t="shared" si="11"/>
        <v>项目建筑规模</v>
      </c>
      <c r="R30" s="1577" t="s">
        <v>8</v>
      </c>
      <c r="S30" s="1578" t="e">
        <f t="shared" si="12"/>
        <v>#N/A</v>
      </c>
      <c r="T30" s="1577" t="s">
        <v>8</v>
      </c>
      <c r="U30" s="1578" t="e">
        <f t="shared" si="13"/>
        <v>#N/A</v>
      </c>
      <c r="V30" s="1577" t="s">
        <v>8</v>
      </c>
      <c r="W30" s="1578" t="e">
        <f t="shared" si="14"/>
        <v>#N/A</v>
      </c>
      <c r="X30" s="1579"/>
      <c r="Y30" s="367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77"/>
      <c r="Q31" s="1572" t="str">
        <f t="shared" si="11"/>
        <v>建筑结构</v>
      </c>
      <c r="R31" s="1573" t="s">
        <v>8</v>
      </c>
      <c r="S31" s="1574">
        <f t="shared" si="12"/>
        <v>100</v>
      </c>
      <c r="T31" s="1573" t="s">
        <v>8</v>
      </c>
      <c r="U31" s="1574">
        <f t="shared" si="13"/>
        <v>100</v>
      </c>
      <c r="V31" s="1573" t="s">
        <v>8</v>
      </c>
      <c r="W31" s="1574">
        <f t="shared" si="14"/>
        <v>100</v>
      </c>
      <c r="X31" s="1567"/>
      <c r="Y31" s="367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77"/>
      <c r="Q32" s="1572" t="str">
        <f t="shared" si="11"/>
        <v>公共部分装修</v>
      </c>
      <c r="R32" s="1573" t="s">
        <v>8</v>
      </c>
      <c r="S32" s="1574">
        <f t="shared" si="12"/>
        <v>100</v>
      </c>
      <c r="T32" s="1573" t="s">
        <v>8</v>
      </c>
      <c r="U32" s="1574">
        <f t="shared" si="13"/>
        <v>100</v>
      </c>
      <c r="V32" s="1573" t="s">
        <v>8</v>
      </c>
      <c r="W32" s="1574">
        <f t="shared" si="14"/>
        <v>100</v>
      </c>
      <c r="X32" s="1567"/>
      <c r="Y32" s="3677"/>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77"/>
      <c r="Q33" s="1572" t="str">
        <f t="shared" si="11"/>
        <v>成新度</v>
      </c>
      <c r="R33" s="1573" t="s">
        <v>8</v>
      </c>
      <c r="S33" s="1574" t="e">
        <f t="shared" si="12"/>
        <v>#N/A</v>
      </c>
      <c r="T33" s="1573" t="s">
        <v>8</v>
      </c>
      <c r="U33" s="1574" t="e">
        <f t="shared" si="13"/>
        <v>#N/A</v>
      </c>
      <c r="V33" s="1573" t="s">
        <v>8</v>
      </c>
      <c r="W33" s="1574" t="e">
        <f t="shared" si="14"/>
        <v>#N/A</v>
      </c>
      <c r="X33" s="1567"/>
      <c r="Y33" s="3677"/>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77"/>
      <c r="Q34" s="1151" t="str">
        <f t="shared" si="11"/>
        <v>物业管理</v>
      </c>
      <c r="R34" s="1568" t="s">
        <v>8</v>
      </c>
      <c r="S34" s="1569">
        <f t="shared" si="12"/>
        <v>100</v>
      </c>
      <c r="T34" s="1568" t="s">
        <v>8</v>
      </c>
      <c r="U34" s="1569">
        <f t="shared" si="13"/>
        <v>100</v>
      </c>
      <c r="V34" s="1568" t="s">
        <v>8</v>
      </c>
      <c r="W34" s="1569">
        <f t="shared" si="14"/>
        <v>100</v>
      </c>
      <c r="X34" s="1570"/>
      <c r="Y34" s="3677"/>
      <c r="Z34" s="1150" t="str">
        <f t="shared" si="15"/>
        <v>物业管理</v>
      </c>
      <c r="AA34" s="1571">
        <f t="shared" si="3"/>
        <v>1</v>
      </c>
      <c r="AB34" s="1571">
        <f t="shared" si="4"/>
        <v>1</v>
      </c>
      <c r="AC34" s="1571">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77" t="s">
        <v>551</v>
      </c>
      <c r="Q35" s="1572" t="str">
        <f t="shared" si="11"/>
        <v>市政基础设施</v>
      </c>
      <c r="R35" s="1573" t="s">
        <v>8</v>
      </c>
      <c r="S35" s="1574">
        <f t="shared" si="12"/>
        <v>100</v>
      </c>
      <c r="T35" s="1573" t="s">
        <v>8</v>
      </c>
      <c r="U35" s="1574">
        <f t="shared" si="13"/>
        <v>100</v>
      </c>
      <c r="V35" s="1573" t="s">
        <v>8</v>
      </c>
      <c r="W35" s="1574">
        <f t="shared" si="14"/>
        <v>100</v>
      </c>
      <c r="X35" s="1567"/>
      <c r="Y35" s="367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77"/>
      <c r="Q36" s="1572" t="str">
        <f t="shared" si="11"/>
        <v>内部装修</v>
      </c>
      <c r="R36" s="1573" t="s">
        <v>8</v>
      </c>
      <c r="S36" s="1574">
        <f t="shared" si="12"/>
        <v>100</v>
      </c>
      <c r="T36" s="1573" t="s">
        <v>8</v>
      </c>
      <c r="U36" s="1574">
        <f t="shared" si="13"/>
        <v>100</v>
      </c>
      <c r="V36" s="1573" t="s">
        <v>8</v>
      </c>
      <c r="W36" s="1574">
        <f t="shared" si="14"/>
        <v>100</v>
      </c>
      <c r="X36" s="1567"/>
      <c r="Y36" s="367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77"/>
      <c r="Q37" s="1572" t="str">
        <f t="shared" si="11"/>
        <v>内部装修状况</v>
      </c>
      <c r="R37" s="1573" t="s">
        <v>8</v>
      </c>
      <c r="S37" s="1574">
        <f t="shared" si="12"/>
        <v>100</v>
      </c>
      <c r="T37" s="1573" t="s">
        <v>8</v>
      </c>
      <c r="U37" s="1574">
        <f t="shared" si="13"/>
        <v>100</v>
      </c>
      <c r="V37" s="1573" t="s">
        <v>8</v>
      </c>
      <c r="W37" s="1574">
        <f t="shared" si="14"/>
        <v>100</v>
      </c>
      <c r="X37" s="1567"/>
      <c r="Y37" s="367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77"/>
      <c r="Q38" s="1605">
        <f t="shared" si="11"/>
        <v>111</v>
      </c>
      <c r="R38" s="1577" t="s">
        <v>8</v>
      </c>
      <c r="S38" s="1578">
        <f t="shared" si="12"/>
        <v>100</v>
      </c>
      <c r="T38" s="1577" t="s">
        <v>8</v>
      </c>
      <c r="U38" s="1578">
        <f t="shared" si="13"/>
        <v>100</v>
      </c>
      <c r="V38" s="1577" t="s">
        <v>8</v>
      </c>
      <c r="W38" s="1578">
        <f t="shared" si="14"/>
        <v>100</v>
      </c>
      <c r="X38" s="1579"/>
      <c r="Y38" s="367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77"/>
      <c r="Q39" s="1572">
        <f t="shared" si="11"/>
        <v>111</v>
      </c>
      <c r="R39" s="1573" t="s">
        <v>8</v>
      </c>
      <c r="S39" s="1574">
        <f t="shared" si="12"/>
        <v>100</v>
      </c>
      <c r="T39" s="1573" t="s">
        <v>8</v>
      </c>
      <c r="U39" s="1574">
        <f t="shared" si="13"/>
        <v>100</v>
      </c>
      <c r="V39" s="1573" t="s">
        <v>8</v>
      </c>
      <c r="W39" s="1574">
        <f t="shared" si="14"/>
        <v>100</v>
      </c>
      <c r="X39" s="1567"/>
      <c r="Y39" s="367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5"/>
      <c r="Q40" s="1572">
        <f t="shared" si="11"/>
        <v>111</v>
      </c>
      <c r="R40" s="1573" t="s">
        <v>8</v>
      </c>
      <c r="S40" s="1574">
        <f t="shared" si="12"/>
        <v>100</v>
      </c>
      <c r="T40" s="1573" t="s">
        <v>8</v>
      </c>
      <c r="U40" s="1574">
        <f t="shared" si="13"/>
        <v>100</v>
      </c>
      <c r="V40" s="1573" t="s">
        <v>8</v>
      </c>
      <c r="W40" s="1574">
        <f t="shared" si="14"/>
        <v>100</v>
      </c>
      <c r="X40" s="1567"/>
      <c r="Y40" s="3775"/>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672" t="str">
        <f>A41</f>
        <v>成交单价（元/平方米）</v>
      </c>
      <c r="Q41" s="3672"/>
      <c r="R41" s="3774">
        <f>E41</f>
        <v>0</v>
      </c>
      <c r="S41" s="3774"/>
      <c r="T41" s="3774">
        <f>G41</f>
        <v>0</v>
      </c>
      <c r="U41" s="3774"/>
      <c r="V41" s="3774">
        <f>I41</f>
        <v>0</v>
      </c>
      <c r="W41" s="3774"/>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672" t="str">
        <f>A42</f>
        <v>比较价格（元/平方米）</v>
      </c>
      <c r="Q42" s="3672"/>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9"/>
      <c r="Y42" s="1559"/>
      <c r="Z42" s="1559"/>
      <c r="AA42" s="1559"/>
      <c r="AB42" s="1559"/>
      <c r="AC42" s="1559"/>
    </row>
    <row r="43" spans="1:29" ht="15.75" thickBot="1">
      <c r="A43" s="621" t="s">
        <v>2942</v>
      </c>
      <c r="B43" s="622"/>
      <c r="C43" s="2661" t="e">
        <f>R43</f>
        <v>#DIV/0!</v>
      </c>
      <c r="D43" s="2661"/>
      <c r="E43" s="2661"/>
      <c r="F43" s="2661"/>
      <c r="G43" s="2661"/>
      <c r="H43" s="2661"/>
      <c r="I43" s="2661"/>
      <c r="J43" s="2661"/>
      <c r="K43" s="1613"/>
      <c r="L43" s="2145"/>
      <c r="M43" s="2146"/>
      <c r="N43" s="2146"/>
      <c r="O43" s="2146"/>
      <c r="P43" s="3693" t="str">
        <f>A43</f>
        <v>估价对象XX用房的比较价格（楼面单价，元/平方米）</v>
      </c>
      <c r="Q43" s="3694"/>
      <c r="R43" s="3773" t="e">
        <f>IF(F1="售价",ROUND(AVERAGE(R42:V42),0),ROUND(AVERAGE(R42:V42),1))</f>
        <v>#DIV/0!</v>
      </c>
      <c r="S43" s="3773"/>
      <c r="T43" s="3773"/>
      <c r="U43" s="3773"/>
      <c r="V43" s="3773"/>
      <c r="W43" s="377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2565</v>
      </c>
      <c r="C76" s="2623" t="s">
        <v>2566</v>
      </c>
      <c r="D76" s="2623" t="s">
        <v>2567</v>
      </c>
      <c r="E76" s="2623" t="s">
        <v>2568</v>
      </c>
      <c r="F76" s="2623" t="s">
        <v>2569</v>
      </c>
      <c r="G76" s="2623"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78" t="s">
        <v>799</v>
      </c>
      <c r="D4" s="3679"/>
      <c r="E4" s="3678" t="s">
        <v>800</v>
      </c>
      <c r="F4" s="3679"/>
      <c r="G4" s="3678" t="s">
        <v>801</v>
      </c>
      <c r="H4" s="3679"/>
      <c r="I4" s="3678" t="s">
        <v>802</v>
      </c>
      <c r="J4" s="3679"/>
      <c r="K4" s="514" t="s">
        <v>803</v>
      </c>
      <c r="L4" s="2134"/>
      <c r="M4" s="2135"/>
      <c r="N4" s="2135"/>
      <c r="O4" s="2135"/>
      <c r="P4" s="3680" t="s">
        <v>804</v>
      </c>
      <c r="Q4" s="3681"/>
      <c r="R4" s="3666" t="s">
        <v>800</v>
      </c>
      <c r="S4" s="3667"/>
      <c r="T4" s="3666" t="s">
        <v>801</v>
      </c>
      <c r="U4" s="3667"/>
      <c r="V4" s="3686" t="s">
        <v>802</v>
      </c>
      <c r="W4" s="3686"/>
      <c r="X4" s="1567"/>
      <c r="Y4" s="3666" t="s">
        <v>804</v>
      </c>
      <c r="Z4" s="3667"/>
      <c r="AA4" s="3661" t="s">
        <v>800</v>
      </c>
      <c r="AB4" s="3662" t="s">
        <v>801</v>
      </c>
      <c r="AC4" s="3661" t="s">
        <v>802</v>
      </c>
    </row>
    <row r="5" spans="1:29" ht="15">
      <c r="A5" s="515"/>
      <c r="B5" s="516"/>
      <c r="C5" s="3689" t="s">
        <v>2936</v>
      </c>
      <c r="D5" s="3690"/>
      <c r="E5" s="3689" t="s">
        <v>2937</v>
      </c>
      <c r="F5" s="3690"/>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691" t="s">
        <v>2940</v>
      </c>
      <c r="F6" s="3692"/>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64" t="s">
        <v>531</v>
      </c>
      <c r="Q7" s="3673"/>
      <c r="R7" s="1568" t="s">
        <v>8</v>
      </c>
      <c r="S7" s="1569">
        <f t="shared" ref="S7:S14" si="0">F7</f>
        <v>0</v>
      </c>
      <c r="T7" s="1568" t="s">
        <v>8</v>
      </c>
      <c r="U7" s="1569">
        <f t="shared" ref="U7:U14" si="1">H7</f>
        <v>0</v>
      </c>
      <c r="V7" s="1568" t="s">
        <v>8</v>
      </c>
      <c r="W7" s="1569">
        <f t="shared" ref="W7:W14"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72" t="s">
        <v>536</v>
      </c>
      <c r="Q9" s="1151" t="str">
        <f t="shared" ref="Q9:Q14" si="6">B9</f>
        <v>用途</v>
      </c>
      <c r="R9" s="1568" t="s">
        <v>8</v>
      </c>
      <c r="S9" s="1569">
        <f t="shared" si="0"/>
        <v>100</v>
      </c>
      <c r="T9" s="1568" t="s">
        <v>8</v>
      </c>
      <c r="U9" s="1569">
        <f t="shared" si="1"/>
        <v>100</v>
      </c>
      <c r="V9" s="1568" t="s">
        <v>8</v>
      </c>
      <c r="W9" s="1569">
        <f t="shared" si="2"/>
        <v>100</v>
      </c>
      <c r="X9" s="1570"/>
      <c r="Y9" s="3629"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72"/>
      <c r="Q11" s="1151">
        <f t="shared" si="6"/>
        <v>111</v>
      </c>
      <c r="R11" s="1568" t="s">
        <v>8</v>
      </c>
      <c r="S11" s="1569">
        <f t="shared" si="0"/>
        <v>100</v>
      </c>
      <c r="T11" s="1568" t="s">
        <v>8</v>
      </c>
      <c r="U11" s="1569">
        <f t="shared" si="1"/>
        <v>100</v>
      </c>
      <c r="V11" s="1568" t="s">
        <v>8</v>
      </c>
      <c r="W11" s="1569">
        <f t="shared" si="2"/>
        <v>100</v>
      </c>
      <c r="X11" s="1570"/>
      <c r="Y11" s="3629"/>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74" t="s">
        <v>541</v>
      </c>
      <c r="Q14" s="1572" t="str">
        <f t="shared" si="6"/>
        <v>交通便捷度</v>
      </c>
      <c r="R14" s="1573" t="s">
        <v>8</v>
      </c>
      <c r="S14" s="1574">
        <f t="shared" si="0"/>
        <v>100</v>
      </c>
      <c r="T14" s="1573" t="s">
        <v>8</v>
      </c>
      <c r="U14" s="1574">
        <f t="shared" si="1"/>
        <v>100</v>
      </c>
      <c r="V14" s="1573" t="s">
        <v>8</v>
      </c>
      <c r="W14" s="1574">
        <f t="shared" si="2"/>
        <v>100</v>
      </c>
      <c r="X14" s="1567"/>
      <c r="Y14" s="3674"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675"/>
      <c r="Q15" s="1572"/>
      <c r="R15" s="1573"/>
      <c r="S15" s="1574"/>
      <c r="T15" s="1573"/>
      <c r="U15" s="1574"/>
      <c r="V15" s="1573"/>
      <c r="W15" s="1574"/>
      <c r="X15" s="1567"/>
      <c r="Y15" s="3675"/>
      <c r="Z15" s="1575"/>
      <c r="AA15" s="1576">
        <v>1</v>
      </c>
      <c r="AB15" s="1576">
        <v>1</v>
      </c>
      <c r="AC15" s="1576">
        <v>1</v>
      </c>
    </row>
    <row r="16" spans="1:29" ht="42.75">
      <c r="A16" s="515"/>
      <c r="B16" s="2628"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75"/>
      <c r="Q16" s="1572" t="str">
        <f>B16</f>
        <v>公共配套设施</v>
      </c>
      <c r="R16" s="1573" t="s">
        <v>8</v>
      </c>
      <c r="S16" s="1574">
        <f>F16</f>
        <v>100</v>
      </c>
      <c r="T16" s="1573" t="s">
        <v>8</v>
      </c>
      <c r="U16" s="1574">
        <f>H16</f>
        <v>100</v>
      </c>
      <c r="V16" s="1573" t="s">
        <v>8</v>
      </c>
      <c r="W16" s="1574">
        <f>J16</f>
        <v>100</v>
      </c>
      <c r="X16" s="1567"/>
      <c r="Y16" s="367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675"/>
      <c r="Q17" s="1572"/>
      <c r="R17" s="1573"/>
      <c r="S17" s="1574"/>
      <c r="T17" s="1573"/>
      <c r="U17" s="1574"/>
      <c r="V17" s="1573"/>
      <c r="W17" s="1574"/>
      <c r="X17" s="1567"/>
      <c r="Y17" s="3675"/>
      <c r="Z17" s="1575"/>
      <c r="AA17" s="1576">
        <v>1</v>
      </c>
      <c r="AB17" s="1576">
        <v>1</v>
      </c>
      <c r="AC17" s="1576">
        <v>1</v>
      </c>
    </row>
    <row r="18" spans="1:29" ht="28.5">
      <c r="A18" s="515"/>
      <c r="B18" s="2616"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75"/>
      <c r="Q18" s="2604" t="str">
        <f>B18</f>
        <v>基础设施水平</v>
      </c>
      <c r="R18" s="1573" t="s">
        <v>8</v>
      </c>
      <c r="S18" s="1574">
        <f>F18</f>
        <v>100</v>
      </c>
      <c r="T18" s="1573" t="s">
        <v>8</v>
      </c>
      <c r="U18" s="1574">
        <f>H18</f>
        <v>100</v>
      </c>
      <c r="V18" s="1573" t="s">
        <v>8</v>
      </c>
      <c r="W18" s="1574">
        <f>J18</f>
        <v>100</v>
      </c>
      <c r="X18" s="2606"/>
      <c r="Y18" s="367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75"/>
      <c r="Q19" s="2604"/>
      <c r="R19" s="1573"/>
      <c r="S19" s="1574"/>
      <c r="T19" s="1573"/>
      <c r="U19" s="1574"/>
      <c r="V19" s="1573"/>
      <c r="W19" s="1574"/>
      <c r="X19" s="2606"/>
      <c r="Y19" s="3675"/>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75"/>
      <c r="Q20" s="1572" t="str">
        <f>B20</f>
        <v>自然及人文环境</v>
      </c>
      <c r="R20" s="1573" t="s">
        <v>8</v>
      </c>
      <c r="S20" s="1574">
        <f>F20</f>
        <v>100</v>
      </c>
      <c r="T20" s="1573" t="s">
        <v>8</v>
      </c>
      <c r="U20" s="1574">
        <f>H20</f>
        <v>100</v>
      </c>
      <c r="V20" s="1573" t="s">
        <v>8</v>
      </c>
      <c r="W20" s="1574">
        <f>J20</f>
        <v>100</v>
      </c>
      <c r="X20" s="1567"/>
      <c r="Y20" s="367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675"/>
      <c r="Q21" s="1572"/>
      <c r="R21" s="1573"/>
      <c r="S21" s="1574"/>
      <c r="T21" s="1573"/>
      <c r="U21" s="1574"/>
      <c r="V21" s="1573"/>
      <c r="W21" s="1574"/>
      <c r="X21" s="1567"/>
      <c r="Y21" s="367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75"/>
      <c r="Q22" s="1572" t="str">
        <f>B22</f>
        <v>楼层</v>
      </c>
      <c r="R22" s="1573" t="s">
        <v>8</v>
      </c>
      <c r="S22" s="1574">
        <f>F22</f>
        <v>100</v>
      </c>
      <c r="T22" s="1573" t="s">
        <v>8</v>
      </c>
      <c r="U22" s="1574">
        <f>H22</f>
        <v>100</v>
      </c>
      <c r="V22" s="1573" t="s">
        <v>8</v>
      </c>
      <c r="W22" s="1574">
        <f>J22</f>
        <v>100</v>
      </c>
      <c r="X22" s="1567"/>
      <c r="Y22" s="367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75"/>
      <c r="Q23" s="1572">
        <f>B23</f>
        <v>111</v>
      </c>
      <c r="R23" s="1573" t="s">
        <v>8</v>
      </c>
      <c r="S23" s="1574">
        <f>F23</f>
        <v>100</v>
      </c>
      <c r="T23" s="1573" t="s">
        <v>8</v>
      </c>
      <c r="U23" s="1574">
        <f>H23</f>
        <v>100</v>
      </c>
      <c r="V23" s="1573" t="s">
        <v>8</v>
      </c>
      <c r="W23" s="1574">
        <f>J23</f>
        <v>100</v>
      </c>
      <c r="X23" s="1567"/>
      <c r="Y23" s="367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75"/>
      <c r="Q24" s="1572">
        <f t="shared" ref="Q24:Q36" si="11">B24</f>
        <v>111</v>
      </c>
      <c r="R24" s="1573" t="s">
        <v>8</v>
      </c>
      <c r="S24" s="1574">
        <f>F24</f>
        <v>100</v>
      </c>
      <c r="T24" s="1573" t="s">
        <v>8</v>
      </c>
      <c r="U24" s="1574">
        <f>H24</f>
        <v>100</v>
      </c>
      <c r="V24" s="1573" t="s">
        <v>8</v>
      </c>
      <c r="W24" s="1574">
        <f>J24</f>
        <v>100</v>
      </c>
      <c r="X24" s="1567"/>
      <c r="Y24" s="367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75"/>
      <c r="Q25" s="1151">
        <f t="shared" si="11"/>
        <v>111</v>
      </c>
      <c r="R25" s="1568" t="s">
        <v>8</v>
      </c>
      <c r="S25" s="1569">
        <f>F25</f>
        <v>100</v>
      </c>
      <c r="T25" s="1568" t="s">
        <v>8</v>
      </c>
      <c r="U25" s="1569">
        <f>H25</f>
        <v>100</v>
      </c>
      <c r="V25" s="1568" t="s">
        <v>8</v>
      </c>
      <c r="W25" s="1569">
        <f>J25</f>
        <v>100</v>
      </c>
      <c r="X25" s="1570"/>
      <c r="Y25" s="3675"/>
      <c r="Z25" s="1150">
        <f>Q25</f>
        <v>111</v>
      </c>
      <c r="AA25" s="1576">
        <f>D25/F25</f>
        <v>1</v>
      </c>
      <c r="AB25" s="1576">
        <f>D25/H25</f>
        <v>1</v>
      </c>
      <c r="AC25" s="1576">
        <f>D25/J25</f>
        <v>1</v>
      </c>
    </row>
    <row r="26" spans="1:29" ht="15">
      <c r="A26" s="2933"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7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77"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77"/>
      <c r="Q27" s="1605" t="str">
        <f t="shared" si="11"/>
        <v>项目停车位配比</v>
      </c>
      <c r="R27" s="1577" t="s">
        <v>8</v>
      </c>
      <c r="S27" s="1578">
        <f t="shared" si="12"/>
        <v>100</v>
      </c>
      <c r="T27" s="1577" t="s">
        <v>8</v>
      </c>
      <c r="U27" s="1578">
        <f t="shared" si="13"/>
        <v>100</v>
      </c>
      <c r="V27" s="1577" t="s">
        <v>8</v>
      </c>
      <c r="W27" s="1578">
        <f t="shared" si="14"/>
        <v>100</v>
      </c>
      <c r="X27" s="1579"/>
      <c r="Y27" s="3677"/>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77"/>
      <c r="Q28" s="1572" t="str">
        <f t="shared" si="11"/>
        <v>公共部分装修</v>
      </c>
      <c r="R28" s="1573" t="s">
        <v>8</v>
      </c>
      <c r="S28" s="1574">
        <f t="shared" si="12"/>
        <v>100</v>
      </c>
      <c r="T28" s="1573" t="s">
        <v>8</v>
      </c>
      <c r="U28" s="1574">
        <f t="shared" si="13"/>
        <v>100</v>
      </c>
      <c r="V28" s="1573" t="s">
        <v>8</v>
      </c>
      <c r="W28" s="1574">
        <f t="shared" si="14"/>
        <v>100</v>
      </c>
      <c r="X28" s="1567"/>
      <c r="Y28" s="3677"/>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77"/>
      <c r="Q29" s="1572" t="str">
        <f t="shared" si="11"/>
        <v>成新率</v>
      </c>
      <c r="R29" s="1573" t="s">
        <v>8</v>
      </c>
      <c r="S29" s="1574" t="e">
        <f t="shared" si="12"/>
        <v>#N/A</v>
      </c>
      <c r="T29" s="1573" t="s">
        <v>8</v>
      </c>
      <c r="U29" s="1574" t="e">
        <f t="shared" si="13"/>
        <v>#N/A</v>
      </c>
      <c r="V29" s="1573" t="s">
        <v>8</v>
      </c>
      <c r="W29" s="1574" t="e">
        <f t="shared" si="14"/>
        <v>#N/A</v>
      </c>
      <c r="X29" s="1567"/>
      <c r="Y29" s="3677"/>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77"/>
      <c r="Q30" s="1572" t="str">
        <f t="shared" si="11"/>
        <v>物业等级</v>
      </c>
      <c r="R30" s="1573" t="s">
        <v>8</v>
      </c>
      <c r="S30" s="1574">
        <f t="shared" si="12"/>
        <v>100</v>
      </c>
      <c r="T30" s="1573" t="s">
        <v>8</v>
      </c>
      <c r="U30" s="1574">
        <f t="shared" si="13"/>
        <v>100</v>
      </c>
      <c r="V30" s="1573" t="s">
        <v>8</v>
      </c>
      <c r="W30" s="1574">
        <f t="shared" si="14"/>
        <v>100</v>
      </c>
      <c r="X30" s="1567"/>
      <c r="Y30" s="3677"/>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77"/>
      <c r="Q31" s="1151" t="str">
        <f t="shared" si="11"/>
        <v>停车位面积</v>
      </c>
      <c r="R31" s="1568" t="s">
        <v>8</v>
      </c>
      <c r="S31" s="1569" t="e">
        <f t="shared" si="12"/>
        <v>#N/A</v>
      </c>
      <c r="T31" s="1568" t="s">
        <v>8</v>
      </c>
      <c r="U31" s="1569" t="e">
        <f t="shared" si="13"/>
        <v>#N/A</v>
      </c>
      <c r="V31" s="1568" t="s">
        <v>8</v>
      </c>
      <c r="W31" s="1569" t="e">
        <f t="shared" si="14"/>
        <v>#N/A</v>
      </c>
      <c r="X31" s="1570"/>
      <c r="Y31" s="3677"/>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77" t="s">
        <v>551</v>
      </c>
      <c r="Q32" s="1572" t="str">
        <f t="shared" si="11"/>
        <v>车位类型</v>
      </c>
      <c r="R32" s="1573" t="s">
        <v>8</v>
      </c>
      <c r="S32" s="1574">
        <f t="shared" si="12"/>
        <v>100</v>
      </c>
      <c r="T32" s="1573" t="s">
        <v>8</v>
      </c>
      <c r="U32" s="1574">
        <f t="shared" si="13"/>
        <v>100</v>
      </c>
      <c r="V32" s="1573" t="s">
        <v>8</v>
      </c>
      <c r="W32" s="1574">
        <f t="shared" si="14"/>
        <v>100</v>
      </c>
      <c r="X32" s="1567"/>
      <c r="Y32" s="3677"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77"/>
      <c r="Q33" s="1572" t="str">
        <f t="shared" si="11"/>
        <v>是否直接入户</v>
      </c>
      <c r="R33" s="1573" t="s">
        <v>8</v>
      </c>
      <c r="S33" s="1574">
        <f t="shared" si="12"/>
        <v>100</v>
      </c>
      <c r="T33" s="1573" t="s">
        <v>8</v>
      </c>
      <c r="U33" s="1574">
        <f t="shared" si="13"/>
        <v>100</v>
      </c>
      <c r="V33" s="1573" t="s">
        <v>8</v>
      </c>
      <c r="W33" s="1574">
        <f t="shared" si="14"/>
        <v>100</v>
      </c>
      <c r="X33" s="1567"/>
      <c r="Y33" s="367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77"/>
      <c r="Q34" s="1572">
        <f t="shared" si="11"/>
        <v>111</v>
      </c>
      <c r="R34" s="1573" t="s">
        <v>8</v>
      </c>
      <c r="S34" s="1574">
        <f t="shared" si="12"/>
        <v>100</v>
      </c>
      <c r="T34" s="1573" t="s">
        <v>8</v>
      </c>
      <c r="U34" s="1574">
        <f t="shared" si="13"/>
        <v>100</v>
      </c>
      <c r="V34" s="1573" t="s">
        <v>8</v>
      </c>
      <c r="W34" s="1574">
        <f t="shared" si="14"/>
        <v>100</v>
      </c>
      <c r="X34" s="1567"/>
      <c r="Y34" s="367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77"/>
      <c r="Q35" s="1605">
        <f t="shared" si="11"/>
        <v>111</v>
      </c>
      <c r="R35" s="1577" t="s">
        <v>8</v>
      </c>
      <c r="S35" s="1578">
        <f t="shared" si="12"/>
        <v>100</v>
      </c>
      <c r="T35" s="1577" t="s">
        <v>8</v>
      </c>
      <c r="U35" s="1578">
        <f t="shared" si="13"/>
        <v>100</v>
      </c>
      <c r="V35" s="1577" t="s">
        <v>8</v>
      </c>
      <c r="W35" s="1578">
        <f t="shared" si="14"/>
        <v>100</v>
      </c>
      <c r="X35" s="1579"/>
      <c r="Y35" s="367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77"/>
      <c r="Q36" s="1572">
        <f t="shared" si="11"/>
        <v>111</v>
      </c>
      <c r="R36" s="1573" t="s">
        <v>8</v>
      </c>
      <c r="S36" s="1574">
        <f t="shared" si="12"/>
        <v>100</v>
      </c>
      <c r="T36" s="1573" t="s">
        <v>8</v>
      </c>
      <c r="U36" s="1574">
        <f t="shared" si="13"/>
        <v>100</v>
      </c>
      <c r="V36" s="1573" t="s">
        <v>8</v>
      </c>
      <c r="W36" s="1574">
        <f t="shared" si="14"/>
        <v>100</v>
      </c>
      <c r="X36" s="1567"/>
      <c r="Y36" s="367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72" t="str">
        <f>A37</f>
        <v>成交单价</v>
      </c>
      <c r="Q37" s="3672"/>
      <c r="R37" s="3774">
        <f>E37</f>
        <v>0</v>
      </c>
      <c r="S37" s="3774"/>
      <c r="T37" s="3774">
        <f>G37</f>
        <v>0</v>
      </c>
      <c r="U37" s="3774"/>
      <c r="V37" s="3774">
        <f>I37</f>
        <v>0</v>
      </c>
      <c r="W37" s="3774"/>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672" t="str">
        <f>A38</f>
        <v>比较价格（元/平方米）</v>
      </c>
      <c r="Q38" s="3672"/>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9"/>
      <c r="Y38" s="1559"/>
      <c r="Z38" s="1559"/>
      <c r="AA38" s="1559"/>
      <c r="AB38" s="1559"/>
      <c r="AC38" s="1559"/>
    </row>
    <row r="39" spans="1:29" ht="15.75" thickBot="1">
      <c r="A39" s="621" t="s">
        <v>2942</v>
      </c>
      <c r="B39" s="622"/>
      <c r="C39" s="2661" t="e">
        <f>R39</f>
        <v>#DIV/0!</v>
      </c>
      <c r="D39" s="2661"/>
      <c r="E39" s="2661"/>
      <c r="F39" s="2661"/>
      <c r="G39" s="2661"/>
      <c r="H39" s="2661"/>
      <c r="I39" s="2661"/>
      <c r="J39" s="2661"/>
      <c r="K39" s="1613"/>
      <c r="L39" s="2145"/>
      <c r="M39" s="2146"/>
      <c r="N39" s="2146"/>
      <c r="O39" s="2146"/>
      <c r="P39" s="3693" t="str">
        <f>A39</f>
        <v>估价对象XX用房的比较价格（楼面单价，元/平方米）</v>
      </c>
      <c r="Q39" s="3694"/>
      <c r="R39" s="3773" t="e">
        <f>IF(F1="售价",ROUND(AVERAGE(R38:V38),0),ROUND(AVERAGE(R38:V38),1))</f>
        <v>#DIV/0!</v>
      </c>
      <c r="S39" s="3773"/>
      <c r="T39" s="3773"/>
      <c r="U39" s="3773"/>
      <c r="V39" s="3773"/>
      <c r="W39" s="377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2565</v>
      </c>
      <c r="C67" s="2623" t="s">
        <v>2566</v>
      </c>
      <c r="D67" s="2623" t="s">
        <v>2567</v>
      </c>
      <c r="E67" s="2623" t="s">
        <v>2568</v>
      </c>
      <c r="F67" s="2623" t="s">
        <v>2569</v>
      </c>
      <c r="G67" s="2623" t="s">
        <v>2570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78" t="s">
        <v>799</v>
      </c>
      <c r="D4" s="3679"/>
      <c r="E4" s="3702" t="s">
        <v>800</v>
      </c>
      <c r="F4" s="3703"/>
      <c r="G4" s="3678" t="s">
        <v>801</v>
      </c>
      <c r="H4" s="3679"/>
      <c r="I4" s="3678" t="s">
        <v>802</v>
      </c>
      <c r="J4" s="3679"/>
      <c r="K4" s="514" t="s">
        <v>803</v>
      </c>
      <c r="L4" s="2134"/>
      <c r="M4" s="2135"/>
      <c r="N4" s="2135"/>
      <c r="O4" s="2135"/>
      <c r="P4" s="3680" t="s">
        <v>804</v>
      </c>
      <c r="Q4" s="3681"/>
      <c r="R4" s="3666" t="s">
        <v>800</v>
      </c>
      <c r="S4" s="3667"/>
      <c r="T4" s="3666" t="s">
        <v>801</v>
      </c>
      <c r="U4" s="3667"/>
      <c r="V4" s="3686" t="s">
        <v>802</v>
      </c>
      <c r="W4" s="3686"/>
      <c r="X4" s="1567"/>
      <c r="Y4" s="3666" t="s">
        <v>804</v>
      </c>
      <c r="Z4" s="3667"/>
      <c r="AA4" s="3661" t="s">
        <v>800</v>
      </c>
      <c r="AB4" s="3662" t="s">
        <v>801</v>
      </c>
      <c r="AC4" s="3661" t="s">
        <v>802</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64" t="s">
        <v>531</v>
      </c>
      <c r="Q7" s="3673"/>
      <c r="R7" s="1568" t="s">
        <v>8</v>
      </c>
      <c r="S7" s="1569">
        <f t="shared" ref="S7:S14" si="0">F7</f>
        <v>0</v>
      </c>
      <c r="T7" s="1568" t="s">
        <v>8</v>
      </c>
      <c r="U7" s="1569">
        <f t="shared" ref="U7:U14" si="1">H7</f>
        <v>0</v>
      </c>
      <c r="V7" s="1568" t="s">
        <v>8</v>
      </c>
      <c r="W7" s="1569">
        <f t="shared" ref="W7:W14"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72" t="s">
        <v>536</v>
      </c>
      <c r="Q9" s="1151" t="str">
        <f t="shared" ref="Q9:Q14" si="6">B9</f>
        <v>用途</v>
      </c>
      <c r="R9" s="1568" t="s">
        <v>8</v>
      </c>
      <c r="S9" s="1569">
        <f t="shared" si="0"/>
        <v>100</v>
      </c>
      <c r="T9" s="1568" t="s">
        <v>8</v>
      </c>
      <c r="U9" s="1569">
        <f t="shared" si="1"/>
        <v>100</v>
      </c>
      <c r="V9" s="1568" t="s">
        <v>8</v>
      </c>
      <c r="W9" s="1569">
        <f t="shared" si="2"/>
        <v>100</v>
      </c>
      <c r="X9" s="1570"/>
      <c r="Y9" s="3629"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72"/>
      <c r="Q11" s="1151">
        <f t="shared" si="6"/>
        <v>111</v>
      </c>
      <c r="R11" s="1568" t="s">
        <v>8</v>
      </c>
      <c r="S11" s="1569">
        <f t="shared" si="0"/>
        <v>100</v>
      </c>
      <c r="T11" s="1568" t="s">
        <v>8</v>
      </c>
      <c r="U11" s="1569">
        <f t="shared" si="1"/>
        <v>100</v>
      </c>
      <c r="V11" s="1568" t="s">
        <v>8</v>
      </c>
      <c r="W11" s="1569">
        <f t="shared" si="2"/>
        <v>100</v>
      </c>
      <c r="X11" s="1570"/>
      <c r="Y11" s="3629"/>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74" t="s">
        <v>541</v>
      </c>
      <c r="Q14" s="1572" t="str">
        <f t="shared" si="6"/>
        <v>交通便捷度</v>
      </c>
      <c r="R14" s="1573" t="s">
        <v>8</v>
      </c>
      <c r="S14" s="1574">
        <f t="shared" si="0"/>
        <v>100</v>
      </c>
      <c r="T14" s="1573" t="s">
        <v>8</v>
      </c>
      <c r="U14" s="1574">
        <f t="shared" si="1"/>
        <v>100</v>
      </c>
      <c r="V14" s="1573" t="s">
        <v>8</v>
      </c>
      <c r="W14" s="1574">
        <f t="shared" si="2"/>
        <v>100</v>
      </c>
      <c r="X14" s="1567"/>
      <c r="Y14" s="367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675"/>
      <c r="Q15" s="1572"/>
      <c r="R15" s="1573"/>
      <c r="S15" s="1574"/>
      <c r="T15" s="1573"/>
      <c r="U15" s="1574"/>
      <c r="V15" s="1573"/>
      <c r="W15" s="1574"/>
      <c r="X15" s="1567"/>
      <c r="Y15" s="3675"/>
      <c r="Z15" s="1575"/>
      <c r="AA15" s="1576">
        <v>1</v>
      </c>
      <c r="AB15" s="1576">
        <v>1</v>
      </c>
      <c r="AC15" s="1576">
        <v>1</v>
      </c>
    </row>
    <row r="16" spans="1:29" ht="42.75">
      <c r="A16" s="532"/>
      <c r="B16" s="2628"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75"/>
      <c r="Q16" s="1572" t="str">
        <f>B16</f>
        <v>公共配套设施</v>
      </c>
      <c r="R16" s="1573" t="s">
        <v>8</v>
      </c>
      <c r="S16" s="1574">
        <f>F16</f>
        <v>100</v>
      </c>
      <c r="T16" s="1573" t="s">
        <v>8</v>
      </c>
      <c r="U16" s="1574">
        <f>H16</f>
        <v>100</v>
      </c>
      <c r="V16" s="1573" t="s">
        <v>8</v>
      </c>
      <c r="W16" s="1574">
        <f>J16</f>
        <v>100</v>
      </c>
      <c r="X16" s="1567"/>
      <c r="Y16" s="367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675"/>
      <c r="Q17" s="1572"/>
      <c r="R17" s="1573"/>
      <c r="S17" s="1574"/>
      <c r="T17" s="1573"/>
      <c r="U17" s="1574"/>
      <c r="V17" s="1573"/>
      <c r="W17" s="1574"/>
      <c r="X17" s="1567"/>
      <c r="Y17" s="3675"/>
      <c r="Z17" s="1575"/>
      <c r="AA17" s="1576">
        <v>1</v>
      </c>
      <c r="AB17" s="1576">
        <v>1</v>
      </c>
      <c r="AC17" s="1576">
        <v>1</v>
      </c>
    </row>
    <row r="18" spans="1:29" ht="28.5">
      <c r="A18" s="532"/>
      <c r="B18" s="2616"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75"/>
      <c r="Q18" s="2604" t="str">
        <f>B18</f>
        <v>基础设施水平</v>
      </c>
      <c r="R18" s="1573" t="s">
        <v>8</v>
      </c>
      <c r="S18" s="1574">
        <f>F18</f>
        <v>100</v>
      </c>
      <c r="T18" s="1573" t="s">
        <v>8</v>
      </c>
      <c r="U18" s="1574">
        <f>H18</f>
        <v>100</v>
      </c>
      <c r="V18" s="1573" t="s">
        <v>8</v>
      </c>
      <c r="W18" s="1574">
        <f>J18</f>
        <v>100</v>
      </c>
      <c r="X18" s="2606"/>
      <c r="Y18" s="367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75"/>
      <c r="Q19" s="2604"/>
      <c r="R19" s="1573"/>
      <c r="S19" s="1574"/>
      <c r="T19" s="1573"/>
      <c r="U19" s="1574"/>
      <c r="V19" s="1573"/>
      <c r="W19" s="1574"/>
      <c r="X19" s="2606"/>
      <c r="Y19" s="3675"/>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75"/>
      <c r="Q20" s="1572" t="str">
        <f>B20</f>
        <v>自然及人文环境</v>
      </c>
      <c r="R20" s="1573" t="s">
        <v>8</v>
      </c>
      <c r="S20" s="1574">
        <f>F20</f>
        <v>100</v>
      </c>
      <c r="T20" s="1573" t="s">
        <v>8</v>
      </c>
      <c r="U20" s="1574">
        <f>H20</f>
        <v>100</v>
      </c>
      <c r="V20" s="1573" t="s">
        <v>8</v>
      </c>
      <c r="W20" s="1574">
        <f>J20</f>
        <v>100</v>
      </c>
      <c r="X20" s="1567"/>
      <c r="Y20" s="367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675"/>
      <c r="Q21" s="1572"/>
      <c r="R21" s="1573"/>
      <c r="S21" s="1574"/>
      <c r="T21" s="1573"/>
      <c r="U21" s="1574"/>
      <c r="V21" s="1573"/>
      <c r="W21" s="1574"/>
      <c r="X21" s="1567"/>
      <c r="Y21" s="367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75"/>
      <c r="Q22" s="1572" t="str">
        <f>B22</f>
        <v>楼层</v>
      </c>
      <c r="R22" s="1573" t="s">
        <v>8</v>
      </c>
      <c r="S22" s="1574">
        <f>F22</f>
        <v>100</v>
      </c>
      <c r="T22" s="1573" t="s">
        <v>8</v>
      </c>
      <c r="U22" s="1574">
        <f>H22</f>
        <v>100</v>
      </c>
      <c r="V22" s="1573" t="s">
        <v>8</v>
      </c>
      <c r="W22" s="1574">
        <f>J22</f>
        <v>100</v>
      </c>
      <c r="X22" s="1567"/>
      <c r="Y22" s="367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75"/>
      <c r="Q23" s="1572">
        <f>B23</f>
        <v>111</v>
      </c>
      <c r="R23" s="1573" t="s">
        <v>8</v>
      </c>
      <c r="S23" s="1574">
        <f>F23</f>
        <v>100</v>
      </c>
      <c r="T23" s="1573" t="s">
        <v>8</v>
      </c>
      <c r="U23" s="1574">
        <f>H23</f>
        <v>100</v>
      </c>
      <c r="V23" s="1573" t="s">
        <v>8</v>
      </c>
      <c r="W23" s="1574">
        <f>J23</f>
        <v>100</v>
      </c>
      <c r="X23" s="1567"/>
      <c r="Y23" s="367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75"/>
      <c r="Q24" s="1572">
        <f t="shared" ref="Q24:Q34" si="11">B24</f>
        <v>111</v>
      </c>
      <c r="R24" s="1573" t="s">
        <v>8</v>
      </c>
      <c r="S24" s="1574">
        <f>F24</f>
        <v>100</v>
      </c>
      <c r="T24" s="1573" t="s">
        <v>8</v>
      </c>
      <c r="U24" s="1574">
        <f>H24</f>
        <v>100</v>
      </c>
      <c r="V24" s="1573" t="s">
        <v>8</v>
      </c>
      <c r="W24" s="1574">
        <f>J24</f>
        <v>100</v>
      </c>
      <c r="X24" s="1567"/>
      <c r="Y24" s="367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75"/>
      <c r="Q25" s="1151">
        <f t="shared" si="11"/>
        <v>111</v>
      </c>
      <c r="R25" s="1568" t="s">
        <v>8</v>
      </c>
      <c r="S25" s="1569">
        <f>F25</f>
        <v>100</v>
      </c>
      <c r="T25" s="1568" t="s">
        <v>8</v>
      </c>
      <c r="U25" s="1569">
        <f>H25</f>
        <v>100</v>
      </c>
      <c r="V25" s="1568" t="s">
        <v>8</v>
      </c>
      <c r="W25" s="1569">
        <f>J25</f>
        <v>100</v>
      </c>
      <c r="X25" s="1570"/>
      <c r="Y25" s="3675"/>
      <c r="Z25" s="1150">
        <f>Q25</f>
        <v>111</v>
      </c>
      <c r="AA25" s="1576">
        <f>D25/F25</f>
        <v>1</v>
      </c>
      <c r="AB25" s="1576">
        <f>D25/H25</f>
        <v>1</v>
      </c>
      <c r="AC25" s="1576">
        <f>D25/J25</f>
        <v>1</v>
      </c>
    </row>
    <row r="26" spans="1:29" ht="15">
      <c r="A26" s="2933"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7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77"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77"/>
      <c r="Q27" s="1605" t="str">
        <f t="shared" si="11"/>
        <v>成新率</v>
      </c>
      <c r="R27" s="1577" t="s">
        <v>8</v>
      </c>
      <c r="S27" s="1578" t="e">
        <f t="shared" si="12"/>
        <v>#N/A</v>
      </c>
      <c r="T27" s="1577" t="s">
        <v>8</v>
      </c>
      <c r="U27" s="1578" t="e">
        <f t="shared" si="13"/>
        <v>#N/A</v>
      </c>
      <c r="V27" s="1577" t="s">
        <v>8</v>
      </c>
      <c r="W27" s="1578" t="e">
        <f t="shared" si="14"/>
        <v>#N/A</v>
      </c>
      <c r="X27" s="1579"/>
      <c r="Y27" s="367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77"/>
      <c r="Q28" s="1572" t="str">
        <f t="shared" si="11"/>
        <v>物业等级</v>
      </c>
      <c r="R28" s="1573" t="s">
        <v>8</v>
      </c>
      <c r="S28" s="1574">
        <f t="shared" si="12"/>
        <v>100</v>
      </c>
      <c r="T28" s="1573" t="s">
        <v>8</v>
      </c>
      <c r="U28" s="1574">
        <f t="shared" si="13"/>
        <v>100</v>
      </c>
      <c r="V28" s="1573" t="s">
        <v>8</v>
      </c>
      <c r="W28" s="1574">
        <f t="shared" si="14"/>
        <v>100</v>
      </c>
      <c r="X28" s="1567"/>
      <c r="Y28" s="3677"/>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77"/>
      <c r="Q29" s="1572" t="str">
        <f t="shared" si="11"/>
        <v>有无电梯</v>
      </c>
      <c r="R29" s="1573" t="s">
        <v>8</v>
      </c>
      <c r="S29" s="1574">
        <f t="shared" si="12"/>
        <v>100</v>
      </c>
      <c r="T29" s="1573" t="s">
        <v>8</v>
      </c>
      <c r="U29" s="1574">
        <f t="shared" si="13"/>
        <v>100</v>
      </c>
      <c r="V29" s="1573" t="s">
        <v>8</v>
      </c>
      <c r="W29" s="1574">
        <f t="shared" si="14"/>
        <v>100</v>
      </c>
      <c r="X29" s="1567"/>
      <c r="Y29" s="3677"/>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77"/>
      <c r="Q30" s="1572" t="str">
        <f t="shared" si="11"/>
        <v>建筑面积</v>
      </c>
      <c r="R30" s="1573" t="s">
        <v>8</v>
      </c>
      <c r="S30" s="1574" t="e">
        <f t="shared" si="12"/>
        <v>#N/A</v>
      </c>
      <c r="T30" s="1573" t="s">
        <v>8</v>
      </c>
      <c r="U30" s="1574" t="e">
        <f t="shared" si="13"/>
        <v>#N/A</v>
      </c>
      <c r="V30" s="1573" t="s">
        <v>8</v>
      </c>
      <c r="W30" s="1574" t="e">
        <f t="shared" si="14"/>
        <v>#N/A</v>
      </c>
      <c r="X30" s="1567"/>
      <c r="Y30" s="3677"/>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77"/>
      <c r="Q31" s="1151" t="str">
        <f t="shared" si="11"/>
        <v>是否封闭</v>
      </c>
      <c r="R31" s="1568" t="s">
        <v>8</v>
      </c>
      <c r="S31" s="1569">
        <f t="shared" si="12"/>
        <v>100</v>
      </c>
      <c r="T31" s="1568" t="s">
        <v>8</v>
      </c>
      <c r="U31" s="1569">
        <f t="shared" si="13"/>
        <v>100</v>
      </c>
      <c r="V31" s="1568" t="s">
        <v>8</v>
      </c>
      <c r="W31" s="1569">
        <f t="shared" si="14"/>
        <v>100</v>
      </c>
      <c r="X31" s="1570"/>
      <c r="Y31" s="367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77" t="s">
        <v>551</v>
      </c>
      <c r="Q32" s="1572">
        <f t="shared" si="11"/>
        <v>111</v>
      </c>
      <c r="R32" s="1573" t="s">
        <v>8</v>
      </c>
      <c r="S32" s="1574">
        <f t="shared" si="12"/>
        <v>100</v>
      </c>
      <c r="T32" s="1573" t="s">
        <v>8</v>
      </c>
      <c r="U32" s="1574">
        <f t="shared" si="13"/>
        <v>100</v>
      </c>
      <c r="V32" s="1573" t="s">
        <v>8</v>
      </c>
      <c r="W32" s="1574">
        <f t="shared" si="14"/>
        <v>100</v>
      </c>
      <c r="X32" s="1567"/>
      <c r="Y32" s="3677"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77"/>
      <c r="Q33" s="1572">
        <f t="shared" si="11"/>
        <v>111</v>
      </c>
      <c r="R33" s="1573" t="s">
        <v>8</v>
      </c>
      <c r="S33" s="1574">
        <f t="shared" si="12"/>
        <v>100</v>
      </c>
      <c r="T33" s="1573" t="s">
        <v>8</v>
      </c>
      <c r="U33" s="1574">
        <f t="shared" si="13"/>
        <v>100</v>
      </c>
      <c r="V33" s="1573" t="s">
        <v>8</v>
      </c>
      <c r="W33" s="1574">
        <f t="shared" si="14"/>
        <v>100</v>
      </c>
      <c r="X33" s="1567"/>
      <c r="Y33" s="367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77"/>
      <c r="Q34" s="1572">
        <f t="shared" si="11"/>
        <v>111</v>
      </c>
      <c r="R34" s="1573" t="s">
        <v>8</v>
      </c>
      <c r="S34" s="1574">
        <f t="shared" si="12"/>
        <v>100</v>
      </c>
      <c r="T34" s="1573" t="s">
        <v>8</v>
      </c>
      <c r="U34" s="1574">
        <f t="shared" si="13"/>
        <v>100</v>
      </c>
      <c r="V34" s="1573" t="s">
        <v>8</v>
      </c>
      <c r="W34" s="1574">
        <f t="shared" si="14"/>
        <v>100</v>
      </c>
      <c r="X34" s="1567"/>
      <c r="Y34" s="3677"/>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672" t="str">
        <f>A35</f>
        <v>成交单价（元/平方米）</v>
      </c>
      <c r="Q35" s="3672"/>
      <c r="R35" s="3774">
        <f>E35</f>
        <v>0</v>
      </c>
      <c r="S35" s="3774"/>
      <c r="T35" s="3774">
        <f>G35</f>
        <v>0</v>
      </c>
      <c r="U35" s="3774"/>
      <c r="V35" s="3774">
        <f>I35</f>
        <v>0</v>
      </c>
      <c r="W35" s="3774"/>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672" t="str">
        <f>A36</f>
        <v>比较价格（元/平方米）</v>
      </c>
      <c r="Q36" s="3672"/>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9"/>
      <c r="Y36" s="1559"/>
      <c r="Z36" s="1559"/>
      <c r="AA36" s="1559"/>
      <c r="AB36" s="1559"/>
      <c r="AC36" s="1559"/>
    </row>
    <row r="37" spans="1:29" ht="15.75" thickBot="1">
      <c r="A37" s="621" t="s">
        <v>2942</v>
      </c>
      <c r="B37" s="622"/>
      <c r="C37" s="2661" t="e">
        <f>R37</f>
        <v>#DIV/0!</v>
      </c>
      <c r="D37" s="2661"/>
      <c r="E37" s="2661"/>
      <c r="F37" s="2661"/>
      <c r="G37" s="2661"/>
      <c r="H37" s="2661"/>
      <c r="I37" s="2661"/>
      <c r="J37" s="2661"/>
      <c r="K37" s="1613"/>
      <c r="L37" s="2145"/>
      <c r="M37" s="2146"/>
      <c r="N37" s="2146"/>
      <c r="O37" s="2146"/>
      <c r="P37" s="3693" t="str">
        <f>A37</f>
        <v>估价对象XX用房的比较价格（楼面单价，元/平方米）</v>
      </c>
      <c r="Q37" s="3694"/>
      <c r="R37" s="3773" t="e">
        <f>IF(F1="售价",ROUND(AVERAGE(R36:V36),0),ROUND(AVERAGE(R36:V36),1))</f>
        <v>#DIV/0!</v>
      </c>
      <c r="S37" s="3773"/>
      <c r="T37" s="3773"/>
      <c r="U37" s="3773"/>
      <c r="V37" s="3773"/>
      <c r="W37" s="377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2565</v>
      </c>
      <c r="C65" s="2623" t="s">
        <v>2566</v>
      </c>
      <c r="D65" s="2623" t="s">
        <v>2567</v>
      </c>
      <c r="E65" s="2623" t="s">
        <v>2568</v>
      </c>
      <c r="F65" s="2623" t="s">
        <v>2569</v>
      </c>
      <c r="G65" s="2623" t="s">
        <v>2570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13513.51平方米。根据《建设工程规划许可证》[]、《出让合同》[]，估价对象规划建筑面积为10000平方米。</v>
      </c>
    </row>
    <row r="7" spans="1:4" ht="56.25">
      <c r="A7" s="1796" t="s">
        <v>2754</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18.75">
      <c r="A21" s="1792" t="s">
        <v>2078</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2307</v>
      </c>
      <c r="C1" s="3783" t="s">
        <v>2308</v>
      </c>
      <c r="D1" s="3784"/>
      <c r="E1" s="3784"/>
      <c r="F1" s="3784"/>
      <c r="G1" s="3784"/>
      <c r="H1" s="3784"/>
      <c r="I1" s="3784"/>
      <c r="J1" s="3784"/>
      <c r="K1" s="3784"/>
      <c r="L1" s="3784"/>
      <c r="M1" s="3784"/>
      <c r="N1" s="3784"/>
      <c r="O1" s="3784"/>
      <c r="P1" s="3784"/>
      <c r="Q1" s="3784"/>
      <c r="R1" s="3784"/>
      <c r="S1" s="378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0" t="s">
        <v>20</v>
      </c>
      <c r="D22" s="3781"/>
      <c r="E22" s="3781"/>
      <c r="F22" s="3781"/>
      <c r="G22" s="3781"/>
      <c r="H22" s="3781"/>
      <c r="I22" s="3781"/>
      <c r="J22" s="3781"/>
      <c r="K22" s="3781"/>
      <c r="L22" s="3781"/>
      <c r="M22" s="3781"/>
      <c r="N22" s="3781"/>
      <c r="O22" s="3781"/>
      <c r="P22" s="3781"/>
      <c r="Q22" s="3782"/>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43115</v>
      </c>
      <c r="H1" s="2964">
        <f>IF(C1&gt;C13,0,MATCH(C1,C$13:C$100,-1))+IF(SUMIF(C13:C100,C1,D13:D100)=0,13,12)</f>
        <v>13</v>
      </c>
      <c r="I1" s="2964">
        <f ca="1">MATCH(C2,H3:H7,1)+IF(SUMIF(H3:H7,C2,I3:I7)=0,2,1)</f>
        <v>4</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1</v>
      </c>
      <c r="D2" s="3026" t="s">
        <v>2795</v>
      </c>
      <c r="E2" s="3029">
        <f ca="1">INDIRECT("I"&amp;$I$1)/100</f>
        <v>4.3499999999999997E-2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K125"/>
  <sheetViews>
    <sheetView topLeftCell="A118" workbookViewId="0">
      <selection activeCell="K51" sqref="K51"/>
    </sheetView>
  </sheetViews>
  <sheetFormatPr defaultRowHeight="13.5"/>
  <sheetData>
    <row r="10" spans="11:11">
      <c r="K10" s="3484" t="s">
        <v>3259</v>
      </c>
    </row>
    <row r="11" spans="11:11">
      <c r="K11" s="3485">
        <v>1.5</v>
      </c>
    </row>
    <row r="49" spans="11:11">
      <c r="K49" s="3484" t="s">
        <v>3260</v>
      </c>
    </row>
    <row r="50" spans="11:11">
      <c r="K50" s="3485">
        <v>1</v>
      </c>
    </row>
    <row r="51" spans="11:11">
      <c r="K51" s="3483" t="s">
        <v>3261</v>
      </c>
    </row>
    <row r="79" spans="11:11">
      <c r="K79" s="3484" t="s">
        <v>3259</v>
      </c>
    </row>
    <row r="80" spans="11:11">
      <c r="K80" s="3485">
        <v>1.8</v>
      </c>
    </row>
    <row r="124" spans="11:11">
      <c r="K124" s="3484" t="s">
        <v>3260</v>
      </c>
    </row>
    <row r="125" spans="11:11">
      <c r="K125" s="3485">
        <v>1.5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13513.51平方米。根据《建设工程规划许可证》[]、《出让合同》[]，估价对象规划建筑面积为10000平方米。</v>
      </c>
    </row>
    <row r="7" spans="1:4" ht="93.75">
      <c r="A7" s="2899" t="s">
        <v>2755</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2756</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2" t="s">
        <v>2042</v>
      </c>
      <c r="B1" s="3492"/>
      <c r="C1" s="3492"/>
      <c r="D1" s="3492"/>
      <c r="E1" s="3492"/>
      <c r="F1" s="3492"/>
      <c r="G1" s="3492"/>
      <c r="H1" s="3492"/>
      <c r="I1" s="3492"/>
      <c r="J1" s="3492"/>
      <c r="K1" s="3492"/>
      <c r="L1" s="3492"/>
      <c r="M1" s="3492"/>
      <c r="N1" s="3492"/>
      <c r="O1" s="3492"/>
      <c r="P1" s="3492"/>
      <c r="Q1" s="3492"/>
      <c r="R1" s="3492"/>
    </row>
    <row r="2" spans="1:18">
      <c r="A2" s="1808" t="s">
        <v>2044</v>
      </c>
      <c r="B2" s="1808"/>
      <c r="C2" s="1808"/>
      <c r="D2" s="1808"/>
      <c r="E2" s="1808"/>
      <c r="F2" s="1808"/>
      <c r="G2" s="1808"/>
      <c r="H2" s="1808"/>
      <c r="I2" s="1809"/>
      <c r="J2" s="1809"/>
      <c r="K2" s="1810" t="str">
        <f>"估价期日："&amp;TEXT(项目基本情况!D3,"yyyy年m月d日;;")</f>
        <v>估价期日：2018年1月15日</v>
      </c>
      <c r="L2" s="1808"/>
      <c r="M2" s="1808"/>
      <c r="N2" s="1808"/>
      <c r="O2" s="1808"/>
      <c r="P2" s="1808"/>
      <c r="Q2" s="1808"/>
      <c r="R2" s="1810" t="str">
        <f>"估价期日的国有建设用地使用权性质："&amp;项目基本情况!B16</f>
        <v>估价期日的国有建设用地使用权性质：</v>
      </c>
    </row>
    <row r="3" spans="1:18" ht="23.25" customHeight="1">
      <c r="A3" s="3493" t="s">
        <v>2033</v>
      </c>
      <c r="B3" s="3493" t="s">
        <v>2738</v>
      </c>
      <c r="C3" s="3494" t="s">
        <v>2034</v>
      </c>
      <c r="D3" s="3493" t="s">
        <v>2742</v>
      </c>
      <c r="E3" s="3496" t="s">
        <v>2035</v>
      </c>
      <c r="F3" s="3496"/>
      <c r="G3" s="3496"/>
      <c r="H3" s="3496" t="s">
        <v>2036</v>
      </c>
      <c r="I3" s="3496"/>
      <c r="J3" s="3496"/>
      <c r="K3" s="3494" t="s">
        <v>2037</v>
      </c>
      <c r="L3" s="3494" t="s">
        <v>2038</v>
      </c>
      <c r="M3" s="3493" t="s">
        <v>2739</v>
      </c>
      <c r="N3" s="3495" t="str">
        <f>"（分摊）"&amp;项目基本情况!B16&amp;"国有建设用地使用权面积/㎡"</f>
        <v>（分摊）国有建设用地使用权面积/㎡</v>
      </c>
      <c r="O3" s="3493" t="s">
        <v>2067</v>
      </c>
      <c r="P3" s="3494" t="s">
        <v>2047</v>
      </c>
      <c r="Q3" s="3494" t="s">
        <v>2068</v>
      </c>
      <c r="R3" s="3494" t="s">
        <v>2039</v>
      </c>
    </row>
    <row r="4" spans="1:18" ht="36.75" customHeight="1">
      <c r="A4" s="3493"/>
      <c r="B4" s="3493"/>
      <c r="C4" s="3494"/>
      <c r="D4" s="3493"/>
      <c r="E4" s="2675" t="s">
        <v>2046</v>
      </c>
      <c r="F4" s="2675" t="s">
        <v>2751</v>
      </c>
      <c r="G4" s="2675" t="s">
        <v>2040</v>
      </c>
      <c r="H4" s="2675" t="s">
        <v>2041</v>
      </c>
      <c r="I4" s="2675" t="s">
        <v>2752</v>
      </c>
      <c r="J4" s="2675" t="s">
        <v>2040</v>
      </c>
      <c r="K4" s="3494"/>
      <c r="L4" s="3494"/>
      <c r="M4" s="3493"/>
      <c r="N4" s="3495"/>
      <c r="O4" s="3493"/>
      <c r="P4" s="3494"/>
      <c r="Q4" s="3494"/>
      <c r="R4" s="3494"/>
    </row>
    <row r="5" spans="1:18" ht="135" customHeight="1">
      <c r="A5" s="1944" t="s">
        <v>2662</v>
      </c>
      <c r="B5" s="2893" t="s">
        <v>2660</v>
      </c>
      <c r="C5" s="2674">
        <v>22</v>
      </c>
      <c r="D5" s="2673" t="s">
        <v>2661</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13513.51</v>
      </c>
      <c r="O5" s="1811">
        <f>项目基本情况!C21</f>
        <v>10000</v>
      </c>
      <c r="P5" s="1811">
        <f ca="1">结果表!E42</f>
        <v>1994</v>
      </c>
      <c r="Q5" s="1811">
        <f ca="1">结果表!D42</f>
        <v>2694</v>
      </c>
      <c r="R5" s="1812">
        <f ca="1">结果表!C42</f>
        <v>2694</v>
      </c>
    </row>
    <row r="6" spans="1:18">
      <c r="A6" s="3497" t="str">
        <f>IF(项目基本情况!B9="市场价格","——","抵押价格")</f>
        <v>——</v>
      </c>
      <c r="B6" s="3498"/>
      <c r="C6" s="3498"/>
      <c r="D6" s="3498"/>
      <c r="E6" s="3498"/>
      <c r="F6" s="3498"/>
      <c r="G6" s="3498"/>
      <c r="H6" s="3498"/>
      <c r="I6" s="3498"/>
      <c r="J6" s="3498"/>
      <c r="K6" s="3498"/>
      <c r="L6" s="3498"/>
      <c r="M6" s="3498"/>
      <c r="N6" s="3498"/>
      <c r="O6" s="3498"/>
      <c r="P6" s="3498"/>
      <c r="Q6" s="3499"/>
      <c r="R6" s="1813" t="str">
        <f>结果表!O39</f>
        <v>——</v>
      </c>
    </row>
    <row r="7" spans="1:18">
      <c r="A7" s="3497" t="str">
        <f>IF(项目基本情况!B9="市场价格","——",IF(项目基本情况!E8="已注销及未注销","抵押担保权已注销时的抵押价格","——"))</f>
        <v>——</v>
      </c>
      <c r="B7" s="3498"/>
      <c r="C7" s="3498"/>
      <c r="D7" s="3498"/>
      <c r="E7" s="3498"/>
      <c r="F7" s="3498"/>
      <c r="G7" s="3498"/>
      <c r="H7" s="3498"/>
      <c r="I7" s="3498"/>
      <c r="J7" s="3498"/>
      <c r="K7" s="3498"/>
      <c r="L7" s="3498"/>
      <c r="M7" s="3498"/>
      <c r="N7" s="3498"/>
      <c r="O7" s="3498"/>
      <c r="P7" s="3498"/>
      <c r="Q7" s="3499"/>
      <c r="R7" s="1813" t="str">
        <f>结果表!O40</f>
        <v>——</v>
      </c>
    </row>
    <row r="8" spans="1:18">
      <c r="A8" s="3497" t="str">
        <f>IF(项目基本情况!B9="市场价格","——",项目基本情况!E9)</f>
        <v>——</v>
      </c>
      <c r="B8" s="3498"/>
      <c r="C8" s="3498"/>
      <c r="D8" s="3498"/>
      <c r="E8" s="3498"/>
      <c r="F8" s="3498"/>
      <c r="G8" s="3498"/>
      <c r="H8" s="3498"/>
      <c r="I8" s="3498"/>
      <c r="J8" s="3498"/>
      <c r="K8" s="3498"/>
      <c r="L8" s="3498"/>
      <c r="M8" s="3498"/>
      <c r="N8" s="3498"/>
      <c r="O8" s="3498"/>
      <c r="P8" s="3498"/>
      <c r="Q8" s="3499"/>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0" t="s">
        <v>2069</v>
      </c>
      <c r="B1" s="3500"/>
      <c r="C1" s="3500"/>
      <c r="D1" s="3500"/>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503" t="s">
        <v>2070</v>
      </c>
      <c r="B5" s="3503"/>
      <c r="C5" s="3503"/>
      <c r="D5" s="3503"/>
    </row>
    <row r="6" spans="1:4">
      <c r="A6" s="3500" t="s">
        <v>2048</v>
      </c>
      <c r="B6" s="3500"/>
      <c r="C6" s="3500"/>
      <c r="D6" s="3500"/>
    </row>
    <row r="7" spans="1:4" ht="33" customHeight="1">
      <c r="A7" s="3500" t="s">
        <v>2582</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0"/>
      <c r="C8" s="3500"/>
      <c r="D8" s="3500"/>
    </row>
    <row r="9" spans="1:4" ht="33.75" customHeight="1">
      <c r="A9" s="3500" t="str">
        <f>IF(项目基本情况!B8="抵押","3.抵押双方在办理抵押登记手续时，应使用本公司出具的正式《土地估价报告》，特提请报告使用者注意。","——")</f>
        <v>——</v>
      </c>
      <c r="B9" s="3500"/>
      <c r="C9" s="3500"/>
      <c r="D9" s="3500"/>
    </row>
    <row r="10" spans="1:4">
      <c r="A10" s="3500" t="str">
        <f>IF(项目基本情况!B8="抵押","4.估价师所知悉的法定优先受偿款情况为：","——")</f>
        <v>——</v>
      </c>
      <c r="B10" s="3500"/>
      <c r="C10" s="3500"/>
      <c r="D10" s="3500"/>
    </row>
    <row r="11" spans="1:4" ht="37.5" customHeight="1">
      <c r="A11" s="3502" t="str">
        <f>IF(项目基本情况!B8="抵押","（1）"&amp;CONCATENATE(项目基本情况!L24,项目基本情况!L25,项目基本情况!L26),"——")</f>
        <v>——</v>
      </c>
      <c r="B11" s="3502"/>
      <c r="C11" s="3502"/>
      <c r="D11" s="3502"/>
    </row>
    <row r="12" spans="1:4" ht="168" customHeight="1">
      <c r="A12" s="3503" t="s">
        <v>2072</v>
      </c>
      <c r="B12" s="3503"/>
      <c r="C12" s="3503"/>
      <c r="D12" s="3503"/>
    </row>
    <row r="13" spans="1:4">
      <c r="A13" s="3501" t="s">
        <v>2753</v>
      </c>
      <c r="B13" s="3501"/>
      <c r="C13" s="3501"/>
      <c r="D13" s="3501"/>
    </row>
    <row r="14" spans="1:4">
      <c r="A14" s="3502" t="str">
        <f>IF(项目基本情况!B8="抵押","综上，"&amp;结果表!K47,"——")</f>
        <v>——</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2709</v>
      </c>
      <c r="B17" s="3500"/>
      <c r="C17" s="3500"/>
      <c r="D17" s="3500"/>
    </row>
    <row r="18" spans="1:4">
      <c r="A18" s="3500" t="s">
        <v>2701</v>
      </c>
      <c r="B18" s="3500"/>
      <c r="C18" s="3500"/>
      <c r="D18" s="3500"/>
    </row>
    <row r="19" spans="1:4">
      <c r="A19" s="2894" t="s">
        <v>2702</v>
      </c>
      <c r="B19" s="2894" t="s">
        <v>2703</v>
      </c>
      <c r="C19" s="2894" t="s">
        <v>2704</v>
      </c>
      <c r="D19" s="2894" t="s">
        <v>2705</v>
      </c>
    </row>
    <row r="20" spans="1:4">
      <c r="A20" s="2894" t="str">
        <f>项目基本情况!B4</f>
        <v>陈颖</v>
      </c>
      <c r="B20" s="2894">
        <f ca="1">项目基本情况!C4</f>
        <v>2004110096</v>
      </c>
      <c r="C20" s="2896"/>
      <c r="D20" s="1801" t="s">
        <v>2710</v>
      </c>
    </row>
    <row r="21" spans="1:4">
      <c r="A21" s="2894" t="str">
        <f>项目基本情况!D4</f>
        <v>叶凌</v>
      </c>
      <c r="B21" s="2894">
        <f ca="1">项目基本情况!E4</f>
        <v>94010078</v>
      </c>
      <c r="C21" s="2896"/>
      <c r="D21" s="1801" t="s">
        <v>2711</v>
      </c>
    </row>
    <row r="23" spans="1:4">
      <c r="A23" s="3500" t="s">
        <v>2706</v>
      </c>
      <c r="B23" s="3500"/>
      <c r="C23" s="3500"/>
      <c r="D23" s="3500"/>
    </row>
    <row r="24" spans="1:4">
      <c r="A24" s="2894" t="s">
        <v>2702</v>
      </c>
      <c r="B24" s="2894" t="s">
        <v>2707</v>
      </c>
      <c r="C24" s="2894" t="s">
        <v>2704</v>
      </c>
      <c r="D24" s="2894" t="s">
        <v>2705</v>
      </c>
    </row>
    <row r="25" spans="1:4">
      <c r="A25" s="2897" t="s">
        <v>2708</v>
      </c>
      <c r="B25" s="2894" t="s">
        <v>953</v>
      </c>
      <c r="C25" s="2896"/>
      <c r="D25" s="1801" t="s">
        <v>2711</v>
      </c>
    </row>
    <row r="29" spans="1:4">
      <c r="D29" s="2895" t="s">
        <v>2043</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2" t="s">
        <v>53</v>
      </c>
      <c r="B15" s="3513" t="s">
        <v>847</v>
      </c>
      <c r="C15" s="3509"/>
    </row>
    <row r="16" spans="1:7" ht="14.25">
      <c r="A16" s="3512"/>
      <c r="B16" s="3510" t="s">
        <v>54</v>
      </c>
      <c r="C16" s="1172" t="s">
        <v>53</v>
      </c>
    </row>
    <row r="17" spans="1:3" ht="14.25">
      <c r="A17" s="3512"/>
      <c r="B17" s="3510"/>
      <c r="C17" s="1172" t="s">
        <v>55</v>
      </c>
    </row>
    <row r="18" spans="1:3" ht="14.25">
      <c r="A18" s="3512"/>
      <c r="B18" s="3510"/>
      <c r="C18" s="1172" t="s">
        <v>56</v>
      </c>
    </row>
    <row r="19" spans="1:3" ht="14.25">
      <c r="A19" s="3512"/>
      <c r="B19" s="3508" t="s">
        <v>57</v>
      </c>
      <c r="C19" s="3509"/>
    </row>
    <row r="20" spans="1:3" ht="14.25">
      <c r="A20" s="1173" t="s">
        <v>58</v>
      </c>
      <c r="B20" s="1174"/>
      <c r="C20" s="1175"/>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6" t="s">
        <v>838</v>
      </c>
    </row>
    <row r="25" spans="1:3" ht="14.25">
      <c r="A25" s="3511"/>
      <c r="B25" s="3515"/>
      <c r="C25" s="1176" t="s">
        <v>839</v>
      </c>
    </row>
    <row r="26" spans="1:3" ht="14.25">
      <c r="A26" s="3511"/>
      <c r="B26" s="3515"/>
      <c r="C26" s="1176" t="s">
        <v>840</v>
      </c>
    </row>
    <row r="27" spans="1:3" ht="14.25">
      <c r="A27" s="3511"/>
      <c r="B27" s="3515"/>
      <c r="C27" s="1176" t="s">
        <v>841</v>
      </c>
    </row>
    <row r="28" spans="1:3" ht="14.25">
      <c r="A28" s="3511"/>
      <c r="B28" s="3515"/>
      <c r="C28" s="1176" t="s">
        <v>842</v>
      </c>
    </row>
    <row r="29" spans="1:3" ht="14.25">
      <c r="A29" s="3511"/>
      <c r="B29" s="3515"/>
      <c r="C29" s="1176" t="s">
        <v>843</v>
      </c>
    </row>
    <row r="30" spans="1:3" ht="14.25">
      <c r="A30" s="3511"/>
      <c r="B30" s="3515"/>
      <c r="C30" s="1176" t="s">
        <v>844</v>
      </c>
    </row>
    <row r="31" spans="1:3" ht="14.25">
      <c r="A31" s="3511"/>
      <c r="B31" s="3515"/>
      <c r="C31" s="1176" t="s">
        <v>845</v>
      </c>
    </row>
    <row r="32" spans="1:3" ht="14.25">
      <c r="A32" s="3511"/>
      <c r="B32" s="3515"/>
      <c r="C32" s="1176" t="s">
        <v>1648</v>
      </c>
    </row>
    <row r="33" spans="1:3" ht="14.25">
      <c r="A33" s="3511"/>
      <c r="B33" s="3505" t="s">
        <v>1654</v>
      </c>
      <c r="C33" s="1176" t="s">
        <v>1649</v>
      </c>
    </row>
    <row r="34" spans="1:3" ht="14.25">
      <c r="A34" s="3511"/>
      <c r="B34" s="3506"/>
      <c r="C34" s="1181" t="s">
        <v>1650</v>
      </c>
    </row>
    <row r="35" spans="1:3" ht="14.25">
      <c r="A35" s="3511"/>
      <c r="B35" s="3506"/>
      <c r="C35" s="1182" t="s">
        <v>1651</v>
      </c>
    </row>
    <row r="36" spans="1:3" ht="14.25">
      <c r="A36" s="3511"/>
      <c r="B36" s="3506"/>
      <c r="C36" s="1182" t="s">
        <v>1652</v>
      </c>
    </row>
    <row r="37" spans="1:3" ht="14.25">
      <c r="A37" s="3511"/>
      <c r="B37" s="350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2581</v>
      </c>
      <c r="B15" s="2344">
        <v>1120070085</v>
      </c>
      <c r="C15" s="3032">
        <v>43814</v>
      </c>
      <c r="D15" s="2344" t="s">
        <v>2581</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6" t="s">
        <v>1930</v>
      </c>
      <c r="B25" s="3516"/>
      <c r="C25" s="3516"/>
      <c r="D25" s="3516"/>
      <c r="E25" s="3516"/>
      <c r="F25" s="3516"/>
      <c r="G25" s="3516"/>
    </row>
    <row r="26" spans="1:7" ht="20.25" customHeight="1">
      <c r="A26" s="3517" t="s">
        <v>1931</v>
      </c>
      <c r="B26" s="3517"/>
      <c r="C26" s="3517"/>
      <c r="D26" s="3517" t="s">
        <v>1932</v>
      </c>
      <c r="E26" s="3517"/>
      <c r="F26" s="351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2018-03-16T06:53:48Z</cp:lastPrinted>
  <dcterms:created xsi:type="dcterms:W3CDTF">2015-07-13T07:17:23Z</dcterms:created>
  <dcterms:modified xsi:type="dcterms:W3CDTF">2018-03-16T12:05:32Z</dcterms:modified>
</cp:coreProperties>
</file>